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comments5.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omments6.xml" ContentType="application/vnd.openxmlformats-officedocument.spreadsheetml.comments+xml"/>
  <Override PartName="/xl/drawings/drawing3.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omments7.xml" ContentType="application/vnd.openxmlformats-officedocument.spreadsheetml.comments+xml"/>
  <Override PartName="/xl/drawings/drawing4.xml" ContentType="application/vnd.openxmlformats-officedocument.drawing+xml"/>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comments8.xml" ContentType="application/vnd.openxmlformats-officedocument.spreadsheetml.comments+xml"/>
  <Override PartName="/xl/comments9.xml" ContentType="application/vnd.openxmlformats-officedocument.spreadsheetml.comments+xml"/>
  <Override PartName="/xl/drawings/drawing5.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comments10.xml" ContentType="application/vnd.openxmlformats-officedocument.spreadsheetml.comments+xml"/>
  <Override PartName="/xl/comments11.xml" ContentType="application/vnd.openxmlformats-officedocument.spreadsheetml.comments+xml"/>
  <Override PartName="/xl/drawings/drawing6.xml" ContentType="application/vnd.openxmlformats-officedocument.drawing+xml"/>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drawings/drawing7.xml" ContentType="application/vnd.openxmlformats-officedocument.drawing+xml"/>
  <Override PartName="/xl/ctrlProps/ctrlProp3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0" yWindow="0" windowWidth="19440" windowHeight="7620" tabRatio="733" firstSheet="8" activeTab="8"/>
  </bookViews>
  <sheets>
    <sheet name="Thamtra_Dutoan" sheetId="28" state="hidden" r:id="rId1"/>
    <sheet name="Thamtra_Phantichvattu" sheetId="29" state="hidden" r:id="rId2"/>
    <sheet name="Thamtra_GTVT" sheetId="35" state="hidden" r:id="rId3"/>
    <sheet name="Thamtra_VL" sheetId="32" state="hidden" r:id="rId4"/>
    <sheet name="Thamtra_NC" sheetId="33" state="hidden" r:id="rId5"/>
    <sheet name="Thamtra_MTC" sheetId="34" state="hidden" r:id="rId6"/>
    <sheet name="Dutoan_Nhom" sheetId="87" state="hidden" r:id="rId7"/>
    <sheet name="THKP_Nhom" sheetId="126" state="hidden" r:id="rId8"/>
    <sheet name="Du toan" sheetId="1" r:id="rId9"/>
    <sheet name="VLC" sheetId="150" state="hidden" r:id="rId10"/>
    <sheet name="DMPhu" sheetId="151" state="hidden" r:id="rId11"/>
    <sheet name="Phan tich vat tu" sheetId="2" r:id="rId12"/>
    <sheet name="Gia tri vat tu" sheetId="3" r:id="rId13"/>
    <sheet name="GiaVua" sheetId="88" state="hidden" r:id="rId14"/>
    <sheet name="THKP" sheetId="26" r:id="rId15"/>
    <sheet name="THKP_Doc" sheetId="116" state="hidden" r:id="rId16"/>
    <sheet name="Tong hop kinh phi" sheetId="6" state="hidden" r:id="rId17"/>
    <sheet name="DGCT_Thugon" sheetId="31" state="hidden" r:id="rId18"/>
    <sheet name="Don gia chi tiet" sheetId="4" state="hidden" r:id="rId19"/>
    <sheet name="Du thau" sheetId="5" state="hidden" r:id="rId20"/>
    <sheet name="DT Goi thau XD" sheetId="54" r:id="rId21"/>
    <sheet name="CP HMC" sheetId="52" r:id="rId22"/>
    <sheet name="THKP_KS" sheetId="81" state="hidden" r:id="rId23"/>
    <sheet name="THKP_DVCI" sheetId="105" state="hidden" r:id="rId24"/>
    <sheet name="Tong hop kinh phi  _DVCI" sheetId="106" state="hidden" r:id="rId25"/>
    <sheet name="DP2C" sheetId="73" r:id="rId26"/>
    <sheet name="Tong hop kinh phi_KS" sheetId="82" state="hidden" r:id="rId27"/>
    <sheet name="TMDT" sheetId="127" state="hidden" r:id="rId28"/>
    <sheet name="Tong hop DT XDCT" sheetId="130" r:id="rId29"/>
    <sheet name="DP2B" sheetId="74" r:id="rId30"/>
    <sheet name="TH_CPXD" sheetId="7" r:id="rId31"/>
    <sheet name="TH_CPTB" sheetId="8" r:id="rId32"/>
    <sheet name="DP2C_TB" sheetId="107" state="hidden" r:id="rId33"/>
    <sheet name="DT Goi thau TB" sheetId="55" state="hidden" r:id="rId34"/>
    <sheet name="SBTMDT" sheetId="49" state="hidden" r:id="rId35"/>
    <sheet name="DP2A" sheetId="30" state="hidden" r:id="rId36"/>
    <sheet name="Bia du toan" sheetId="11" state="hidden" r:id="rId37"/>
    <sheet name="PTVT_VCLC" sheetId="39" state="hidden" r:id="rId38"/>
    <sheet name="THVT_VCLC" sheetId="40" state="hidden" r:id="rId39"/>
    <sheet name="PTVT_BX" sheetId="41" state="hidden" r:id="rId40"/>
    <sheet name="THVT_BX" sheetId="42" state="hidden" r:id="rId41"/>
    <sheet name="PTVT_VC" sheetId="43" state="hidden" r:id="rId42"/>
    <sheet name="THVT_VC" sheetId="44" state="hidden" r:id="rId43"/>
    <sheet name="Chi phi van chuyen" sheetId="12" state="hidden" r:id="rId44"/>
    <sheet name="CuocVC" sheetId="13" state="hidden" r:id="rId45"/>
    <sheet name="CP Khac cuoc VC" sheetId="79" state="hidden" r:id="rId46"/>
    <sheet name="CPVC _Sieu truong" sheetId="80" state="hidden" r:id="rId47"/>
    <sheet name="Cuoc Bo sung" sheetId="76" state="hidden" r:id="rId48"/>
    <sheet name="Chi phi trung chuyen" sheetId="77" state="hidden" r:id="rId49"/>
    <sheet name="CPVC_DenChanCT" sheetId="78" state="hidden" r:id="rId50"/>
    <sheet name="CPVC_588" sheetId="95" state="hidden" r:id="rId51"/>
    <sheet name="CuocDM" sheetId="96" state="hidden" r:id="rId52"/>
    <sheet name="CPTC_588" sheetId="102" state="hidden" r:id="rId53"/>
    <sheet name="CTCM_VC" sheetId="99" state="hidden" r:id="rId54"/>
    <sheet name="BuGCM_VC" sheetId="98" state="hidden" r:id="rId55"/>
    <sheet name="BuNLTL_VC" sheetId="97" state="hidden" r:id="rId56"/>
    <sheet name="NC_TC" sheetId="103" state="hidden" r:id="rId57"/>
    <sheet name="PT_BVC_CV" sheetId="104" state="hidden" r:id="rId58"/>
    <sheet name="LuongCNXD_Tong" sheetId="85" state="hidden" r:id="rId59"/>
    <sheet name="LuongCN_XD" sheetId="14" state="hidden" r:id="rId60"/>
    <sheet name="LuongCN_XD1" sheetId="36" state="hidden" r:id="rId61"/>
    <sheet name="LuongCN_XD2" sheetId="83" state="hidden" r:id="rId62"/>
    <sheet name="Phan tich ca may" sheetId="15" state="hidden" r:id="rId63"/>
    <sheet name="LuongCNLM_Tong" sheetId="86" state="hidden" r:id="rId64"/>
    <sheet name="LuongCN_LaiMay1" sheetId="37" state="hidden" r:id="rId65"/>
    <sheet name="LuongCN_LaiMay2" sheetId="84" state="hidden" r:id="rId66"/>
    <sheet name="LuongCN_LaiMay" sheetId="23" state="hidden" r:id="rId67"/>
    <sheet name="Chiet tinh don gia may" sheetId="17" state="hidden" r:id="rId68"/>
    <sheet name="Bu gia may" sheetId="18" state="hidden" r:id="rId69"/>
    <sheet name="Bu NL_TL" sheetId="19" state="hidden" r:id="rId70"/>
    <sheet name="Dau vao ca may" sheetId="21" state="hidden" r:id="rId71"/>
    <sheet name="Phan tich bu ca may" sheetId="24" state="hidden" r:id="rId72"/>
    <sheet name="LuongCN" sheetId="38" state="hidden" r:id="rId73"/>
    <sheet name="HMC_Goithau" sheetId="108" state="hidden" r:id="rId74"/>
    <sheet name="CongNhat" sheetId="110" state="hidden" r:id="rId75"/>
    <sheet name="Tamtinh" sheetId="111" state="hidden" r:id="rId76"/>
    <sheet name="DGCT_Goithau" sheetId="117" state="hidden" r:id="rId77"/>
    <sheet name="Duthau_HM" sheetId="113" state="hidden" r:id="rId78"/>
    <sheet name="HD_Trongoi" sheetId="109" state="hidden" r:id="rId79"/>
    <sheet name="HD_DGCodinh" sheetId="114" state="hidden" r:id="rId80"/>
    <sheet name="HD_DGDieuchinh" sheetId="115" state="hidden" r:id="rId81"/>
    <sheet name="NT_GD" sheetId="123" state="hidden" r:id="rId82"/>
    <sheet name="QLNT" sheetId="124" state="hidden" r:id="rId83"/>
    <sheet name="PL03a_A" sheetId="121" state="hidden" r:id="rId84"/>
    <sheet name="PL03a" sheetId="122" state="hidden" r:id="rId85"/>
    <sheet name="QLTU" sheetId="125" state="hidden" r:id="rId86"/>
    <sheet name="THKP_KS_tt17" sheetId="128" state="hidden" r:id="rId87"/>
    <sheet name="Tong hop kinh phi_KS_tt17" sheetId="129" state="hidden" r:id="rId88"/>
    <sheet name="Config" sheetId="10" r:id="rId89"/>
    <sheet name="Setting" sheetId="22" state="hidden" r:id="rId90"/>
  </sheets>
  <functionGroups builtInGroupCount="17"/>
  <externalReferences>
    <externalReference r:id="rId91"/>
    <externalReference r:id="rId92"/>
    <externalReference r:id="rId93"/>
    <externalReference r:id="rId94"/>
  </externalReferences>
  <definedNames>
    <definedName name="BuocTK" localSheetId="45">Config!$F$95:$F$97</definedName>
    <definedName name="BuocTK" localSheetId="64">Config!$F$95:$F$97</definedName>
    <definedName name="BuocTK" localSheetId="60">Config!$F$95:$F$97</definedName>
    <definedName name="BuocTK" localSheetId="83">[1]Config!$B$95:$B$97</definedName>
    <definedName name="BuocTK" localSheetId="2">[2]Config!$B$95:$B$97</definedName>
    <definedName name="BuocTK">Config!$F$94:$F$96</definedName>
    <definedName name="CapCT" localSheetId="45">Config!$B$89:$B$93</definedName>
    <definedName name="CapCT" localSheetId="64">Config!$B$89:$B$93</definedName>
    <definedName name="CapCT" localSheetId="60">Config!$B$89:$B$93</definedName>
    <definedName name="CapCT" localSheetId="83">[1]Config!$B$89:$B$93</definedName>
    <definedName name="CapCT" localSheetId="2">[2]Config!$B$89:$B$93</definedName>
    <definedName name="CapCT">Config!$B$89:$B$93</definedName>
    <definedName name="CP_HMC" localSheetId="83">'[1]CP HMC'!$G$14</definedName>
    <definedName name="CP_HMC">'CP HMC'!$G$14</definedName>
    <definedName name="CT_CPC" localSheetId="45">Config!$N$477:$N$484</definedName>
    <definedName name="CT_CPC" localSheetId="83">[1]Config!$N$475:$N$482</definedName>
    <definedName name="CT_CPC">Config!$N$477:$N$484</definedName>
    <definedName name="CT_HMC_1" localSheetId="83">[1]Config!#REF!</definedName>
    <definedName name="Cuoc_Bo" localSheetId="45">CuocVC!$B$7:$G$109</definedName>
    <definedName name="Cuoc_Bo">CuocVC!$B$7:$G$109</definedName>
    <definedName name="Cuoc_CoDinh">CuocVC!$O$18</definedName>
    <definedName name="Cuoc_Song">CuocVC!$J$7:$M$109</definedName>
    <definedName name="DS_Luong" localSheetId="45">Config!$B$114:$B$115</definedName>
    <definedName name="DS_Luong" localSheetId="64">Config!$B$114:$B$115</definedName>
    <definedName name="DS_Luong" localSheetId="60">Config!$B$114:$B$115</definedName>
    <definedName name="DS_Luong" localSheetId="83">[1]Config!$B$114:$B$115</definedName>
    <definedName name="DS_Luong" localSheetId="2">[2]Config!$B$114:$B$115</definedName>
    <definedName name="DS_Luong">Config!$B$114:$B$115</definedName>
    <definedName name="GTB" localSheetId="45">#REF!</definedName>
    <definedName name="GTB" localSheetId="64">#REF!</definedName>
    <definedName name="GTB" localSheetId="60">#REF!</definedName>
    <definedName name="GTB" localSheetId="83">'[1]Tong hop DT XDCT'!$G$9</definedName>
    <definedName name="GTB" localSheetId="2">'[2]Tong du toan'!$G$9</definedName>
    <definedName name="GTB" localSheetId="27">TMDT!$G$10</definedName>
    <definedName name="GTB" localSheetId="28">'Tong hop DT XDCT'!$G$9</definedName>
    <definedName name="GTB_LDHC" localSheetId="45">TH_CPTB!$F$12</definedName>
    <definedName name="GTB_LDHC" localSheetId="83">[1]TH_CPTB!$F$12</definedName>
    <definedName name="GTB_LDHC">TH_CPTB!$F$12</definedName>
    <definedName name="GXD" localSheetId="45">#REF!</definedName>
    <definedName name="GXD" localSheetId="64">#REF!</definedName>
    <definedName name="GXD" localSheetId="60">#REF!</definedName>
    <definedName name="GXD" localSheetId="83">'[1]Tong hop DT XDCT'!$G$8</definedName>
    <definedName name="GXD" localSheetId="2">'[2]Tong du toan'!$G$8</definedName>
    <definedName name="GXD" localSheetId="27">TMDT!$G$9</definedName>
    <definedName name="GXD" localSheetId="28">'Tong hop DT XDCT'!$G$8</definedName>
    <definedName name="HS_Song">CuocVC!$N$8:$O$10</definedName>
    <definedName name="hsdc_CuocVC" localSheetId="83">'[1]CP Khac cuoc VC'!$C$54</definedName>
    <definedName name="hsdc_CuocVC">'CP Khac cuoc VC'!$C$54</definedName>
    <definedName name="HSLoaiDuong">CuocDM!$M$4:$R$5</definedName>
    <definedName name="i_BTK" localSheetId="45">Config!$C$94</definedName>
    <definedName name="i_BTK" localSheetId="64">Config!$C$94</definedName>
    <definedName name="i_BTK" localSheetId="60">Config!$C$94</definedName>
    <definedName name="i_BTK" localSheetId="83">[1]Config!$C$94</definedName>
    <definedName name="i_BTK" localSheetId="2">[2]Config!$C$94</definedName>
    <definedName name="i_BTK">Config!$C$94</definedName>
    <definedName name="i_BTKKhac">Config!$D$104</definedName>
    <definedName name="i_CapCT" localSheetId="45">Config!$C$88</definedName>
    <definedName name="i_CapCT" localSheetId="64">Config!$C$88</definedName>
    <definedName name="i_CapCT" localSheetId="60">Config!$C$88</definedName>
    <definedName name="i_CapCT" localSheetId="83">[1]Config!$C$88</definedName>
    <definedName name="i_CapCT" localSheetId="2">[2]Config!$C$88</definedName>
    <definedName name="i_CapCT">Config!$C$88</definedName>
    <definedName name="i_CPC" localSheetId="45">Config!$E$170</definedName>
    <definedName name="i_CPC" localSheetId="83">[1]Config!$E$158</definedName>
    <definedName name="i_CPC">Config!$E$170</definedName>
    <definedName name="i_CPC1">Config!$C$170</definedName>
    <definedName name="i_CPC2">Config!$C$172</definedName>
    <definedName name="i_CTKhac" localSheetId="45">Config!$C$104</definedName>
    <definedName name="i_CTKhac" localSheetId="64">Config!$C$104</definedName>
    <definedName name="i_CTKhac" localSheetId="60">Config!$C$104</definedName>
    <definedName name="i_CTKhac" localSheetId="83">[1]Config!$C$104</definedName>
    <definedName name="i_CTKhac" localSheetId="2">[2]Config!$C$104</definedName>
    <definedName name="i_CTKhac">Config!$C$104</definedName>
    <definedName name="i_HMC_KXD">Config!$N$504</definedName>
    <definedName name="i_KTQT" localSheetId="45">Config!$C$110</definedName>
    <definedName name="i_KTQT" localSheetId="64">Config!$C$110</definedName>
    <definedName name="i_KTQT" localSheetId="60">Config!$C$110</definedName>
    <definedName name="i_KTQT" localSheetId="83">[1]Config!$C$110</definedName>
    <definedName name="i_KTQT" localSheetId="2">[2]Config!$C$110</definedName>
    <definedName name="i_KTQT">Config!$C$110</definedName>
    <definedName name="i_LoaiCT" localSheetId="45">Config!$C$82</definedName>
    <definedName name="i_LoaiCT" localSheetId="64">Config!$C$82</definedName>
    <definedName name="i_LoaiCT" localSheetId="60">Config!$C$82</definedName>
    <definedName name="i_LoaiCT" localSheetId="83">[1]Config!$C$82</definedName>
    <definedName name="i_LoaiCT" localSheetId="2">[2]Config!$C$82</definedName>
    <definedName name="i_LoaiCT">Config!$C$82</definedName>
    <definedName name="i_Luong" localSheetId="45">Config!$C$113</definedName>
    <definedName name="i_Luong" localSheetId="64">Config!$C$113</definedName>
    <definedName name="i_Luong" localSheetId="60">Config!$C$113</definedName>
    <definedName name="i_Luong" localSheetId="2">[2]Config!$C$113</definedName>
    <definedName name="i_Luong">Config!$C$113</definedName>
    <definedName name="i_VB" localSheetId="45">Config!$C$99</definedName>
    <definedName name="i_VB" localSheetId="64">Config!$C$99</definedName>
    <definedName name="i_VB" localSheetId="60">Config!$C$99</definedName>
    <definedName name="i_VB" localSheetId="83">[1]Config!$C$99</definedName>
    <definedName name="i_VB" localSheetId="2">[2]Config!$C$99</definedName>
    <definedName name="i_VB">Config!$C$99</definedName>
    <definedName name="Li_BCVT">Config!$N$303:$N$305</definedName>
    <definedName name="Li_Cap">Config!$N$154:$N$156</definedName>
    <definedName name="Li_HC">Config!$N$160:$N$164</definedName>
    <definedName name="LI_MTT">Config!$N$309:$N$317</definedName>
    <definedName name="List_DB" localSheetId="45">CuocVC!$B$7:$G$7</definedName>
    <definedName name="List_DB">CuocVC!$B$7:$G$7</definedName>
    <definedName name="List_DS">CuocVC!$N$8:$N$10</definedName>
    <definedName name="List_Duong">CuocDM!$M$4:$R$4</definedName>
    <definedName name="List_May">CuocDM!$J$5:$J$16</definedName>
    <definedName name="List_NCBX">CuocDM!$W$24:$W$59</definedName>
    <definedName name="List_VTBX">CuocDM!$W$3:$W$14</definedName>
    <definedName name="Loai_CTKhac" localSheetId="45">Config!$B$105:$B$109</definedName>
    <definedName name="Loai_CTKhac" localSheetId="64">Config!$B$105:$B$109</definedName>
    <definedName name="Loai_CTKhac" localSheetId="60">Config!$B$105:$B$109</definedName>
    <definedName name="Loai_CTKhac" localSheetId="83">[1]Config!$B$105:$B$109</definedName>
    <definedName name="Loai_CTKhac" localSheetId="2">[2]Config!$B$105:$B$109</definedName>
    <definedName name="Loai_CTKhac">Config!$B$105:$B$109</definedName>
    <definedName name="Loai_KTQT" localSheetId="45">Config!$E$110:$E$111</definedName>
    <definedName name="Loai_KTQT" localSheetId="64">Config!$E$110:$E$111</definedName>
    <definedName name="Loai_KTQT" localSheetId="60">Config!$E$110:$E$111</definedName>
    <definedName name="Loai_KTQT" localSheetId="83">[1]Config!$E$110:$E$112</definedName>
    <definedName name="Loai_KTQT" localSheetId="2">[2]Config!$B$111:$B$112</definedName>
    <definedName name="Loai_KTQT">Config!$E$110:$E$112</definedName>
    <definedName name="LoaiCT" localSheetId="45">Config!$B$83:$B$87</definedName>
    <definedName name="LoaiCT" localSheetId="64">Config!$B$83:$B$87</definedName>
    <definedName name="LoaiCT" localSheetId="60">Config!$B$83:$B$87</definedName>
    <definedName name="LoaiCT" localSheetId="83">[1]Config!$B$83:$B$87</definedName>
    <definedName name="LoaiCT" localSheetId="2">[2]Config!$B$83:$B$87</definedName>
    <definedName name="LoaiCT">Config!$B$83:$B$87</definedName>
    <definedName name="LoaiCT_75">Config!$N$420:$N$424</definedName>
    <definedName name="NT_HD">QLNT!$F:$F</definedName>
    <definedName name="NT_LK">QLNT!$H:$H</definedName>
    <definedName name="NT_TH">QLNT!$I:$I</definedName>
    <definedName name="_xlnm.Print_Area" localSheetId="68">'Bu gia may'!$A:$P</definedName>
    <definedName name="_xlnm.Print_Area" localSheetId="69">'Bu NL_TL'!$A:$J</definedName>
    <definedName name="_xlnm.Print_Area" localSheetId="54">BuGCM_VC!$A:$O</definedName>
    <definedName name="_xlnm.Print_Area" localSheetId="55">BuNLTL_VC!$A:$J</definedName>
    <definedName name="_xlnm.Print_Area" localSheetId="48">'Chi phi trung chuyen'!$A:$M</definedName>
    <definedName name="_xlnm.Print_Area" localSheetId="43">'Chi phi van chuyen'!$A:$AF</definedName>
    <definedName name="_xlnm.Print_Area" localSheetId="67">'Chiet tinh don gia may'!$A:$I</definedName>
    <definedName name="_xlnm.Print_Area" localSheetId="21">'CP HMC'!$A$1:$H$19</definedName>
    <definedName name="_xlnm.Print_Area" localSheetId="45">'CP Khac cuoc VC'!$A$1:$H$54</definedName>
    <definedName name="_xlnm.Print_Area" localSheetId="52">CPTC_588!$A:$W</definedName>
    <definedName name="_xlnm.Print_Area" localSheetId="46">'CPVC _Sieu truong'!$A:$Z</definedName>
    <definedName name="_xlnm.Print_Area" localSheetId="50">CPVC_588!$A:$Y</definedName>
    <definedName name="_xlnm.Print_Area" localSheetId="49">CPVC_DenChanCT!$A:$J</definedName>
    <definedName name="_xlnm.Print_Area" localSheetId="53">CTCM_VC!$A:$J</definedName>
    <definedName name="_xlnm.Print_Area" localSheetId="47">'Cuoc Bo sung'!$A:$R</definedName>
    <definedName name="_xlnm.Print_Area" localSheetId="70">'Dau vao ca may'!$A$1:$H$34</definedName>
    <definedName name="_xlnm.Print_Area" localSheetId="17">DGCT_Thugon!$A:$J</definedName>
    <definedName name="_xlnm.Print_Area" localSheetId="18">'Don gia chi tiet'!$A:$J</definedName>
    <definedName name="_xlnm.Print_Area" localSheetId="35">DP2A!$A$1:$H$48</definedName>
    <definedName name="_xlnm.Print_Area" localSheetId="29">DP2B!$A$1:$H$47</definedName>
    <definedName name="_xlnm.Print_Area" localSheetId="25">DP2C!$A$1:$H$40</definedName>
    <definedName name="_xlnm.Print_Area" localSheetId="32">DP2C_TB!$A$1:$H$41</definedName>
    <definedName name="_xlnm.Print_Area" localSheetId="33">'DT Goi thau TB'!$A$1:$F$25</definedName>
    <definedName name="_xlnm.Print_Area" localSheetId="20">'DT Goi thau XD'!$A$1:$H$25</definedName>
    <definedName name="_xlnm.Print_Area" localSheetId="19">'Du thau'!$A:$AQ</definedName>
    <definedName name="_xlnm.Print_Area" localSheetId="8">'Du toan'!$A$1:$O$78</definedName>
    <definedName name="_xlnm.Print_Area" localSheetId="6">Dutoan_Nhom!$A:$O</definedName>
    <definedName name="_xlnm.Print_Area" localSheetId="12">'Gia tri vat tu'!$A:$J</definedName>
    <definedName name="_xlnm.Print_Area" localSheetId="13">GiaVua!$A:$I</definedName>
    <definedName name="_xlnm.Print_Area" localSheetId="79">HD_DGCodinh!$B$1:$G$20</definedName>
    <definedName name="_xlnm.Print_Area" localSheetId="80">HD_DGDieuchinh!$B$1:$G$21</definedName>
    <definedName name="_xlnm.Print_Area" localSheetId="78">HD_Trongoi!$B$1:$I$14</definedName>
    <definedName name="_xlnm.Print_Area" localSheetId="73">HMC_Goithau!$B$1:$H$25</definedName>
    <definedName name="_xlnm.Print_Area" localSheetId="66">LuongCN_LaiMay!$A:$P</definedName>
    <definedName name="_xlnm.Print_Area" localSheetId="64">LuongCN_LaiMay1!$A:$G</definedName>
    <definedName name="_xlnm.Print_Area" localSheetId="65">LuongCN_LaiMay2!$A:$Q</definedName>
    <definedName name="_xlnm.Print_Area" localSheetId="59">LuongCN_XD!$A:$P</definedName>
    <definedName name="_xlnm.Print_Area" localSheetId="60">LuongCN_XD1!$A:$G</definedName>
    <definedName name="_xlnm.Print_Area" localSheetId="61">LuongCN_XD2!$A:$Q</definedName>
    <definedName name="_xlnm.Print_Area" localSheetId="63">LuongCNLM_Tong!$A:$G</definedName>
    <definedName name="_xlnm.Print_Area" localSheetId="58">LuongCNXD_Tong!$A:$G</definedName>
    <definedName name="_xlnm.Print_Area" localSheetId="56">NC_TC!$A:$G</definedName>
    <definedName name="_xlnm.Print_Area" localSheetId="71">'Phan tich bu ca may'!$A:$L</definedName>
    <definedName name="_xlnm.Print_Area" localSheetId="62">'Phan tich ca may'!$A:$H</definedName>
    <definedName name="_xlnm.Print_Area" localSheetId="11">'Phan tich vat tu'!$A:$I</definedName>
    <definedName name="_xlnm.Print_Area" localSheetId="57">PT_BVC_CV!$A:$M</definedName>
    <definedName name="_xlnm.Print_Area" localSheetId="39">PTVT_BX!$A:$M</definedName>
    <definedName name="_xlnm.Print_Area" localSheetId="41">PTVT_VC!$A:$M</definedName>
    <definedName name="_xlnm.Print_Area" localSheetId="37">PTVT_VCLC!$A:$M</definedName>
    <definedName name="_xlnm.Print_Area" localSheetId="34">SBTMDT!$A$1:$E$23</definedName>
    <definedName name="_xlnm.Print_Area" localSheetId="75">Tamtinh!$B$1:$E$17</definedName>
    <definedName name="_xlnm.Print_Area" localSheetId="31">TH_CPTB!$A$1:$I$24</definedName>
    <definedName name="_xlnm.Print_Area" localSheetId="30">TH_CPXD!$A$1:$F$21</definedName>
    <definedName name="_xlnm.Print_Area" localSheetId="0">Thamtra_Dutoan!$A:$V</definedName>
    <definedName name="_xlnm.Print_Area" localSheetId="2">Thamtra_GTVT!$A:$K</definedName>
    <definedName name="_xlnm.Print_Area" localSheetId="5">Thamtra_MTC!$A:$J</definedName>
    <definedName name="_xlnm.Print_Area" localSheetId="4">Thamtra_NC!$A:$J</definedName>
    <definedName name="_xlnm.Print_Area" localSheetId="1">Thamtra_Phantichvattu!$A:$J</definedName>
    <definedName name="_xlnm.Print_Area" localSheetId="3">Thamtra_VL!$A:$J</definedName>
    <definedName name="_xlnm.Print_Area" localSheetId="14">THKP!$A$1:$F$46</definedName>
    <definedName name="_xlnm.Print_Area" localSheetId="23">THKP_DVCI!$A$1:$F$35</definedName>
    <definedName name="_xlnm.Print_Area" localSheetId="22">THKP_KS!$A$1:$G$44</definedName>
    <definedName name="_xlnm.Print_Area" localSheetId="86">THKP_KS_tt17!$A$1:$G$43</definedName>
    <definedName name="_xlnm.Print_Area" localSheetId="7">THKP_Nhom!$A$1:$H$43</definedName>
    <definedName name="_xlnm.Print_Area" localSheetId="40">THVT_BX!$A:$E</definedName>
    <definedName name="_xlnm.Print_Area" localSheetId="42">THVT_VC!$A:$E</definedName>
    <definedName name="_xlnm.Print_Area" localSheetId="38">THVT_VCLC!$A:$E</definedName>
    <definedName name="_xlnm.Print_Area" localSheetId="27">TMDT!$B$1:$J$68</definedName>
    <definedName name="_xlnm.Print_Area" localSheetId="28">'Tong hop DT XDCT'!$B$1:$J$67</definedName>
    <definedName name="_xlnm.Print_Area" localSheetId="16">'Tong hop kinh phi'!$A$1:$F$51</definedName>
    <definedName name="_xlnm.Print_Area" localSheetId="24">'Tong hop kinh phi  _DVCI'!$A$1:$F$42</definedName>
    <definedName name="_xlnm.Print_Area" localSheetId="26">'Tong hop kinh phi_KS'!$A$1:$F$54</definedName>
    <definedName name="_xlnm.Print_Area" localSheetId="87">'Tong hop kinh phi_KS_tt17'!$A$1:$F$55</definedName>
    <definedName name="_xlnm.Print_Titles" localSheetId="18">'Don gia chi tiet'!$5:$5</definedName>
    <definedName name="_xlnm.Print_Titles" localSheetId="19">'Du thau'!$5:$6</definedName>
    <definedName name="_xlnm.Print_Titles" localSheetId="8">'Du toan'!$5:$6</definedName>
    <definedName name="_xlnm.Print_Titles" localSheetId="11">'Phan tich vat tu'!$5:$6</definedName>
    <definedName name="_xlnm.Print_Titles" localSheetId="27">TMDT!$1:$6</definedName>
    <definedName name="_xlnm.Print_Titles" localSheetId="28">'Tong hop DT XDCT'!$1:$6</definedName>
    <definedName name="TMDT" localSheetId="27">TMDT!$I$63</definedName>
    <definedName name="TMDT" localSheetId="28">'Tong hop DT XDCT'!$I$62</definedName>
    <definedName name="TMDT_Duyet" localSheetId="27">TMDT!$I$7</definedName>
    <definedName name="TMDT_Duyet" localSheetId="28">'Tong hop DT XDCT'!$I$7</definedName>
    <definedName name="TMDT_KT" localSheetId="45">#REF!</definedName>
    <definedName name="TMDT_KT" localSheetId="64">#REF!</definedName>
    <definedName name="TMDT_KT" localSheetId="60">#REF!</definedName>
    <definedName name="TMDT_KT" localSheetId="2">'[2]Tong du toan'!$G$10</definedName>
    <definedName name="VBan" localSheetId="45">Config!$B$100:$B$102</definedName>
    <definedName name="VBan" localSheetId="64">Config!$B$100:$B$102</definedName>
    <definedName name="VBan" localSheetId="60">Config!$B$100:$B$102</definedName>
    <definedName name="VBan" localSheetId="83">[1]Config!$B$100:$B$102</definedName>
    <definedName name="VBan" localSheetId="2">[2]Config!$B$100:$B$102</definedName>
    <definedName name="VBan">Config!$B$100:$B$102</definedName>
    <definedName name="VC_Kethop">CuocVC!$G$120:$G$121</definedName>
    <definedName name="VC_PT">CuocVC!$G$114:$G$117</definedName>
    <definedName name="VC_Quakho">CuocVC!$G$129:$G$130</definedName>
    <definedName name="VC_Xepdo">CuocVC!$G$124:$G$126</definedName>
    <definedName name="VT_TC">CuocVC!$R$8:$R$37</definedName>
  </definedNames>
  <calcPr calcId="144525" iterateCount="1"/>
</workbook>
</file>

<file path=xl/calcChain.xml><?xml version="1.0" encoding="utf-8"?>
<calcChain xmlns="http://schemas.openxmlformats.org/spreadsheetml/2006/main">
  <c r="G14" i="11" l="1"/>
  <c r="G13" i="11"/>
  <c r="G12" i="11"/>
  <c r="D15" i="10"/>
  <c r="D14" i="10"/>
  <c r="D11" i="10"/>
  <c r="D10" i="10"/>
  <c r="D9" i="10"/>
  <c r="A3" i="3" l="1"/>
  <c r="E26" i="26"/>
  <c r="E21" i="26"/>
  <c r="C9" i="7"/>
  <c r="E28" i="26"/>
  <c r="E20" i="26"/>
  <c r="E19" i="26"/>
  <c r="H38" i="3"/>
  <c r="I38" i="3" s="1"/>
  <c r="H37" i="3"/>
  <c r="I37" i="3" s="1"/>
  <c r="H35" i="3"/>
  <c r="I35" i="3" s="1"/>
  <c r="H33" i="3"/>
  <c r="I33" i="3" s="1"/>
  <c r="A34" i="3"/>
  <c r="A35" i="3" s="1"/>
  <c r="A36" i="3" s="1"/>
  <c r="A37" i="3" s="1"/>
  <c r="A38" i="3" s="1"/>
  <c r="A39" i="3" s="1"/>
  <c r="H30" i="3"/>
  <c r="H29" i="3"/>
  <c r="H28" i="3"/>
  <c r="H27" i="3"/>
  <c r="H26" i="3"/>
  <c r="A27" i="3"/>
  <c r="A28" i="3"/>
  <c r="A29" i="3" s="1"/>
  <c r="A30" i="3" s="1"/>
  <c r="A9" i="3"/>
  <c r="A10" i="3"/>
  <c r="A11" i="3" s="1"/>
  <c r="A12" i="3" s="1"/>
  <c r="A13" i="3" s="1"/>
  <c r="A14" i="3" s="1"/>
  <c r="A15" i="3" s="1"/>
  <c r="A16" i="3" s="1"/>
  <c r="A17" i="3" s="1"/>
  <c r="A18" i="3" s="1"/>
  <c r="A19" i="3" s="1"/>
  <c r="A20" i="3" s="1"/>
  <c r="A21" i="3" s="1"/>
  <c r="A22" i="3" s="1"/>
  <c r="I22" i="3"/>
  <c r="H8" i="3"/>
  <c r="I8" i="3" s="1"/>
  <c r="H9" i="3"/>
  <c r="I9" i="3" s="1"/>
  <c r="H13" i="3"/>
  <c r="I13" i="3" s="1"/>
  <c r="H19" i="3"/>
  <c r="I19" i="3" s="1"/>
  <c r="H83" i="2"/>
  <c r="L83" i="2"/>
  <c r="H81" i="2"/>
  <c r="L81" i="2"/>
  <c r="H73" i="2"/>
  <c r="H74" i="2"/>
  <c r="H75" i="2"/>
  <c r="H76" i="2"/>
  <c r="H77" i="2"/>
  <c r="H78" i="2"/>
  <c r="G74" i="2"/>
  <c r="G75" i="2"/>
  <c r="G76" i="2"/>
  <c r="L73" i="2"/>
  <c r="L74" i="2"/>
  <c r="L75" i="2"/>
  <c r="L76" i="2"/>
  <c r="L77" i="2"/>
  <c r="L78" i="2"/>
  <c r="E71" i="2"/>
  <c r="D71" i="2"/>
  <c r="E7" i="2"/>
  <c r="D7" i="2"/>
  <c r="E10" i="2"/>
  <c r="D10" i="2"/>
  <c r="E13" i="2"/>
  <c r="D13" i="2"/>
  <c r="E16" i="2"/>
  <c r="D16" i="2"/>
  <c r="E19" i="2"/>
  <c r="D19" i="2"/>
  <c r="E30" i="2"/>
  <c r="D30" i="2"/>
  <c r="E41" i="2"/>
  <c r="D41" i="2"/>
  <c r="E58" i="2"/>
  <c r="D58" i="2"/>
  <c r="E70" i="2"/>
  <c r="D22" i="3" s="1"/>
  <c r="D70" i="2"/>
  <c r="C22" i="3" s="1"/>
  <c r="E84" i="2"/>
  <c r="D84" i="2"/>
  <c r="E91" i="2"/>
  <c r="D91" i="2"/>
  <c r="E97" i="2"/>
  <c r="D97" i="2"/>
  <c r="AR64" i="1"/>
  <c r="AS64" i="1"/>
  <c r="AT64" i="1"/>
  <c r="AU64" i="1"/>
  <c r="W64" i="1"/>
  <c r="AA64" i="1" s="1"/>
  <c r="X64" i="1"/>
  <c r="AB64" i="1" s="1"/>
  <c r="Y64" i="1"/>
  <c r="AC64" i="1" s="1"/>
  <c r="Z64" i="1"/>
  <c r="AD64" i="1" s="1"/>
  <c r="H102" i="2"/>
  <c r="L102" i="2"/>
  <c r="H99" i="2"/>
  <c r="H100" i="2"/>
  <c r="L99" i="2"/>
  <c r="L100" i="2"/>
  <c r="H96" i="2"/>
  <c r="L96" i="2"/>
  <c r="H93" i="2"/>
  <c r="H94" i="2"/>
  <c r="L93" i="2"/>
  <c r="L94" i="2"/>
  <c r="H90" i="2"/>
  <c r="L90" i="2"/>
  <c r="H86" i="2"/>
  <c r="H87" i="2"/>
  <c r="L86" i="2"/>
  <c r="L87" i="2"/>
  <c r="H68" i="2"/>
  <c r="H69" i="2"/>
  <c r="L68" i="2"/>
  <c r="L69" i="2"/>
  <c r="H66" i="2"/>
  <c r="L66" i="2"/>
  <c r="H60" i="2"/>
  <c r="H61" i="2"/>
  <c r="H62" i="2"/>
  <c r="H63" i="2"/>
  <c r="G60" i="2"/>
  <c r="G61" i="2"/>
  <c r="G62" i="2"/>
  <c r="G63" i="2"/>
  <c r="L60" i="2"/>
  <c r="L61" i="2"/>
  <c r="L62" i="2"/>
  <c r="L63" i="2"/>
  <c r="L57" i="2"/>
  <c r="H56" i="2"/>
  <c r="L56" i="2"/>
  <c r="H54" i="2"/>
  <c r="L54" i="2"/>
  <c r="H51" i="2"/>
  <c r="H52" i="2"/>
  <c r="L51" i="2"/>
  <c r="L52" i="2"/>
  <c r="L48" i="2"/>
  <c r="H47" i="2"/>
  <c r="L47" i="2"/>
  <c r="H45" i="2"/>
  <c r="L45" i="2"/>
  <c r="H43" i="2"/>
  <c r="L43" i="2"/>
  <c r="H40" i="2"/>
  <c r="L40" i="2"/>
  <c r="H38" i="2"/>
  <c r="L38" i="2"/>
  <c r="H32" i="2"/>
  <c r="H33" i="2"/>
  <c r="H34" i="2"/>
  <c r="H35" i="2"/>
  <c r="G33" i="2"/>
  <c r="G34" i="2"/>
  <c r="G35" i="2"/>
  <c r="L32" i="2"/>
  <c r="L33" i="2"/>
  <c r="L34" i="2"/>
  <c r="L35" i="2"/>
  <c r="H29" i="2"/>
  <c r="L29" i="2"/>
  <c r="H27" i="2"/>
  <c r="L27" i="2"/>
  <c r="H21" i="2"/>
  <c r="H22" i="2"/>
  <c r="H23" i="2"/>
  <c r="H24" i="2"/>
  <c r="G22" i="2"/>
  <c r="G23" i="2"/>
  <c r="G24" i="2"/>
  <c r="L21" i="2"/>
  <c r="L22" i="2"/>
  <c r="L23" i="2"/>
  <c r="L24" i="2"/>
  <c r="H18" i="2"/>
  <c r="L18" i="2"/>
  <c r="H15" i="2"/>
  <c r="L15" i="2"/>
  <c r="H12" i="2"/>
  <c r="L12" i="2"/>
  <c r="H9" i="2"/>
  <c r="L9" i="2"/>
  <c r="AZ59" i="1" l="1"/>
  <c r="F70" i="2" s="1"/>
  <c r="E22" i="3" s="1"/>
  <c r="G22" i="3" s="1"/>
  <c r="AZ69" i="1"/>
  <c r="F84" i="2" s="1"/>
  <c r="I87" i="2" s="1"/>
  <c r="E18" i="3" s="1"/>
  <c r="G18" i="3" s="1"/>
  <c r="AZ72" i="1"/>
  <c r="F91" i="2" s="1"/>
  <c r="AZ17" i="1"/>
  <c r="F10" i="2" s="1"/>
  <c r="I12" i="2" s="1"/>
  <c r="AZ31" i="1"/>
  <c r="F13" i="2" s="1"/>
  <c r="I15" i="2" s="1"/>
  <c r="I90" i="2"/>
  <c r="I96" i="2"/>
  <c r="I94" i="2"/>
  <c r="I93" i="2"/>
  <c r="N31" i="1"/>
  <c r="L31" i="1"/>
  <c r="M31" i="1"/>
  <c r="O31" i="1"/>
  <c r="L17" i="1"/>
  <c r="M17" i="1"/>
  <c r="N17" i="1"/>
  <c r="O17" i="1"/>
  <c r="L72" i="1"/>
  <c r="M72" i="1"/>
  <c r="N72" i="1"/>
  <c r="O72" i="1"/>
  <c r="AU75" i="1"/>
  <c r="AT75" i="1"/>
  <c r="AS75" i="1"/>
  <c r="AR75" i="1"/>
  <c r="Z75" i="1"/>
  <c r="AD75" i="1" s="1"/>
  <c r="Y75" i="1"/>
  <c r="AC75" i="1" s="1"/>
  <c r="X75" i="1"/>
  <c r="AB75" i="1" s="1"/>
  <c r="W75" i="1"/>
  <c r="AA75" i="1" s="1"/>
  <c r="AU72" i="1"/>
  <c r="AT72" i="1"/>
  <c r="AS72" i="1"/>
  <c r="AR72" i="1"/>
  <c r="Z72" i="1"/>
  <c r="AD72" i="1" s="1"/>
  <c r="Y72" i="1"/>
  <c r="AC72" i="1" s="1"/>
  <c r="X72" i="1"/>
  <c r="AB72" i="1" s="1"/>
  <c r="W72" i="1"/>
  <c r="AA72" i="1" s="1"/>
  <c r="AU69" i="1"/>
  <c r="AT69" i="1"/>
  <c r="AS69" i="1"/>
  <c r="AR69" i="1"/>
  <c r="Z69" i="1"/>
  <c r="AD69" i="1" s="1"/>
  <c r="Y69" i="1"/>
  <c r="AC69" i="1" s="1"/>
  <c r="X69" i="1"/>
  <c r="AB69" i="1" s="1"/>
  <c r="W69" i="1"/>
  <c r="AA69" i="1" s="1"/>
  <c r="AU59" i="1"/>
  <c r="AT59" i="1"/>
  <c r="AS59" i="1"/>
  <c r="AR59" i="1"/>
  <c r="Z59" i="1"/>
  <c r="AD59" i="1" s="1"/>
  <c r="Y59" i="1"/>
  <c r="AC59" i="1" s="1"/>
  <c r="X59" i="1"/>
  <c r="AB59" i="1" s="1"/>
  <c r="W59" i="1"/>
  <c r="AA59" i="1" s="1"/>
  <c r="AU54" i="1"/>
  <c r="AT54" i="1"/>
  <c r="AS54" i="1"/>
  <c r="AR54" i="1"/>
  <c r="Z54" i="1"/>
  <c r="AD54" i="1" s="1"/>
  <c r="Y54" i="1"/>
  <c r="AC54" i="1" s="1"/>
  <c r="X54" i="1"/>
  <c r="AB54" i="1" s="1"/>
  <c r="W54" i="1"/>
  <c r="AA54" i="1" s="1"/>
  <c r="AU52" i="1"/>
  <c r="AT52" i="1"/>
  <c r="AS52" i="1"/>
  <c r="AR52" i="1"/>
  <c r="Z52" i="1"/>
  <c r="AD52" i="1" s="1"/>
  <c r="Y52" i="1"/>
  <c r="AC52" i="1" s="1"/>
  <c r="X52" i="1"/>
  <c r="AB52" i="1" s="1"/>
  <c r="W52" i="1"/>
  <c r="AA52" i="1" s="1"/>
  <c r="AU47" i="1"/>
  <c r="AT47" i="1"/>
  <c r="AS47" i="1"/>
  <c r="AR47" i="1"/>
  <c r="Z47" i="1"/>
  <c r="AD47" i="1" s="1"/>
  <c r="Y47" i="1"/>
  <c r="AC47" i="1" s="1"/>
  <c r="X47" i="1"/>
  <c r="AB47" i="1" s="1"/>
  <c r="W47" i="1"/>
  <c r="AA47" i="1" s="1"/>
  <c r="AU43" i="1"/>
  <c r="AT43" i="1"/>
  <c r="AS43" i="1"/>
  <c r="AR43" i="1"/>
  <c r="Z43" i="1"/>
  <c r="AD43" i="1" s="1"/>
  <c r="Y43" i="1"/>
  <c r="AC43" i="1" s="1"/>
  <c r="X43" i="1"/>
  <c r="AB43" i="1" s="1"/>
  <c r="W43" i="1"/>
  <c r="AA43" i="1" s="1"/>
  <c r="AU39" i="1"/>
  <c r="AT39" i="1"/>
  <c r="AS39" i="1"/>
  <c r="AR39" i="1"/>
  <c r="Z39" i="1"/>
  <c r="AD39" i="1" s="1"/>
  <c r="Y39" i="1"/>
  <c r="AC39" i="1" s="1"/>
  <c r="X39" i="1"/>
  <c r="AB39" i="1" s="1"/>
  <c r="W39" i="1"/>
  <c r="AA39" i="1" s="1"/>
  <c r="AU36" i="1"/>
  <c r="AT36" i="1"/>
  <c r="AS36" i="1"/>
  <c r="AR36" i="1"/>
  <c r="Z36" i="1"/>
  <c r="AD36" i="1" s="1"/>
  <c r="Y36" i="1"/>
  <c r="AC36" i="1" s="1"/>
  <c r="X36" i="1"/>
  <c r="AB36" i="1" s="1"/>
  <c r="W36" i="1"/>
  <c r="AA36" i="1" s="1"/>
  <c r="AU31" i="1"/>
  <c r="AT31" i="1"/>
  <c r="AS31" i="1"/>
  <c r="AR31" i="1"/>
  <c r="Z31" i="1"/>
  <c r="Y31" i="1"/>
  <c r="AC31" i="1" s="1"/>
  <c r="X31" i="1"/>
  <c r="AB31" i="1" s="1"/>
  <c r="W31" i="1"/>
  <c r="AA31" i="1" s="1"/>
  <c r="AD31" i="1"/>
  <c r="AU17" i="1"/>
  <c r="AT17" i="1"/>
  <c r="AS17" i="1"/>
  <c r="AR17" i="1"/>
  <c r="Z17" i="1"/>
  <c r="Y17" i="1"/>
  <c r="AC17" i="1" s="1"/>
  <c r="X17" i="1"/>
  <c r="AB17" i="1" s="1"/>
  <c r="W17" i="1"/>
  <c r="AA17" i="1" s="1"/>
  <c r="AD17" i="1"/>
  <c r="AU8" i="1"/>
  <c r="AT8" i="1"/>
  <c r="AS8" i="1"/>
  <c r="AR8" i="1"/>
  <c r="Z8" i="1"/>
  <c r="AD8" i="1" s="1"/>
  <c r="AD78" i="1" s="1"/>
  <c r="Y8" i="1"/>
  <c r="AC8" i="1" s="1"/>
  <c r="X8" i="1"/>
  <c r="AB8" i="1" s="1"/>
  <c r="AB78" i="1" s="1"/>
  <c r="W8" i="1"/>
  <c r="AA8" i="1" s="1"/>
  <c r="G15" i="81"/>
  <c r="B2" i="109"/>
  <c r="F10" i="106"/>
  <c r="E61" i="127"/>
  <c r="E60" i="130"/>
  <c r="E30" i="130"/>
  <c r="F30" i="130" s="1"/>
  <c r="E31" i="127"/>
  <c r="F31" i="127" s="1"/>
  <c r="H40" i="127"/>
  <c r="I40" i="127" s="1"/>
  <c r="F40" i="127"/>
  <c r="H39" i="127"/>
  <c r="I39" i="127"/>
  <c r="F39" i="127"/>
  <c r="G37" i="127"/>
  <c r="H37" i="127" s="1"/>
  <c r="I37" i="127" s="1"/>
  <c r="E37" i="127"/>
  <c r="F37" i="127"/>
  <c r="H36" i="127"/>
  <c r="I36" i="127"/>
  <c r="O35" i="127"/>
  <c r="O34" i="127"/>
  <c r="O33" i="127"/>
  <c r="O32" i="127"/>
  <c r="O31" i="127"/>
  <c r="O30" i="127"/>
  <c r="O29" i="127"/>
  <c r="O28" i="127"/>
  <c r="E28" i="127"/>
  <c r="F28" i="127" s="1"/>
  <c r="O27" i="127"/>
  <c r="D27" i="127"/>
  <c r="O26" i="127"/>
  <c r="D26" i="127"/>
  <c r="O25" i="127"/>
  <c r="G25" i="127"/>
  <c r="H25" i="127" s="1"/>
  <c r="I25" i="127" s="1"/>
  <c r="E25" i="127"/>
  <c r="F25" i="127" s="1"/>
  <c r="D25" i="127"/>
  <c r="O24" i="127"/>
  <c r="G24" i="127"/>
  <c r="H24" i="127" s="1"/>
  <c r="I24" i="127" s="1"/>
  <c r="E24" i="127"/>
  <c r="F24" i="127" s="1"/>
  <c r="D24" i="127"/>
  <c r="O23" i="127"/>
  <c r="E23" i="127"/>
  <c r="F23" i="127" s="1"/>
  <c r="D23" i="127"/>
  <c r="O22" i="127"/>
  <c r="G22" i="127"/>
  <c r="H22" i="127" s="1"/>
  <c r="I22" i="127" s="1"/>
  <c r="E22" i="127"/>
  <c r="F22" i="127" s="1"/>
  <c r="D22" i="127"/>
  <c r="O21" i="127"/>
  <c r="D21" i="127"/>
  <c r="O20" i="127"/>
  <c r="D20" i="127"/>
  <c r="O19" i="127"/>
  <c r="D19" i="127"/>
  <c r="O18" i="127"/>
  <c r="G18" i="127"/>
  <c r="H18" i="127" s="1"/>
  <c r="I18" i="127" s="1"/>
  <c r="D18" i="127"/>
  <c r="O17" i="127"/>
  <c r="G17" i="127"/>
  <c r="H17" i="127" s="1"/>
  <c r="I17" i="127" s="1"/>
  <c r="E17" i="127"/>
  <c r="F17" i="127" s="1"/>
  <c r="D17" i="127"/>
  <c r="O16" i="127"/>
  <c r="L16" i="127"/>
  <c r="D16" i="127"/>
  <c r="O15" i="127"/>
  <c r="L15" i="127"/>
  <c r="D15" i="127"/>
  <c r="O14" i="127"/>
  <c r="E14" i="127"/>
  <c r="F14" i="127" s="1"/>
  <c r="D14" i="127"/>
  <c r="O13" i="127"/>
  <c r="L13" i="127"/>
  <c r="D13" i="127"/>
  <c r="AQ119" i="10"/>
  <c r="AR119" i="10"/>
  <c r="AQ74" i="10"/>
  <c r="AR74" i="10"/>
  <c r="AG289" i="10"/>
  <c r="AG274" i="10"/>
  <c r="AG259" i="10"/>
  <c r="AG244" i="10"/>
  <c r="AG229" i="10"/>
  <c r="AG214" i="10"/>
  <c r="AG199" i="10"/>
  <c r="AC179" i="10"/>
  <c r="AD179" i="10"/>
  <c r="AG169" i="10"/>
  <c r="AG142" i="10"/>
  <c r="AG141" i="10" s="1"/>
  <c r="AG140" i="10" s="1"/>
  <c r="AG127" i="10"/>
  <c r="AG126" i="10" s="1"/>
  <c r="AG125" i="10" s="1"/>
  <c r="AG112" i="10"/>
  <c r="AG111" i="10" s="1"/>
  <c r="AG110" i="10" s="1"/>
  <c r="S194" i="10"/>
  <c r="S293" i="10"/>
  <c r="S292" i="10" s="1"/>
  <c r="S291" i="10" s="1"/>
  <c r="S290" i="10" s="1"/>
  <c r="S289" i="10" s="1"/>
  <c r="S277" i="10"/>
  <c r="S276" i="10" s="1"/>
  <c r="S275" i="10" s="1"/>
  <c r="S274" i="10" s="1"/>
  <c r="S262" i="10"/>
  <c r="S261" i="10" s="1"/>
  <c r="S260" i="10" s="1"/>
  <c r="S259" i="10" s="1"/>
  <c r="S248" i="10"/>
  <c r="S247" i="10" s="1"/>
  <c r="S246" i="10" s="1"/>
  <c r="S245" i="10" s="1"/>
  <c r="S244" i="10" s="1"/>
  <c r="S217" i="10"/>
  <c r="S216" i="10" s="1"/>
  <c r="S203" i="10"/>
  <c r="S202" i="10" s="1"/>
  <c r="S201" i="10" s="1"/>
  <c r="S200" i="10" s="1"/>
  <c r="S199" i="10" s="1"/>
  <c r="S187" i="10"/>
  <c r="S186" i="10" s="1"/>
  <c r="S185" i="10" s="1"/>
  <c r="S184" i="10" s="1"/>
  <c r="S172" i="10"/>
  <c r="S171" i="10" s="1"/>
  <c r="S170" i="10" s="1"/>
  <c r="S169" i="10" s="1"/>
  <c r="S144" i="10"/>
  <c r="S143" i="10" s="1"/>
  <c r="S142" i="10" s="1"/>
  <c r="S141" i="10" s="1"/>
  <c r="S140" i="10" s="1"/>
  <c r="S114" i="10"/>
  <c r="S113" i="10" s="1"/>
  <c r="S99" i="10"/>
  <c r="S98" i="10" s="1"/>
  <c r="S97" i="10" s="1"/>
  <c r="S96" i="10" s="1"/>
  <c r="S95" i="10" s="1"/>
  <c r="S69" i="10"/>
  <c r="S68" i="10" s="1"/>
  <c r="AG67" i="10"/>
  <c r="AG66" i="10" s="1"/>
  <c r="AG65" i="10" s="1"/>
  <c r="D13" i="130"/>
  <c r="Q61" i="130"/>
  <c r="P34" i="130"/>
  <c r="P33" i="130"/>
  <c r="P32" i="130"/>
  <c r="P31" i="130"/>
  <c r="P30" i="130"/>
  <c r="P29" i="130"/>
  <c r="P28" i="130"/>
  <c r="P27" i="130"/>
  <c r="P26" i="130"/>
  <c r="P25" i="130"/>
  <c r="P24" i="130"/>
  <c r="P23" i="130"/>
  <c r="P21" i="130"/>
  <c r="P20" i="130"/>
  <c r="P19" i="130"/>
  <c r="P18" i="130"/>
  <c r="P17" i="130"/>
  <c r="P16" i="130"/>
  <c r="P15" i="130"/>
  <c r="P14" i="130"/>
  <c r="P12" i="130"/>
  <c r="P10" i="130"/>
  <c r="P61" i="130"/>
  <c r="D21" i="130"/>
  <c r="O21" i="130"/>
  <c r="D17" i="130"/>
  <c r="D16" i="130"/>
  <c r="D19" i="130"/>
  <c r="D18" i="130"/>
  <c r="E16" i="81"/>
  <c r="J10" i="10"/>
  <c r="F11" i="129"/>
  <c r="F12" i="129"/>
  <c r="F13" i="129"/>
  <c r="F14" i="129"/>
  <c r="F15" i="129"/>
  <c r="F11" i="82"/>
  <c r="F12" i="82"/>
  <c r="F13" i="82"/>
  <c r="F14" i="82"/>
  <c r="F26" i="128"/>
  <c r="F60" i="130"/>
  <c r="F59" i="130"/>
  <c r="F55" i="130"/>
  <c r="O48" i="130"/>
  <c r="O47" i="130"/>
  <c r="O46" i="130"/>
  <c r="D46" i="130"/>
  <c r="O45" i="130"/>
  <c r="O44" i="130"/>
  <c r="E43" i="130"/>
  <c r="F43" i="130" s="1"/>
  <c r="H39" i="130"/>
  <c r="I39" i="130" s="1"/>
  <c r="F39" i="130"/>
  <c r="H38" i="130"/>
  <c r="I38" i="130" s="1"/>
  <c r="F38" i="130"/>
  <c r="G36" i="130"/>
  <c r="H36" i="130" s="1"/>
  <c r="I36" i="130" s="1"/>
  <c r="E36" i="130"/>
  <c r="F36" i="130" s="1"/>
  <c r="H35" i="130"/>
  <c r="I35" i="130" s="1"/>
  <c r="O34" i="130"/>
  <c r="O33" i="130"/>
  <c r="O32" i="130"/>
  <c r="O31" i="130"/>
  <c r="O30" i="130"/>
  <c r="O29" i="130"/>
  <c r="O28" i="130"/>
  <c r="O27" i="130"/>
  <c r="E27" i="130"/>
  <c r="F27" i="130" s="1"/>
  <c r="O26" i="130"/>
  <c r="D26" i="130"/>
  <c r="O25" i="130"/>
  <c r="D25" i="130"/>
  <c r="O24" i="130"/>
  <c r="D24" i="130"/>
  <c r="O23" i="130"/>
  <c r="D23" i="130"/>
  <c r="O22" i="130"/>
  <c r="E22" i="130"/>
  <c r="F22" i="130" s="1"/>
  <c r="D22" i="130"/>
  <c r="O20" i="130"/>
  <c r="D20" i="130"/>
  <c r="O19" i="130"/>
  <c r="O18" i="130"/>
  <c r="O17" i="130"/>
  <c r="O16" i="130"/>
  <c r="O15" i="130"/>
  <c r="L15" i="130"/>
  <c r="D15" i="130"/>
  <c r="O14" i="130"/>
  <c r="L14" i="130"/>
  <c r="D14" i="130"/>
  <c r="O13" i="130"/>
  <c r="E13" i="130"/>
  <c r="F13" i="130" s="1"/>
  <c r="O12" i="130"/>
  <c r="L12" i="130"/>
  <c r="D12" i="130"/>
  <c r="O10" i="130"/>
  <c r="F21" i="128"/>
  <c r="F22" i="128"/>
  <c r="F23" i="128"/>
  <c r="F28" i="128"/>
  <c r="F23" i="81"/>
  <c r="F24" i="81"/>
  <c r="F25" i="81"/>
  <c r="F29" i="81"/>
  <c r="O11" i="127"/>
  <c r="O49" i="127"/>
  <c r="O48" i="127"/>
  <c r="O47" i="127"/>
  <c r="O46" i="127"/>
  <c r="O45" i="127"/>
  <c r="B125" i="10"/>
  <c r="F157" i="10"/>
  <c r="F154" i="10"/>
  <c r="F149" i="10"/>
  <c r="AQ81" i="10"/>
  <c r="AQ82" i="10"/>
  <c r="AQ83" i="10"/>
  <c r="AQ84" i="10"/>
  <c r="AQ85" i="10"/>
  <c r="AQ86" i="10"/>
  <c r="AQ87" i="10"/>
  <c r="AQ88" i="10"/>
  <c r="AQ89" i="10"/>
  <c r="AQ90" i="10"/>
  <c r="AQ80" i="10"/>
  <c r="AR81" i="10"/>
  <c r="AS81" i="10"/>
  <c r="AT81" i="10"/>
  <c r="AU81" i="10"/>
  <c r="AR82" i="10"/>
  <c r="AS82" i="10"/>
  <c r="AT82" i="10"/>
  <c r="AU82" i="10"/>
  <c r="AR83" i="10"/>
  <c r="AS83" i="10"/>
  <c r="AT83" i="10"/>
  <c r="AU83" i="10"/>
  <c r="AR84" i="10"/>
  <c r="AS84" i="10"/>
  <c r="AT84" i="10"/>
  <c r="AU84" i="10"/>
  <c r="AR85" i="10"/>
  <c r="AS85" i="10"/>
  <c r="AT85" i="10"/>
  <c r="AU85" i="10"/>
  <c r="AR86" i="10"/>
  <c r="AS86" i="10"/>
  <c r="AT86" i="10"/>
  <c r="AU86" i="10"/>
  <c r="AR87" i="10"/>
  <c r="AS87" i="10"/>
  <c r="AT87" i="10"/>
  <c r="AU87" i="10"/>
  <c r="AR88" i="10"/>
  <c r="AS88" i="10"/>
  <c r="AT88" i="10"/>
  <c r="AU88" i="10"/>
  <c r="AR89" i="10"/>
  <c r="AS89" i="10"/>
  <c r="AT89" i="10"/>
  <c r="AU89" i="10"/>
  <c r="AR90" i="10"/>
  <c r="AS90" i="10"/>
  <c r="AT90" i="10"/>
  <c r="AU90" i="10"/>
  <c r="AS80" i="10"/>
  <c r="AT80" i="10"/>
  <c r="AU80" i="10"/>
  <c r="AR80" i="10"/>
  <c r="AC185" i="10"/>
  <c r="AD185" i="10"/>
  <c r="AE185" i="10"/>
  <c r="AF185" i="10"/>
  <c r="AG185" i="10"/>
  <c r="AC186" i="10"/>
  <c r="AD186" i="10"/>
  <c r="AE186" i="10"/>
  <c r="AF186" i="10"/>
  <c r="AG186" i="10"/>
  <c r="AC187" i="10"/>
  <c r="AD187" i="10"/>
  <c r="AE187" i="10"/>
  <c r="AF187" i="10"/>
  <c r="AG187" i="10"/>
  <c r="AC188" i="10"/>
  <c r="AD188" i="10"/>
  <c r="AE188" i="10"/>
  <c r="AF188" i="10"/>
  <c r="AG188" i="10"/>
  <c r="AC189" i="10"/>
  <c r="AD189" i="10"/>
  <c r="AE189" i="10"/>
  <c r="AF189" i="10"/>
  <c r="AG189" i="10"/>
  <c r="AC190" i="10"/>
  <c r="AD190" i="10"/>
  <c r="AE190" i="10"/>
  <c r="AF190" i="10"/>
  <c r="AG190" i="10"/>
  <c r="AC191" i="10"/>
  <c r="AD191" i="10"/>
  <c r="AE191" i="10"/>
  <c r="AF191" i="10"/>
  <c r="AG191" i="10"/>
  <c r="AC192" i="10"/>
  <c r="AD192" i="10"/>
  <c r="AE192" i="10"/>
  <c r="AF192" i="10"/>
  <c r="AG192" i="10"/>
  <c r="AC193" i="10"/>
  <c r="AD193" i="10"/>
  <c r="AE193" i="10"/>
  <c r="AF193" i="10"/>
  <c r="AG193" i="10"/>
  <c r="AC194" i="10"/>
  <c r="AD194" i="10"/>
  <c r="AE194" i="10"/>
  <c r="AF194" i="10"/>
  <c r="AG194" i="10"/>
  <c r="AD184" i="10"/>
  <c r="AE184" i="10"/>
  <c r="AF184" i="10"/>
  <c r="AG184" i="10"/>
  <c r="AC184" i="10"/>
  <c r="AC81" i="10"/>
  <c r="AD81" i="10"/>
  <c r="AE81" i="10"/>
  <c r="AF81" i="10"/>
  <c r="AC82" i="10"/>
  <c r="AD82" i="10"/>
  <c r="AE82" i="10"/>
  <c r="AF82" i="10"/>
  <c r="AC83" i="10"/>
  <c r="AD83" i="10"/>
  <c r="AE83" i="10"/>
  <c r="AF83" i="10"/>
  <c r="AG83" i="10"/>
  <c r="AG82" i="10" s="1"/>
  <c r="AG81" i="10" s="1"/>
  <c r="AG80" i="10" s="1"/>
  <c r="AC84" i="10"/>
  <c r="AD84" i="10"/>
  <c r="AE84" i="10"/>
  <c r="AF84" i="10"/>
  <c r="AG84" i="10"/>
  <c r="AC85" i="10"/>
  <c r="AD85" i="10"/>
  <c r="AE85" i="10"/>
  <c r="AF85" i="10"/>
  <c r="AG85" i="10"/>
  <c r="AC86" i="10"/>
  <c r="AD86" i="10"/>
  <c r="AE86" i="10"/>
  <c r="AF86" i="10"/>
  <c r="AG86" i="10"/>
  <c r="AC87" i="10"/>
  <c r="AD87" i="10"/>
  <c r="AE87" i="10"/>
  <c r="AF87" i="10"/>
  <c r="AG87" i="10"/>
  <c r="AC88" i="10"/>
  <c r="AD88" i="10"/>
  <c r="AE88" i="10"/>
  <c r="AF88" i="10"/>
  <c r="AG88" i="10"/>
  <c r="AC89" i="10"/>
  <c r="AD89" i="10"/>
  <c r="AE89" i="10"/>
  <c r="AF89" i="10"/>
  <c r="AG89" i="10"/>
  <c r="AC90" i="10"/>
  <c r="AD90" i="10"/>
  <c r="AE90" i="10"/>
  <c r="AF90" i="10"/>
  <c r="AG90" i="10"/>
  <c r="AD80" i="10"/>
  <c r="AE80" i="10"/>
  <c r="AF80" i="10"/>
  <c r="AC80" i="10"/>
  <c r="B122" i="10"/>
  <c r="F28" i="129"/>
  <c r="D47" i="127"/>
  <c r="E31" i="82"/>
  <c r="I7" i="52"/>
  <c r="D7" i="52" s="1"/>
  <c r="D9" i="54" s="1"/>
  <c r="E7" i="30"/>
  <c r="F61" i="127"/>
  <c r="F60" i="127"/>
  <c r="F56" i="127"/>
  <c r="E44" i="127"/>
  <c r="F44" i="127" s="1"/>
  <c r="Q361" i="10"/>
  <c r="R361" i="10"/>
  <c r="S361" i="10"/>
  <c r="T361" i="10"/>
  <c r="U361" i="10"/>
  <c r="V361" i="10"/>
  <c r="W361" i="10"/>
  <c r="Q362" i="10"/>
  <c r="R362" i="10"/>
  <c r="S362" i="10"/>
  <c r="T362" i="10"/>
  <c r="U362" i="10"/>
  <c r="V362" i="10"/>
  <c r="W362" i="10"/>
  <c r="Q363" i="10"/>
  <c r="R363" i="10"/>
  <c r="S363" i="10"/>
  <c r="T363" i="10"/>
  <c r="U363" i="10"/>
  <c r="V363" i="10"/>
  <c r="W363" i="10"/>
  <c r="Q364" i="10"/>
  <c r="R364" i="10"/>
  <c r="S364" i="10"/>
  <c r="T364" i="10"/>
  <c r="U364" i="10"/>
  <c r="V364" i="10"/>
  <c r="W364" i="10"/>
  <c r="Q365" i="10"/>
  <c r="R365" i="10"/>
  <c r="S365" i="10"/>
  <c r="T365" i="10"/>
  <c r="U365" i="10"/>
  <c r="V365" i="10"/>
  <c r="W365" i="10"/>
  <c r="P362" i="10"/>
  <c r="P363" i="10"/>
  <c r="P364" i="10"/>
  <c r="P365" i="10"/>
  <c r="P361" i="10"/>
  <c r="P354" i="10"/>
  <c r="Q354" i="10"/>
  <c r="R354" i="10"/>
  <c r="S354" i="10"/>
  <c r="T354" i="10"/>
  <c r="U354" i="10"/>
  <c r="V354" i="10"/>
  <c r="W354" i="10"/>
  <c r="P355" i="10"/>
  <c r="Q355" i="10"/>
  <c r="R355" i="10"/>
  <c r="S355" i="10"/>
  <c r="T355" i="10"/>
  <c r="U355" i="10"/>
  <c r="V355" i="10"/>
  <c r="W355" i="10"/>
  <c r="P356" i="10"/>
  <c r="Q356" i="10"/>
  <c r="R356" i="10"/>
  <c r="S356" i="10"/>
  <c r="T356" i="10"/>
  <c r="U356" i="10"/>
  <c r="V356" i="10"/>
  <c r="W356" i="10"/>
  <c r="P357" i="10"/>
  <c r="Q357" i="10"/>
  <c r="R357" i="10"/>
  <c r="S357" i="10"/>
  <c r="T357" i="10"/>
  <c r="U357" i="10"/>
  <c r="V357" i="10"/>
  <c r="W357" i="10"/>
  <c r="Q353" i="10"/>
  <c r="R353" i="10"/>
  <c r="S353" i="10"/>
  <c r="T353" i="10"/>
  <c r="U353" i="10"/>
  <c r="V353" i="10"/>
  <c r="W353" i="10"/>
  <c r="P353" i="10"/>
  <c r="P386" i="10"/>
  <c r="Q386" i="10"/>
  <c r="R386" i="10"/>
  <c r="S386" i="10"/>
  <c r="T386" i="10"/>
  <c r="U386" i="10"/>
  <c r="V386" i="10"/>
  <c r="W386" i="10"/>
  <c r="P387" i="10"/>
  <c r="Q387" i="10"/>
  <c r="R387" i="10"/>
  <c r="S387" i="10"/>
  <c r="T387" i="10"/>
  <c r="U387" i="10"/>
  <c r="V387" i="10"/>
  <c r="W387" i="10"/>
  <c r="P388" i="10"/>
  <c r="Q388" i="10"/>
  <c r="R388" i="10"/>
  <c r="S388" i="10"/>
  <c r="T388" i="10"/>
  <c r="U388" i="10"/>
  <c r="V388" i="10"/>
  <c r="W388" i="10"/>
  <c r="P389" i="10"/>
  <c r="Q389" i="10"/>
  <c r="R389" i="10"/>
  <c r="S389" i="10"/>
  <c r="T389" i="10"/>
  <c r="U389" i="10"/>
  <c r="V389" i="10"/>
  <c r="W389" i="10"/>
  <c r="Q385" i="10"/>
  <c r="R385" i="10"/>
  <c r="S385" i="10"/>
  <c r="T385" i="10"/>
  <c r="U385" i="10"/>
  <c r="V385" i="10"/>
  <c r="W385" i="10"/>
  <c r="P385" i="10"/>
  <c r="Q377" i="10"/>
  <c r="R377" i="10"/>
  <c r="S377" i="10"/>
  <c r="T377" i="10"/>
  <c r="U377" i="10"/>
  <c r="V377" i="10"/>
  <c r="W377" i="10"/>
  <c r="Q378" i="10"/>
  <c r="R378" i="10"/>
  <c r="S378" i="10"/>
  <c r="T378" i="10"/>
  <c r="U378" i="10"/>
  <c r="V378" i="10"/>
  <c r="W378" i="10"/>
  <c r="Q379" i="10"/>
  <c r="R379" i="10"/>
  <c r="S379" i="10"/>
  <c r="T379" i="10"/>
  <c r="U379" i="10"/>
  <c r="V379" i="10"/>
  <c r="W379" i="10"/>
  <c r="Q380" i="10"/>
  <c r="R380" i="10"/>
  <c r="S380" i="10"/>
  <c r="T380" i="10"/>
  <c r="U380" i="10"/>
  <c r="V380" i="10"/>
  <c r="W380" i="10"/>
  <c r="Q381" i="10"/>
  <c r="R381" i="10"/>
  <c r="S381" i="10"/>
  <c r="T381" i="10"/>
  <c r="U381" i="10"/>
  <c r="V381" i="10"/>
  <c r="W381" i="10"/>
  <c r="P378" i="10"/>
  <c r="P379" i="10"/>
  <c r="P380" i="10"/>
  <c r="P381" i="10"/>
  <c r="P377" i="10"/>
  <c r="X353" i="10"/>
  <c r="X361" i="10" s="1"/>
  <c r="Y353" i="10"/>
  <c r="Y361" i="10" s="1"/>
  <c r="X354" i="10"/>
  <c r="X362" i="10" s="1"/>
  <c r="Y354" i="10"/>
  <c r="Y362" i="10" s="1"/>
  <c r="X355" i="10"/>
  <c r="X363" i="10" s="1"/>
  <c r="Y355" i="10"/>
  <c r="Y363" i="10" s="1"/>
  <c r="X356" i="10"/>
  <c r="X364" i="10" s="1"/>
  <c r="Y356" i="10"/>
  <c r="Y364" i="10" s="1"/>
  <c r="X357" i="10"/>
  <c r="X365" i="10" s="1"/>
  <c r="Y357" i="10"/>
  <c r="Y365" i="10" s="1"/>
  <c r="O229" i="10"/>
  <c r="P229" i="10"/>
  <c r="Q229" i="10"/>
  <c r="R229" i="10"/>
  <c r="O230" i="10"/>
  <c r="P230" i="10"/>
  <c r="Q230" i="10"/>
  <c r="R230" i="10"/>
  <c r="O231" i="10"/>
  <c r="P231" i="10"/>
  <c r="Q231" i="10"/>
  <c r="R231" i="10"/>
  <c r="O232" i="10"/>
  <c r="P232" i="10"/>
  <c r="Q232" i="10"/>
  <c r="R232" i="10"/>
  <c r="S232" i="10"/>
  <c r="O233" i="10"/>
  <c r="P233" i="10"/>
  <c r="Q233" i="10"/>
  <c r="R233" i="10"/>
  <c r="S233" i="10"/>
  <c r="O234" i="10"/>
  <c r="P234" i="10"/>
  <c r="Q234" i="10"/>
  <c r="R234" i="10"/>
  <c r="S234" i="10"/>
  <c r="O235" i="10"/>
  <c r="P235" i="10"/>
  <c r="Q235" i="10"/>
  <c r="R235" i="10"/>
  <c r="S235" i="10"/>
  <c r="O236" i="10"/>
  <c r="P236" i="10"/>
  <c r="Q236" i="10"/>
  <c r="R236" i="10"/>
  <c r="S236" i="10"/>
  <c r="O237" i="10"/>
  <c r="P237" i="10"/>
  <c r="Q237" i="10"/>
  <c r="R237" i="10"/>
  <c r="S237" i="10"/>
  <c r="O238" i="10"/>
  <c r="P238" i="10"/>
  <c r="Q238" i="10"/>
  <c r="R238" i="10"/>
  <c r="S238" i="10"/>
  <c r="O239" i="10"/>
  <c r="P239" i="10"/>
  <c r="Q239" i="10"/>
  <c r="R239" i="10"/>
  <c r="S239" i="10"/>
  <c r="O81" i="10"/>
  <c r="P81" i="10"/>
  <c r="Q81" i="10"/>
  <c r="R81" i="10"/>
  <c r="O82" i="10"/>
  <c r="P82" i="10"/>
  <c r="Q82" i="10"/>
  <c r="R82" i="10"/>
  <c r="O83" i="10"/>
  <c r="P83" i="10"/>
  <c r="Q83" i="10"/>
  <c r="R83" i="10"/>
  <c r="O84" i="10"/>
  <c r="P84" i="10"/>
  <c r="Q84" i="10"/>
  <c r="R84" i="10"/>
  <c r="S84" i="10"/>
  <c r="O85" i="10"/>
  <c r="P85" i="10"/>
  <c r="Q85" i="10"/>
  <c r="R85" i="10"/>
  <c r="S85" i="10"/>
  <c r="O86" i="10"/>
  <c r="P86" i="10"/>
  <c r="Q86" i="10"/>
  <c r="R86" i="10"/>
  <c r="S86" i="10"/>
  <c r="O87" i="10"/>
  <c r="P87" i="10"/>
  <c r="Q87" i="10"/>
  <c r="R87" i="10"/>
  <c r="S87" i="10"/>
  <c r="O88" i="10"/>
  <c r="P88" i="10"/>
  <c r="Q88" i="10"/>
  <c r="R88" i="10"/>
  <c r="S88" i="10"/>
  <c r="O89" i="10"/>
  <c r="P89" i="10"/>
  <c r="Q89" i="10"/>
  <c r="R89" i="10"/>
  <c r="S89" i="10"/>
  <c r="O90" i="10"/>
  <c r="P90" i="10"/>
  <c r="Q90" i="10"/>
  <c r="R90" i="10"/>
  <c r="S90" i="10"/>
  <c r="P80" i="10"/>
  <c r="Q80" i="10"/>
  <c r="R80" i="10"/>
  <c r="C19" i="125"/>
  <c r="F20" i="126"/>
  <c r="E20" i="126"/>
  <c r="G19" i="126"/>
  <c r="H19" i="126" s="1"/>
  <c r="G18" i="126"/>
  <c r="H18" i="126" s="1"/>
  <c r="G17" i="126"/>
  <c r="H17" i="126" s="1"/>
  <c r="N18" i="122"/>
  <c r="K27" i="122" s="1"/>
  <c r="K25" i="122" s="1"/>
  <c r="K29" i="122" s="1"/>
  <c r="L18" i="122"/>
  <c r="K18" i="122"/>
  <c r="K20" i="122" s="1"/>
  <c r="D8" i="55"/>
  <c r="I26" i="121"/>
  <c r="I22" i="121"/>
  <c r="I19" i="121"/>
  <c r="J17" i="54"/>
  <c r="G13" i="115"/>
  <c r="G12" i="115"/>
  <c r="G12" i="114"/>
  <c r="E10" i="111"/>
  <c r="G62" i="110"/>
  <c r="G61" i="110"/>
  <c r="G60" i="110"/>
  <c r="G59" i="110"/>
  <c r="G58" i="110"/>
  <c r="G57" i="110"/>
  <c r="G56" i="110"/>
  <c r="G55" i="110"/>
  <c r="G38" i="110"/>
  <c r="G37" i="110"/>
  <c r="G36" i="110"/>
  <c r="G35" i="110"/>
  <c r="G34" i="110"/>
  <c r="G33" i="110"/>
  <c r="G32" i="110"/>
  <c r="G31" i="110"/>
  <c r="G13" i="110"/>
  <c r="G12" i="110"/>
  <c r="G11" i="110"/>
  <c r="G10" i="110"/>
  <c r="G9" i="110"/>
  <c r="G8" i="110"/>
  <c r="G7" i="110"/>
  <c r="G6" i="110"/>
  <c r="H15" i="108"/>
  <c r="H14" i="108"/>
  <c r="H13" i="108"/>
  <c r="H12" i="108"/>
  <c r="H11" i="108"/>
  <c r="H10" i="108"/>
  <c r="H9" i="108"/>
  <c r="H8" i="108"/>
  <c r="H7" i="108"/>
  <c r="H6" i="108"/>
  <c r="D10" i="55"/>
  <c r="E10" i="55" s="1"/>
  <c r="E8" i="107" s="1"/>
  <c r="D11" i="55"/>
  <c r="E11" i="55" s="1"/>
  <c r="E9" i="107" s="1"/>
  <c r="D12" i="55"/>
  <c r="G12" i="8"/>
  <c r="H12" i="8" s="1"/>
  <c r="G13" i="8"/>
  <c r="H13" i="8" s="1"/>
  <c r="C9" i="107"/>
  <c r="C8" i="107"/>
  <c r="C7" i="107"/>
  <c r="H30" i="107"/>
  <c r="G30" i="107"/>
  <c r="F30" i="107"/>
  <c r="E30" i="107"/>
  <c r="D9" i="55"/>
  <c r="E8" i="55"/>
  <c r="D13" i="55"/>
  <c r="E11" i="54"/>
  <c r="E12" i="54"/>
  <c r="E13" i="54"/>
  <c r="E14" i="54"/>
  <c r="E15" i="54"/>
  <c r="D11" i="54"/>
  <c r="D12" i="54"/>
  <c r="D13" i="54"/>
  <c r="D14" i="54"/>
  <c r="D15" i="54"/>
  <c r="C15" i="54"/>
  <c r="C12" i="54"/>
  <c r="C13" i="54"/>
  <c r="C14" i="54"/>
  <c r="F10" i="52"/>
  <c r="F12" i="54" s="1"/>
  <c r="F11" i="52"/>
  <c r="G11" i="52" s="1"/>
  <c r="F12" i="52"/>
  <c r="G12" i="52" s="1"/>
  <c r="G14" i="54" s="1"/>
  <c r="F13" i="52"/>
  <c r="G13" i="52" s="1"/>
  <c r="G15" i="54" s="1"/>
  <c r="F9" i="52"/>
  <c r="E8" i="52"/>
  <c r="E10" i="54" s="1"/>
  <c r="D10" i="54"/>
  <c r="C9" i="54"/>
  <c r="C10" i="54"/>
  <c r="C11" i="54"/>
  <c r="C8" i="54"/>
  <c r="F8" i="6"/>
  <c r="D16" i="10"/>
  <c r="F28" i="126" s="1"/>
  <c r="W22" i="96"/>
  <c r="W21" i="96"/>
  <c r="W20" i="96"/>
  <c r="AC14" i="96"/>
  <c r="AC13" i="96"/>
  <c r="AC12" i="96"/>
  <c r="AC11" i="96"/>
  <c r="AC10" i="96"/>
  <c r="AC9" i="96"/>
  <c r="AC8" i="96"/>
  <c r="AC7" i="96"/>
  <c r="AC6" i="96"/>
  <c r="AC5" i="96"/>
  <c r="AC4" i="96"/>
  <c r="AC3" i="96"/>
  <c r="C5205" i="96"/>
  <c r="C5206" i="96"/>
  <c r="C5207" i="96"/>
  <c r="C5208" i="96"/>
  <c r="C5209" i="96"/>
  <c r="C5210" i="96"/>
  <c r="C5211" i="96"/>
  <c r="C5212" i="96"/>
  <c r="C5213" i="96"/>
  <c r="C5214" i="96"/>
  <c r="C5215" i="96"/>
  <c r="C5216" i="96"/>
  <c r="C5217" i="96"/>
  <c r="C5218" i="96"/>
  <c r="C5219" i="96"/>
  <c r="C5220" i="96"/>
  <c r="C5221" i="96"/>
  <c r="C5222" i="96"/>
  <c r="C5223" i="96"/>
  <c r="C5224" i="96"/>
  <c r="C5225" i="96"/>
  <c r="C5226" i="96"/>
  <c r="C5227" i="96"/>
  <c r="C5228" i="96"/>
  <c r="C5229" i="96"/>
  <c r="C5230" i="96"/>
  <c r="C5231" i="96"/>
  <c r="C5232" i="96"/>
  <c r="C5233" i="96"/>
  <c r="C5234" i="96"/>
  <c r="C5235" i="96"/>
  <c r="C5236" i="96"/>
  <c r="C5237" i="96"/>
  <c r="C5238" i="96"/>
  <c r="C5239" i="96"/>
  <c r="C5240" i="96"/>
  <c r="C5241" i="96"/>
  <c r="C5242" i="96"/>
  <c r="C5243" i="96"/>
  <c r="C5244" i="96"/>
  <c r="C5245" i="96"/>
  <c r="C5246" i="96"/>
  <c r="C5247" i="96"/>
  <c r="C5248" i="96"/>
  <c r="C5249" i="96"/>
  <c r="C5250" i="96"/>
  <c r="C5251" i="96"/>
  <c r="C5252" i="96"/>
  <c r="C5253" i="96"/>
  <c r="C5254" i="96"/>
  <c r="C5255" i="96"/>
  <c r="C5256" i="96"/>
  <c r="C5257" i="96"/>
  <c r="C5258" i="96"/>
  <c r="C5259" i="96"/>
  <c r="C5260" i="96"/>
  <c r="C5261" i="96"/>
  <c r="C5262" i="96"/>
  <c r="C5263" i="96"/>
  <c r="C5264" i="96"/>
  <c r="C5265" i="96"/>
  <c r="C5266" i="96"/>
  <c r="C5267" i="96"/>
  <c r="C5268" i="96"/>
  <c r="C5269" i="96"/>
  <c r="C5270" i="96"/>
  <c r="C5271" i="96"/>
  <c r="C5272" i="96"/>
  <c r="C5273" i="96"/>
  <c r="C5274" i="96"/>
  <c r="C5275" i="96"/>
  <c r="C5276" i="96"/>
  <c r="C5277" i="96"/>
  <c r="C5278" i="96"/>
  <c r="C5279" i="96"/>
  <c r="C5280" i="96"/>
  <c r="C5281" i="96"/>
  <c r="C5282" i="96"/>
  <c r="C5283" i="96"/>
  <c r="C5284" i="96"/>
  <c r="C5285" i="96"/>
  <c r="C5286" i="96"/>
  <c r="C5287" i="96"/>
  <c r="C5288" i="96"/>
  <c r="C5289" i="96"/>
  <c r="C5290" i="96"/>
  <c r="C5291" i="96"/>
  <c r="C5292" i="96"/>
  <c r="C5293" i="96"/>
  <c r="C5294" i="96"/>
  <c r="C5295" i="96"/>
  <c r="C5296" i="96"/>
  <c r="C5297" i="96"/>
  <c r="C5298" i="96"/>
  <c r="C5299" i="96"/>
  <c r="C5300" i="96"/>
  <c r="C5301" i="96"/>
  <c r="C5302" i="96"/>
  <c r="C5303" i="96"/>
  <c r="C5304" i="96"/>
  <c r="C5305" i="96"/>
  <c r="C5306" i="96"/>
  <c r="C5307" i="96"/>
  <c r="C5308" i="96"/>
  <c r="C5309" i="96"/>
  <c r="C5310" i="96"/>
  <c r="C5311" i="96"/>
  <c r="C5312" i="96"/>
  <c r="C5313" i="96"/>
  <c r="C5314" i="96"/>
  <c r="C5315" i="96"/>
  <c r="C5316" i="96"/>
  <c r="C5317" i="96"/>
  <c r="C5318" i="96"/>
  <c r="C5319" i="96"/>
  <c r="C5320" i="96"/>
  <c r="C5321" i="96"/>
  <c r="C5322" i="96"/>
  <c r="C5323" i="96"/>
  <c r="C5324" i="96"/>
  <c r="C5325" i="96"/>
  <c r="C5326" i="96"/>
  <c r="C5327" i="96"/>
  <c r="C5328" i="96"/>
  <c r="C5329" i="96"/>
  <c r="C5330" i="96"/>
  <c r="C5331" i="96"/>
  <c r="C5332" i="96"/>
  <c r="C5333" i="96"/>
  <c r="C5334" i="96"/>
  <c r="C5335" i="96"/>
  <c r="C5336" i="96"/>
  <c r="C5337" i="96"/>
  <c r="C5338" i="96"/>
  <c r="C5339" i="96"/>
  <c r="C5340" i="96"/>
  <c r="C5341" i="96"/>
  <c r="C5342" i="96"/>
  <c r="C5343" i="96"/>
  <c r="C5344" i="96"/>
  <c r="C5345" i="96"/>
  <c r="C5346" i="96"/>
  <c r="C5347" i="96"/>
  <c r="C5348" i="96"/>
  <c r="C5349" i="96"/>
  <c r="C5350" i="96"/>
  <c r="C5351" i="96"/>
  <c r="C5352" i="96"/>
  <c r="C5353" i="96"/>
  <c r="C5354" i="96"/>
  <c r="C5355" i="96"/>
  <c r="C5356" i="96"/>
  <c r="C5357" i="96"/>
  <c r="C5358" i="96"/>
  <c r="C5359" i="96"/>
  <c r="C5360" i="96"/>
  <c r="C5361" i="96"/>
  <c r="C5362" i="96"/>
  <c r="C5363" i="96"/>
  <c r="C5364" i="96"/>
  <c r="C5365" i="96"/>
  <c r="C5366" i="96"/>
  <c r="C5367" i="96"/>
  <c r="C5368" i="96"/>
  <c r="C5369" i="96"/>
  <c r="C5370" i="96"/>
  <c r="C5371" i="96"/>
  <c r="C5372" i="96"/>
  <c r="C5373" i="96"/>
  <c r="C5374" i="96"/>
  <c r="C5375" i="96"/>
  <c r="C5376" i="96"/>
  <c r="C5377" i="96"/>
  <c r="C5378" i="96"/>
  <c r="C5379" i="96"/>
  <c r="C5380" i="96"/>
  <c r="C5381" i="96"/>
  <c r="C5382" i="96"/>
  <c r="C5383" i="96"/>
  <c r="C5384" i="96"/>
  <c r="C5385" i="96"/>
  <c r="C5386" i="96"/>
  <c r="C5387" i="96"/>
  <c r="C5388" i="96"/>
  <c r="C5389" i="96"/>
  <c r="C5390" i="96"/>
  <c r="C5391" i="96"/>
  <c r="C5392" i="96"/>
  <c r="C5393" i="96"/>
  <c r="C5394" i="96"/>
  <c r="C5395" i="96"/>
  <c r="C5396" i="96"/>
  <c r="C5397" i="96"/>
  <c r="C5398" i="96"/>
  <c r="C5399" i="96"/>
  <c r="C5400" i="96"/>
  <c r="C5401" i="96"/>
  <c r="C5402" i="96"/>
  <c r="C5403" i="96"/>
  <c r="C5404" i="96"/>
  <c r="C5405" i="96"/>
  <c r="C5406" i="96"/>
  <c r="C5407" i="96"/>
  <c r="C5408" i="96"/>
  <c r="C5409" i="96"/>
  <c r="C5410" i="96"/>
  <c r="C5411" i="96"/>
  <c r="C5412" i="96"/>
  <c r="C5413" i="96"/>
  <c r="C5414" i="96"/>
  <c r="C5415" i="96"/>
  <c r="C5416" i="96"/>
  <c r="C5417" i="96"/>
  <c r="C5418" i="96"/>
  <c r="C5419" i="96"/>
  <c r="C5420" i="96"/>
  <c r="C5421" i="96"/>
  <c r="C5422" i="96"/>
  <c r="C5423" i="96"/>
  <c r="C5424" i="96"/>
  <c r="C5425" i="96"/>
  <c r="C5426" i="96"/>
  <c r="C5427" i="96"/>
  <c r="C5428" i="96"/>
  <c r="C5429" i="96"/>
  <c r="C5430" i="96"/>
  <c r="C5431" i="96"/>
  <c r="C5432" i="96"/>
  <c r="C5433" i="96"/>
  <c r="C5434" i="96"/>
  <c r="C5435" i="96"/>
  <c r="C5436" i="96"/>
  <c r="C5437" i="96"/>
  <c r="C5438" i="96"/>
  <c r="C5439" i="96"/>
  <c r="C5440" i="96"/>
  <c r="C5441" i="96"/>
  <c r="C5442" i="96"/>
  <c r="C5443" i="96"/>
  <c r="C5444" i="96"/>
  <c r="C5445" i="96"/>
  <c r="C5446" i="96"/>
  <c r="C5447" i="96"/>
  <c r="C5448" i="96"/>
  <c r="C5449" i="96"/>
  <c r="C5450" i="96"/>
  <c r="C5451" i="96"/>
  <c r="C5452" i="96"/>
  <c r="C5453" i="96"/>
  <c r="C5454" i="96"/>
  <c r="C5455" i="96"/>
  <c r="C5456" i="96"/>
  <c r="C5457" i="96"/>
  <c r="C5458" i="96"/>
  <c r="C5459" i="96"/>
  <c r="C5460" i="96"/>
  <c r="C5461" i="96"/>
  <c r="C5462" i="96"/>
  <c r="C5463" i="96"/>
  <c r="C5464" i="96"/>
  <c r="C5465" i="96"/>
  <c r="C5466" i="96"/>
  <c r="C5467" i="96"/>
  <c r="C5468" i="96"/>
  <c r="C5469" i="96"/>
  <c r="C5470" i="96"/>
  <c r="C5471" i="96"/>
  <c r="C5472" i="96"/>
  <c r="C5473" i="96"/>
  <c r="C5474" i="96"/>
  <c r="C5475" i="96"/>
  <c r="C5476" i="96"/>
  <c r="C5477" i="96"/>
  <c r="C5478" i="96"/>
  <c r="C5479" i="96"/>
  <c r="C5480" i="96"/>
  <c r="C5481" i="96"/>
  <c r="C5482" i="96"/>
  <c r="C5483" i="96"/>
  <c r="C5484" i="96"/>
  <c r="C5485" i="96"/>
  <c r="C5486" i="96"/>
  <c r="C5487" i="96"/>
  <c r="C5488" i="96"/>
  <c r="C5489" i="96"/>
  <c r="C5490" i="96"/>
  <c r="C5491" i="96"/>
  <c r="C5492" i="96"/>
  <c r="C5493" i="96"/>
  <c r="C5494" i="96"/>
  <c r="C5495" i="96"/>
  <c r="C5496" i="96"/>
  <c r="C5497" i="96"/>
  <c r="C5498" i="96"/>
  <c r="C5499" i="96"/>
  <c r="C5500" i="96"/>
  <c r="C5501" i="96"/>
  <c r="C5502" i="96"/>
  <c r="C5503" i="96"/>
  <c r="C5504" i="96"/>
  <c r="C5505" i="96"/>
  <c r="C5506" i="96"/>
  <c r="C5507" i="96"/>
  <c r="C5508" i="96"/>
  <c r="C5509" i="96"/>
  <c r="C5510" i="96"/>
  <c r="C5511" i="96"/>
  <c r="C5512" i="96"/>
  <c r="C5513" i="96"/>
  <c r="C5514" i="96"/>
  <c r="C5515" i="96"/>
  <c r="C5516" i="96"/>
  <c r="C5517" i="96"/>
  <c r="C5518" i="96"/>
  <c r="C5519" i="96"/>
  <c r="C5520" i="96"/>
  <c r="C5521" i="96"/>
  <c r="C5522" i="96"/>
  <c r="C5523" i="96"/>
  <c r="C5524" i="96"/>
  <c r="C5525" i="96"/>
  <c r="C5526" i="96"/>
  <c r="C5527" i="96"/>
  <c r="C5528" i="96"/>
  <c r="C5529" i="96"/>
  <c r="C5530" i="96"/>
  <c r="C5531" i="96"/>
  <c r="C5532" i="96"/>
  <c r="C5533" i="96"/>
  <c r="C5534" i="96"/>
  <c r="C5535" i="96"/>
  <c r="C5536" i="96"/>
  <c r="C5537" i="96"/>
  <c r="C5538" i="96"/>
  <c r="C5539" i="96"/>
  <c r="C5540" i="96"/>
  <c r="C5541" i="96"/>
  <c r="C5542" i="96"/>
  <c r="C5543" i="96"/>
  <c r="C5544" i="96"/>
  <c r="C5545" i="96"/>
  <c r="C5546" i="96"/>
  <c r="C5547" i="96"/>
  <c r="C5548" i="96"/>
  <c r="C5549" i="96"/>
  <c r="C5550" i="96"/>
  <c r="C5551" i="96"/>
  <c r="C5552" i="96"/>
  <c r="C5553" i="96"/>
  <c r="C5554" i="96"/>
  <c r="C5555" i="96"/>
  <c r="C5556" i="96"/>
  <c r="C5557" i="96"/>
  <c r="C5558" i="96"/>
  <c r="C5559" i="96"/>
  <c r="C5560" i="96"/>
  <c r="C5561" i="96"/>
  <c r="C5562" i="96"/>
  <c r="C5563" i="96"/>
  <c r="C5564" i="96"/>
  <c r="C5565" i="96"/>
  <c r="C5566" i="96"/>
  <c r="C5567" i="96"/>
  <c r="C5568" i="96"/>
  <c r="C5569" i="96"/>
  <c r="C5570" i="96"/>
  <c r="C5571" i="96"/>
  <c r="C5572" i="96"/>
  <c r="C5573" i="96"/>
  <c r="C5574" i="96"/>
  <c r="C5575" i="96"/>
  <c r="C5576" i="96"/>
  <c r="C5577" i="96"/>
  <c r="C5578" i="96"/>
  <c r="C5579" i="96"/>
  <c r="C5580" i="96"/>
  <c r="C5581" i="96"/>
  <c r="C5582" i="96"/>
  <c r="C5583" i="96"/>
  <c r="C5584" i="96"/>
  <c r="C5585" i="96"/>
  <c r="C5586" i="96"/>
  <c r="C5587" i="96"/>
  <c r="C5588" i="96"/>
  <c r="C5589" i="96"/>
  <c r="C5590" i="96"/>
  <c r="C5591" i="96"/>
  <c r="C5592" i="96"/>
  <c r="C5593" i="96"/>
  <c r="C5594" i="96"/>
  <c r="C5595" i="96"/>
  <c r="C5596" i="96"/>
  <c r="C5597" i="96"/>
  <c r="C5598" i="96"/>
  <c r="C5599" i="96"/>
  <c r="C5600" i="96"/>
  <c r="C5601" i="96"/>
  <c r="C5602" i="96"/>
  <c r="C5603" i="96"/>
  <c r="C5604" i="96"/>
  <c r="C4705" i="96"/>
  <c r="C4706" i="96"/>
  <c r="C4707" i="96"/>
  <c r="C4708" i="96"/>
  <c r="C4709" i="96"/>
  <c r="C4710" i="96"/>
  <c r="C4711" i="96"/>
  <c r="C4712" i="96"/>
  <c r="C4713" i="96"/>
  <c r="C4714" i="96"/>
  <c r="C4715" i="96"/>
  <c r="C4716" i="96"/>
  <c r="C4717" i="96"/>
  <c r="C4718" i="96"/>
  <c r="C4719" i="96"/>
  <c r="C4720" i="96"/>
  <c r="C4721" i="96"/>
  <c r="C4722" i="96"/>
  <c r="C4723" i="96"/>
  <c r="C4724" i="96"/>
  <c r="C4725" i="96"/>
  <c r="C4726" i="96"/>
  <c r="C4727" i="96"/>
  <c r="C4728" i="96"/>
  <c r="C4729" i="96"/>
  <c r="C4730" i="96"/>
  <c r="C4731" i="96"/>
  <c r="C4732" i="96"/>
  <c r="C4733" i="96"/>
  <c r="C4734" i="96"/>
  <c r="C4735" i="96"/>
  <c r="C4736" i="96"/>
  <c r="C4737" i="96"/>
  <c r="C4738" i="96"/>
  <c r="C4739" i="96"/>
  <c r="C4740" i="96"/>
  <c r="C4741" i="96"/>
  <c r="C4742" i="96"/>
  <c r="C4743" i="96"/>
  <c r="C4744" i="96"/>
  <c r="C4745" i="96"/>
  <c r="C4746" i="96"/>
  <c r="C4747" i="96"/>
  <c r="C4748" i="96"/>
  <c r="C4749" i="96"/>
  <c r="C4750" i="96"/>
  <c r="C4751" i="96"/>
  <c r="C4752" i="96"/>
  <c r="C4753" i="96"/>
  <c r="C4754" i="96"/>
  <c r="C4755" i="96"/>
  <c r="C4756" i="96"/>
  <c r="C4757" i="96"/>
  <c r="C4758" i="96"/>
  <c r="C4759" i="96"/>
  <c r="C4760" i="96"/>
  <c r="C4761" i="96"/>
  <c r="C4762" i="96"/>
  <c r="C4763" i="96"/>
  <c r="C4764" i="96"/>
  <c r="C4765" i="96"/>
  <c r="C4766" i="96"/>
  <c r="C4767" i="96"/>
  <c r="C4768" i="96"/>
  <c r="C4769" i="96"/>
  <c r="C4770" i="96"/>
  <c r="C4771" i="96"/>
  <c r="C4772" i="96"/>
  <c r="C4773" i="96"/>
  <c r="C4774" i="96"/>
  <c r="C4775" i="96"/>
  <c r="C4776" i="96"/>
  <c r="C4777" i="96"/>
  <c r="C4778" i="96"/>
  <c r="C4779" i="96"/>
  <c r="C4780" i="96"/>
  <c r="C4781" i="96"/>
  <c r="C4782" i="96"/>
  <c r="C4783" i="96"/>
  <c r="C4784" i="96"/>
  <c r="C4785" i="96"/>
  <c r="C4786" i="96"/>
  <c r="C4787" i="96"/>
  <c r="C4788" i="96"/>
  <c r="C4789" i="96"/>
  <c r="C4790" i="96"/>
  <c r="C4791" i="96"/>
  <c r="C4792" i="96"/>
  <c r="C4793" i="96"/>
  <c r="C4794" i="96"/>
  <c r="C4795" i="96"/>
  <c r="C4796" i="96"/>
  <c r="C4797" i="96"/>
  <c r="C4798" i="96"/>
  <c r="C4799" i="96"/>
  <c r="C4800" i="96"/>
  <c r="C4801" i="96"/>
  <c r="C4802" i="96"/>
  <c r="C4803" i="96"/>
  <c r="C4804" i="96"/>
  <c r="C4805" i="96"/>
  <c r="C4806" i="96"/>
  <c r="C4807" i="96"/>
  <c r="C4808" i="96"/>
  <c r="C4809" i="96"/>
  <c r="C4810" i="96"/>
  <c r="C4811" i="96"/>
  <c r="C4812" i="96"/>
  <c r="C4813" i="96"/>
  <c r="C4814" i="96"/>
  <c r="C4815" i="96"/>
  <c r="C4816" i="96"/>
  <c r="C4817" i="96"/>
  <c r="C4818" i="96"/>
  <c r="C4819" i="96"/>
  <c r="C4820" i="96"/>
  <c r="C4821" i="96"/>
  <c r="C4822" i="96"/>
  <c r="C4823" i="96"/>
  <c r="C4824" i="96"/>
  <c r="C4825" i="96"/>
  <c r="C4826" i="96"/>
  <c r="C4827" i="96"/>
  <c r="C4828" i="96"/>
  <c r="C4829" i="96"/>
  <c r="C4830" i="96"/>
  <c r="C4831" i="96"/>
  <c r="C4832" i="96"/>
  <c r="C4833" i="96"/>
  <c r="C4834" i="96"/>
  <c r="C4835" i="96"/>
  <c r="C4836" i="96"/>
  <c r="C4837" i="96"/>
  <c r="C4838" i="96"/>
  <c r="C4839" i="96"/>
  <c r="C4840" i="96"/>
  <c r="C4841" i="96"/>
  <c r="C4842" i="96"/>
  <c r="C4843" i="96"/>
  <c r="C4844" i="96"/>
  <c r="C4845" i="96"/>
  <c r="C4846" i="96"/>
  <c r="C4847" i="96"/>
  <c r="C4848" i="96"/>
  <c r="C4849" i="96"/>
  <c r="C4850" i="96"/>
  <c r="C4851" i="96"/>
  <c r="C4852" i="96"/>
  <c r="C4853" i="96"/>
  <c r="C4854" i="96"/>
  <c r="C4855" i="96"/>
  <c r="C4856" i="96"/>
  <c r="C4857" i="96"/>
  <c r="C4858" i="96"/>
  <c r="C4859" i="96"/>
  <c r="C4860" i="96"/>
  <c r="C4861" i="96"/>
  <c r="C4862" i="96"/>
  <c r="C4863" i="96"/>
  <c r="C4864" i="96"/>
  <c r="C4865" i="96"/>
  <c r="C4866" i="96"/>
  <c r="C4867" i="96"/>
  <c r="C4868" i="96"/>
  <c r="C4869" i="96"/>
  <c r="C4870" i="96"/>
  <c r="C4871" i="96"/>
  <c r="C4872" i="96"/>
  <c r="C4873" i="96"/>
  <c r="C4874" i="96"/>
  <c r="C4875" i="96"/>
  <c r="C4876" i="96"/>
  <c r="C4877" i="96"/>
  <c r="C4878" i="96"/>
  <c r="C4879" i="96"/>
  <c r="C4880" i="96"/>
  <c r="C4881" i="96"/>
  <c r="C4882" i="96"/>
  <c r="C4883" i="96"/>
  <c r="C4884" i="96"/>
  <c r="C4885" i="96"/>
  <c r="C4886" i="96"/>
  <c r="C4887" i="96"/>
  <c r="C4888" i="96"/>
  <c r="C4889" i="96"/>
  <c r="C4890" i="96"/>
  <c r="C4891" i="96"/>
  <c r="C4892" i="96"/>
  <c r="C4893" i="96"/>
  <c r="C4894" i="96"/>
  <c r="C4895" i="96"/>
  <c r="C4896" i="96"/>
  <c r="C4897" i="96"/>
  <c r="C4898" i="96"/>
  <c r="C4899" i="96"/>
  <c r="C4900" i="96"/>
  <c r="C4901" i="96"/>
  <c r="C4902" i="96"/>
  <c r="C4903" i="96"/>
  <c r="C4904" i="96"/>
  <c r="C4905" i="96"/>
  <c r="C4906" i="96"/>
  <c r="C4907" i="96"/>
  <c r="C4908" i="96"/>
  <c r="C4909" i="96"/>
  <c r="C4910" i="96"/>
  <c r="C4911" i="96"/>
  <c r="C4912" i="96"/>
  <c r="C4913" i="96"/>
  <c r="C4914" i="96"/>
  <c r="C4915" i="96"/>
  <c r="C4916" i="96"/>
  <c r="C4917" i="96"/>
  <c r="C4918" i="96"/>
  <c r="C4919" i="96"/>
  <c r="C4920" i="96"/>
  <c r="C4921" i="96"/>
  <c r="C4922" i="96"/>
  <c r="C4923" i="96"/>
  <c r="C4924" i="96"/>
  <c r="C4925" i="96"/>
  <c r="C4926" i="96"/>
  <c r="C4927" i="96"/>
  <c r="C4928" i="96"/>
  <c r="C4929" i="96"/>
  <c r="C4930" i="96"/>
  <c r="C4931" i="96"/>
  <c r="C4932" i="96"/>
  <c r="C4933" i="96"/>
  <c r="C4934" i="96"/>
  <c r="C4935" i="96"/>
  <c r="C4936" i="96"/>
  <c r="C4937" i="96"/>
  <c r="C4938" i="96"/>
  <c r="C4939" i="96"/>
  <c r="C4940" i="96"/>
  <c r="C4941" i="96"/>
  <c r="C4942" i="96"/>
  <c r="C4943" i="96"/>
  <c r="C4944" i="96"/>
  <c r="C4945" i="96"/>
  <c r="C4946" i="96"/>
  <c r="C4947" i="96"/>
  <c r="C4948" i="96"/>
  <c r="C4949" i="96"/>
  <c r="C4950" i="96"/>
  <c r="C4951" i="96"/>
  <c r="C4952" i="96"/>
  <c r="C4953" i="96"/>
  <c r="C4954" i="96"/>
  <c r="C4955" i="96"/>
  <c r="C4956" i="96"/>
  <c r="C4957" i="96"/>
  <c r="C4958" i="96"/>
  <c r="C4959" i="96"/>
  <c r="C4960" i="96"/>
  <c r="C4961" i="96"/>
  <c r="C4962" i="96"/>
  <c r="C4963" i="96"/>
  <c r="C4964" i="96"/>
  <c r="C4965" i="96"/>
  <c r="C4966" i="96"/>
  <c r="C4967" i="96"/>
  <c r="C4968" i="96"/>
  <c r="C4969" i="96"/>
  <c r="C4970" i="96"/>
  <c r="C4971" i="96"/>
  <c r="C4972" i="96"/>
  <c r="C4973" i="96"/>
  <c r="C4974" i="96"/>
  <c r="C4975" i="96"/>
  <c r="C4976" i="96"/>
  <c r="C4977" i="96"/>
  <c r="C4978" i="96"/>
  <c r="C4979" i="96"/>
  <c r="C4980" i="96"/>
  <c r="C4981" i="96"/>
  <c r="C4982" i="96"/>
  <c r="C4983" i="96"/>
  <c r="C4984" i="96"/>
  <c r="C4985" i="96"/>
  <c r="C4986" i="96"/>
  <c r="C4987" i="96"/>
  <c r="C4988" i="96"/>
  <c r="C4989" i="96"/>
  <c r="C4990" i="96"/>
  <c r="C4991" i="96"/>
  <c r="C4992" i="96"/>
  <c r="C4993" i="96"/>
  <c r="C4994" i="96"/>
  <c r="C4995" i="96"/>
  <c r="C4996" i="96"/>
  <c r="C4997" i="96"/>
  <c r="C4998" i="96"/>
  <c r="C4999" i="96"/>
  <c r="C5000" i="96"/>
  <c r="C5001" i="96"/>
  <c r="C5002" i="96"/>
  <c r="C5003" i="96"/>
  <c r="C5004" i="96"/>
  <c r="C5005" i="96"/>
  <c r="C5006" i="96"/>
  <c r="C5007" i="96"/>
  <c r="C5008" i="96"/>
  <c r="C5009" i="96"/>
  <c r="C5010" i="96"/>
  <c r="C5011" i="96"/>
  <c r="C5012" i="96"/>
  <c r="C5013" i="96"/>
  <c r="C5014" i="96"/>
  <c r="C5015" i="96"/>
  <c r="C5016" i="96"/>
  <c r="C5017" i="96"/>
  <c r="C5018" i="96"/>
  <c r="C5019" i="96"/>
  <c r="C5020" i="96"/>
  <c r="C5021" i="96"/>
  <c r="C5022" i="96"/>
  <c r="C5023" i="96"/>
  <c r="C5024" i="96"/>
  <c r="C5025" i="96"/>
  <c r="C5026" i="96"/>
  <c r="C5027" i="96"/>
  <c r="C5028" i="96"/>
  <c r="C5029" i="96"/>
  <c r="C5030" i="96"/>
  <c r="C5031" i="96"/>
  <c r="C5032" i="96"/>
  <c r="C5033" i="96"/>
  <c r="C5034" i="96"/>
  <c r="C5035" i="96"/>
  <c r="C5036" i="96"/>
  <c r="C5037" i="96"/>
  <c r="C5038" i="96"/>
  <c r="C5039" i="96"/>
  <c r="C5040" i="96"/>
  <c r="C5041" i="96"/>
  <c r="C5042" i="96"/>
  <c r="C5043" i="96"/>
  <c r="C5044" i="96"/>
  <c r="C5045" i="96"/>
  <c r="C5046" i="96"/>
  <c r="C5047" i="96"/>
  <c r="C5048" i="96"/>
  <c r="C5049" i="96"/>
  <c r="C5050" i="96"/>
  <c r="C5051" i="96"/>
  <c r="C5052" i="96"/>
  <c r="C5053" i="96"/>
  <c r="C5054" i="96"/>
  <c r="C5055" i="96"/>
  <c r="C5056" i="96"/>
  <c r="C5057" i="96"/>
  <c r="C5058" i="96"/>
  <c r="C5059" i="96"/>
  <c r="C5060" i="96"/>
  <c r="C5061" i="96"/>
  <c r="C5062" i="96"/>
  <c r="C5063" i="96"/>
  <c r="C5064" i="96"/>
  <c r="C5065" i="96"/>
  <c r="C5066" i="96"/>
  <c r="C5067" i="96"/>
  <c r="C5068" i="96"/>
  <c r="C5069" i="96"/>
  <c r="C5070" i="96"/>
  <c r="C5071" i="96"/>
  <c r="C5072" i="96"/>
  <c r="C5073" i="96"/>
  <c r="C5074" i="96"/>
  <c r="C5075" i="96"/>
  <c r="C5076" i="96"/>
  <c r="C5077" i="96"/>
  <c r="C5078" i="96"/>
  <c r="C5079" i="96"/>
  <c r="C5080" i="96"/>
  <c r="C5081" i="96"/>
  <c r="C5082" i="96"/>
  <c r="C5083" i="96"/>
  <c r="C5084" i="96"/>
  <c r="C5085" i="96"/>
  <c r="C5086" i="96"/>
  <c r="C5087" i="96"/>
  <c r="C5088" i="96"/>
  <c r="C5089" i="96"/>
  <c r="C5090" i="96"/>
  <c r="C5091" i="96"/>
  <c r="C5092" i="96"/>
  <c r="C5093" i="96"/>
  <c r="C5094" i="96"/>
  <c r="C5095" i="96"/>
  <c r="C5096" i="96"/>
  <c r="C5097" i="96"/>
  <c r="C5098" i="96"/>
  <c r="C5099" i="96"/>
  <c r="C5100" i="96"/>
  <c r="C5101" i="96"/>
  <c r="C5102" i="96"/>
  <c r="C5103" i="96"/>
  <c r="C5104" i="96"/>
  <c r="C4205" i="96"/>
  <c r="C4206" i="96"/>
  <c r="C4207" i="96"/>
  <c r="C4208" i="96"/>
  <c r="C4209" i="96"/>
  <c r="C4210" i="96"/>
  <c r="C4211" i="96"/>
  <c r="C4212" i="96"/>
  <c r="C4213" i="96"/>
  <c r="C4214" i="96"/>
  <c r="C4215" i="96"/>
  <c r="C4216" i="96"/>
  <c r="C4217" i="96"/>
  <c r="C4218" i="96"/>
  <c r="C4219" i="96"/>
  <c r="C4220" i="96"/>
  <c r="C4221" i="96"/>
  <c r="C4222" i="96"/>
  <c r="C4223" i="96"/>
  <c r="C4224" i="96"/>
  <c r="C4225" i="96"/>
  <c r="C4226" i="96"/>
  <c r="C4227" i="96"/>
  <c r="C4228" i="96"/>
  <c r="C4229" i="96"/>
  <c r="C4230" i="96"/>
  <c r="C4231" i="96"/>
  <c r="C4232" i="96"/>
  <c r="C4233" i="96"/>
  <c r="C4234" i="96"/>
  <c r="C4235" i="96"/>
  <c r="C4236" i="96"/>
  <c r="C4237" i="96"/>
  <c r="C4238" i="96"/>
  <c r="C4239" i="96"/>
  <c r="C4240" i="96"/>
  <c r="C4241" i="96"/>
  <c r="C4242" i="96"/>
  <c r="C4243" i="96"/>
  <c r="C4244" i="96"/>
  <c r="C4245" i="96"/>
  <c r="C4246" i="96"/>
  <c r="C4247" i="96"/>
  <c r="C4248" i="96"/>
  <c r="C4249" i="96"/>
  <c r="C4250" i="96"/>
  <c r="C4251" i="96"/>
  <c r="C4252" i="96"/>
  <c r="C4253" i="96"/>
  <c r="C4254" i="96"/>
  <c r="C4255" i="96"/>
  <c r="C4256" i="96"/>
  <c r="C4257" i="96"/>
  <c r="C4258" i="96"/>
  <c r="C4259" i="96"/>
  <c r="C4260" i="96"/>
  <c r="C4261" i="96"/>
  <c r="C4262" i="96"/>
  <c r="C4263" i="96"/>
  <c r="C4264" i="96"/>
  <c r="C4265" i="96"/>
  <c r="C4266" i="96"/>
  <c r="C4267" i="96"/>
  <c r="C4268" i="96"/>
  <c r="C4269" i="96"/>
  <c r="C4270" i="96"/>
  <c r="C4271" i="96"/>
  <c r="C4272" i="96"/>
  <c r="C4273" i="96"/>
  <c r="C4274" i="96"/>
  <c r="C4275" i="96"/>
  <c r="C4276" i="96"/>
  <c r="C4277" i="96"/>
  <c r="C4278" i="96"/>
  <c r="C4279" i="96"/>
  <c r="C4280" i="96"/>
  <c r="C4281" i="96"/>
  <c r="C4282" i="96"/>
  <c r="C4283" i="96"/>
  <c r="C4284" i="96"/>
  <c r="C4285" i="96"/>
  <c r="C4286" i="96"/>
  <c r="C4287" i="96"/>
  <c r="C4288" i="96"/>
  <c r="C4289" i="96"/>
  <c r="C4290" i="96"/>
  <c r="C4291" i="96"/>
  <c r="C4292" i="96"/>
  <c r="C4293" i="96"/>
  <c r="C4294" i="96"/>
  <c r="C4295" i="96"/>
  <c r="C4296" i="96"/>
  <c r="C4297" i="96"/>
  <c r="C4298" i="96"/>
  <c r="C4299" i="96"/>
  <c r="C4300" i="96"/>
  <c r="C4301" i="96"/>
  <c r="C4302" i="96"/>
  <c r="C4303" i="96"/>
  <c r="C4304" i="96"/>
  <c r="C4305" i="96"/>
  <c r="C4306" i="96"/>
  <c r="C4307" i="96"/>
  <c r="C4308" i="96"/>
  <c r="C4309" i="96"/>
  <c r="C4310" i="96"/>
  <c r="C4311" i="96"/>
  <c r="C4312" i="96"/>
  <c r="C4313" i="96"/>
  <c r="C4314" i="96"/>
  <c r="C4315" i="96"/>
  <c r="C4316" i="96"/>
  <c r="C4317" i="96"/>
  <c r="C4318" i="96"/>
  <c r="C4319" i="96"/>
  <c r="C4320" i="96"/>
  <c r="C4321" i="96"/>
  <c r="C4322" i="96"/>
  <c r="C4323" i="96"/>
  <c r="C4324" i="96"/>
  <c r="C4325" i="96"/>
  <c r="C4326" i="96"/>
  <c r="C4327" i="96"/>
  <c r="C4328" i="96"/>
  <c r="C4329" i="96"/>
  <c r="C4330" i="96"/>
  <c r="C4331" i="96"/>
  <c r="C4332" i="96"/>
  <c r="C4333" i="96"/>
  <c r="C4334" i="96"/>
  <c r="C4335" i="96"/>
  <c r="C4336" i="96"/>
  <c r="C4337" i="96"/>
  <c r="C4338" i="96"/>
  <c r="C4339" i="96"/>
  <c r="C4340" i="96"/>
  <c r="C4341" i="96"/>
  <c r="C4342" i="96"/>
  <c r="C4343" i="96"/>
  <c r="C4344" i="96"/>
  <c r="C4345" i="96"/>
  <c r="C4346" i="96"/>
  <c r="C4347" i="96"/>
  <c r="C4348" i="96"/>
  <c r="C4349" i="96"/>
  <c r="C4350" i="96"/>
  <c r="C4351" i="96"/>
  <c r="C4352" i="96"/>
  <c r="C4353" i="96"/>
  <c r="C4354" i="96"/>
  <c r="C4355" i="96"/>
  <c r="C4356" i="96"/>
  <c r="C4357" i="96"/>
  <c r="C4358" i="96"/>
  <c r="C4359" i="96"/>
  <c r="C4360" i="96"/>
  <c r="C4361" i="96"/>
  <c r="C4362" i="96"/>
  <c r="C4363" i="96"/>
  <c r="C4364" i="96"/>
  <c r="C4365" i="96"/>
  <c r="C4366" i="96"/>
  <c r="C4367" i="96"/>
  <c r="C4368" i="96"/>
  <c r="C4369" i="96"/>
  <c r="C4370" i="96"/>
  <c r="C4371" i="96"/>
  <c r="C4372" i="96"/>
  <c r="C4373" i="96"/>
  <c r="C4374" i="96"/>
  <c r="C4375" i="96"/>
  <c r="C4376" i="96"/>
  <c r="C4377" i="96"/>
  <c r="C4378" i="96"/>
  <c r="C4379" i="96"/>
  <c r="C4380" i="96"/>
  <c r="C4381" i="96"/>
  <c r="C4382" i="96"/>
  <c r="C4383" i="96"/>
  <c r="C4384" i="96"/>
  <c r="C4385" i="96"/>
  <c r="C4386" i="96"/>
  <c r="C4387" i="96"/>
  <c r="C4388" i="96"/>
  <c r="C4389" i="96"/>
  <c r="C4390" i="96"/>
  <c r="C4391" i="96"/>
  <c r="C4392" i="96"/>
  <c r="C4393" i="96"/>
  <c r="C4394" i="96"/>
  <c r="C4395" i="96"/>
  <c r="C4396" i="96"/>
  <c r="C4397" i="96"/>
  <c r="C4398" i="96"/>
  <c r="C4399" i="96"/>
  <c r="C4400" i="96"/>
  <c r="C4401" i="96"/>
  <c r="C4402" i="96"/>
  <c r="C4403" i="96"/>
  <c r="C4404" i="96"/>
  <c r="C4405" i="96"/>
  <c r="C4406" i="96"/>
  <c r="C4407" i="96"/>
  <c r="C4408" i="96"/>
  <c r="C4409" i="96"/>
  <c r="C4410" i="96"/>
  <c r="C4411" i="96"/>
  <c r="C4412" i="96"/>
  <c r="C4413" i="96"/>
  <c r="C4414" i="96"/>
  <c r="C4415" i="96"/>
  <c r="C4416" i="96"/>
  <c r="C4417" i="96"/>
  <c r="C4418" i="96"/>
  <c r="C4419" i="96"/>
  <c r="C4420" i="96"/>
  <c r="C4421" i="96"/>
  <c r="C4422" i="96"/>
  <c r="C4423" i="96"/>
  <c r="C4424" i="96"/>
  <c r="C4425" i="96"/>
  <c r="C4426" i="96"/>
  <c r="C4427" i="96"/>
  <c r="C4428" i="96"/>
  <c r="C4429" i="96"/>
  <c r="C4430" i="96"/>
  <c r="C4431" i="96"/>
  <c r="C4432" i="96"/>
  <c r="C4433" i="96"/>
  <c r="C4434" i="96"/>
  <c r="C4435" i="96"/>
  <c r="C4436" i="96"/>
  <c r="C4437" i="96"/>
  <c r="C4438" i="96"/>
  <c r="C4439" i="96"/>
  <c r="C4440" i="96"/>
  <c r="C4441" i="96"/>
  <c r="C4442" i="96"/>
  <c r="C4443" i="96"/>
  <c r="C4444" i="96"/>
  <c r="C4445" i="96"/>
  <c r="C4446" i="96"/>
  <c r="C4447" i="96"/>
  <c r="C4448" i="96"/>
  <c r="C4449" i="96"/>
  <c r="C4450" i="96"/>
  <c r="C4451" i="96"/>
  <c r="C4452" i="96"/>
  <c r="C4453" i="96"/>
  <c r="C4454" i="96"/>
  <c r="C4455" i="96"/>
  <c r="C4456" i="96"/>
  <c r="C4457" i="96"/>
  <c r="C4458" i="96"/>
  <c r="C4459" i="96"/>
  <c r="C4460" i="96"/>
  <c r="C4461" i="96"/>
  <c r="C4462" i="96"/>
  <c r="C4463" i="96"/>
  <c r="C4464" i="96"/>
  <c r="C4465" i="96"/>
  <c r="C4466" i="96"/>
  <c r="C4467" i="96"/>
  <c r="C4468" i="96"/>
  <c r="C4469" i="96"/>
  <c r="C4470" i="96"/>
  <c r="C4471" i="96"/>
  <c r="C4472" i="96"/>
  <c r="C4473" i="96"/>
  <c r="C4474" i="96"/>
  <c r="C4475" i="96"/>
  <c r="C4476" i="96"/>
  <c r="C4477" i="96"/>
  <c r="C4478" i="96"/>
  <c r="C4479" i="96"/>
  <c r="C4480" i="96"/>
  <c r="C4481" i="96"/>
  <c r="C4482" i="96"/>
  <c r="C4483" i="96"/>
  <c r="C4484" i="96"/>
  <c r="C4485" i="96"/>
  <c r="C4486" i="96"/>
  <c r="C4487" i="96"/>
  <c r="C4488" i="96"/>
  <c r="C4489" i="96"/>
  <c r="C4490" i="96"/>
  <c r="C4491" i="96"/>
  <c r="C4492" i="96"/>
  <c r="C4493" i="96"/>
  <c r="C4494" i="96"/>
  <c r="C4495" i="96"/>
  <c r="C4496" i="96"/>
  <c r="C4497" i="96"/>
  <c r="C4498" i="96"/>
  <c r="C4499" i="96"/>
  <c r="C4500" i="96"/>
  <c r="C4501" i="96"/>
  <c r="C4502" i="96"/>
  <c r="C4503" i="96"/>
  <c r="C4504" i="96"/>
  <c r="C4505" i="96"/>
  <c r="C4506" i="96"/>
  <c r="C4507" i="96"/>
  <c r="C4508" i="96"/>
  <c r="C4509" i="96"/>
  <c r="C4510" i="96"/>
  <c r="C4511" i="96"/>
  <c r="C4512" i="96"/>
  <c r="C4513" i="96"/>
  <c r="C4514" i="96"/>
  <c r="C4515" i="96"/>
  <c r="C4516" i="96"/>
  <c r="C4517" i="96"/>
  <c r="C4518" i="96"/>
  <c r="C4519" i="96"/>
  <c r="C4520" i="96"/>
  <c r="C4521" i="96"/>
  <c r="C4522" i="96"/>
  <c r="C4523" i="96"/>
  <c r="C4524" i="96"/>
  <c r="C4525" i="96"/>
  <c r="C4526" i="96"/>
  <c r="C4527" i="96"/>
  <c r="C4528" i="96"/>
  <c r="C4529" i="96"/>
  <c r="C4530" i="96"/>
  <c r="C4531" i="96"/>
  <c r="C4532" i="96"/>
  <c r="C4533" i="96"/>
  <c r="C4534" i="96"/>
  <c r="C4535" i="96"/>
  <c r="C4536" i="96"/>
  <c r="C4537" i="96"/>
  <c r="C4538" i="96"/>
  <c r="C4539" i="96"/>
  <c r="C4540" i="96"/>
  <c r="C4541" i="96"/>
  <c r="C4542" i="96"/>
  <c r="C4543" i="96"/>
  <c r="C4544" i="96"/>
  <c r="C4545" i="96"/>
  <c r="C4546" i="96"/>
  <c r="C4547" i="96"/>
  <c r="C4548" i="96"/>
  <c r="C4549" i="96"/>
  <c r="C4550" i="96"/>
  <c r="C4551" i="96"/>
  <c r="C4552" i="96"/>
  <c r="C4553" i="96"/>
  <c r="C4554" i="96"/>
  <c r="C4555" i="96"/>
  <c r="C4556" i="96"/>
  <c r="C4557" i="96"/>
  <c r="C4558" i="96"/>
  <c r="C4559" i="96"/>
  <c r="C4560" i="96"/>
  <c r="C4561" i="96"/>
  <c r="C4562" i="96"/>
  <c r="C4563" i="96"/>
  <c r="C4564" i="96"/>
  <c r="C4565" i="96"/>
  <c r="C4566" i="96"/>
  <c r="C4567" i="96"/>
  <c r="C4568" i="96"/>
  <c r="C4569" i="96"/>
  <c r="C4570" i="96"/>
  <c r="C4571" i="96"/>
  <c r="C4572" i="96"/>
  <c r="C4573" i="96"/>
  <c r="C4574" i="96"/>
  <c r="C4575" i="96"/>
  <c r="C4576" i="96"/>
  <c r="C4577" i="96"/>
  <c r="C4578" i="96"/>
  <c r="C4579" i="96"/>
  <c r="C4580" i="96"/>
  <c r="C4581" i="96"/>
  <c r="C4582" i="96"/>
  <c r="C4583" i="96"/>
  <c r="C4584" i="96"/>
  <c r="C4585" i="96"/>
  <c r="C4586" i="96"/>
  <c r="C4587" i="96"/>
  <c r="C4588" i="96"/>
  <c r="C4589" i="96"/>
  <c r="C4590" i="96"/>
  <c r="C4591" i="96"/>
  <c r="C4592" i="96"/>
  <c r="C4593" i="96"/>
  <c r="C4594" i="96"/>
  <c r="C4595" i="96"/>
  <c r="C4596" i="96"/>
  <c r="C4597" i="96"/>
  <c r="C4598" i="96"/>
  <c r="C4599" i="96"/>
  <c r="C4600" i="96"/>
  <c r="C4601" i="96"/>
  <c r="C4602" i="96"/>
  <c r="C4603" i="96"/>
  <c r="C4604" i="96"/>
  <c r="C3705" i="96"/>
  <c r="C3706" i="96"/>
  <c r="C3707" i="96"/>
  <c r="C3708" i="96"/>
  <c r="C3709" i="96"/>
  <c r="C3710" i="96"/>
  <c r="C3711" i="96"/>
  <c r="C3712" i="96"/>
  <c r="C3713" i="96"/>
  <c r="C3714" i="96"/>
  <c r="C3715" i="96"/>
  <c r="C3716" i="96"/>
  <c r="C3717" i="96"/>
  <c r="C3718" i="96"/>
  <c r="C3719" i="96"/>
  <c r="C3720" i="96"/>
  <c r="C3721" i="96"/>
  <c r="C3722" i="96"/>
  <c r="C3723" i="96"/>
  <c r="C3724" i="96"/>
  <c r="C3725" i="96"/>
  <c r="C3726" i="96"/>
  <c r="C3727" i="96"/>
  <c r="C3728" i="96"/>
  <c r="C3729" i="96"/>
  <c r="C3730" i="96"/>
  <c r="C3731" i="96"/>
  <c r="C3732" i="96"/>
  <c r="C3733" i="96"/>
  <c r="C3734" i="96"/>
  <c r="C3735" i="96"/>
  <c r="C3736" i="96"/>
  <c r="C3737" i="96"/>
  <c r="C3738" i="96"/>
  <c r="C3739" i="96"/>
  <c r="C3740" i="96"/>
  <c r="C3741" i="96"/>
  <c r="C3742" i="96"/>
  <c r="C3743" i="96"/>
  <c r="C3744" i="96"/>
  <c r="C3745" i="96"/>
  <c r="C3746" i="96"/>
  <c r="C3747" i="96"/>
  <c r="C3748" i="96"/>
  <c r="C3749" i="96"/>
  <c r="C3750" i="96"/>
  <c r="C3751" i="96"/>
  <c r="C3752" i="96"/>
  <c r="C3753" i="96"/>
  <c r="C3754" i="96"/>
  <c r="C3755" i="96"/>
  <c r="C3756" i="96"/>
  <c r="C3757" i="96"/>
  <c r="C3758" i="96"/>
  <c r="C3759" i="96"/>
  <c r="C3760" i="96"/>
  <c r="C3761" i="96"/>
  <c r="C3762" i="96"/>
  <c r="C3763" i="96"/>
  <c r="C3764" i="96"/>
  <c r="C3765" i="96"/>
  <c r="C3766" i="96"/>
  <c r="C3767" i="96"/>
  <c r="C3768" i="96"/>
  <c r="C3769" i="96"/>
  <c r="C3770" i="96"/>
  <c r="C3771" i="96"/>
  <c r="C3772" i="96"/>
  <c r="C3773" i="96"/>
  <c r="C3774" i="96"/>
  <c r="C3775" i="96"/>
  <c r="C3776" i="96"/>
  <c r="C3777" i="96"/>
  <c r="C3778" i="96"/>
  <c r="C3779" i="96"/>
  <c r="C3780" i="96"/>
  <c r="C3781" i="96"/>
  <c r="C3782" i="96"/>
  <c r="C3783" i="96"/>
  <c r="C3784" i="96"/>
  <c r="C3785" i="96"/>
  <c r="C3786" i="96"/>
  <c r="C3787" i="96"/>
  <c r="C3788" i="96"/>
  <c r="C3789" i="96"/>
  <c r="C3790" i="96"/>
  <c r="C3791" i="96"/>
  <c r="C3792" i="96"/>
  <c r="C3793" i="96"/>
  <c r="C3794" i="96"/>
  <c r="C3795" i="96"/>
  <c r="C3796" i="96"/>
  <c r="C3797" i="96"/>
  <c r="C3798" i="96"/>
  <c r="C3799" i="96"/>
  <c r="C3800" i="96"/>
  <c r="C3801" i="96"/>
  <c r="C3802" i="96"/>
  <c r="C3803" i="96"/>
  <c r="C3804" i="96"/>
  <c r="C3805" i="96"/>
  <c r="C3806" i="96"/>
  <c r="C3807" i="96"/>
  <c r="C3808" i="96"/>
  <c r="C3809" i="96"/>
  <c r="C3810" i="96"/>
  <c r="C3811" i="96"/>
  <c r="C3812" i="96"/>
  <c r="C3813" i="96"/>
  <c r="C3814" i="96"/>
  <c r="C3815" i="96"/>
  <c r="C3816" i="96"/>
  <c r="C3817" i="96"/>
  <c r="C3818" i="96"/>
  <c r="C3819" i="96"/>
  <c r="C3820" i="96"/>
  <c r="C3821" i="96"/>
  <c r="C3822" i="96"/>
  <c r="C3823" i="96"/>
  <c r="C3824" i="96"/>
  <c r="C3825" i="96"/>
  <c r="C3826" i="96"/>
  <c r="C3827" i="96"/>
  <c r="C3828" i="96"/>
  <c r="C3829" i="96"/>
  <c r="C3830" i="96"/>
  <c r="C3831" i="96"/>
  <c r="C3832" i="96"/>
  <c r="C3833" i="96"/>
  <c r="C3834" i="96"/>
  <c r="C3835" i="96"/>
  <c r="C3836" i="96"/>
  <c r="C3837" i="96"/>
  <c r="C3838" i="96"/>
  <c r="C3839" i="96"/>
  <c r="C3840" i="96"/>
  <c r="C3841" i="96"/>
  <c r="C3842" i="96"/>
  <c r="C3843" i="96"/>
  <c r="C3844" i="96"/>
  <c r="C3845" i="96"/>
  <c r="C3846" i="96"/>
  <c r="C3847" i="96"/>
  <c r="C3848" i="96"/>
  <c r="C3849" i="96"/>
  <c r="C3850" i="96"/>
  <c r="C3851" i="96"/>
  <c r="C3852" i="96"/>
  <c r="C3853" i="96"/>
  <c r="C3854" i="96"/>
  <c r="C3855" i="96"/>
  <c r="C3856" i="96"/>
  <c r="C3857" i="96"/>
  <c r="C3858" i="96"/>
  <c r="C3859" i="96"/>
  <c r="C3860" i="96"/>
  <c r="C3861" i="96"/>
  <c r="C3862" i="96"/>
  <c r="C3863" i="96"/>
  <c r="C3864" i="96"/>
  <c r="C3865" i="96"/>
  <c r="C3866" i="96"/>
  <c r="C3867" i="96"/>
  <c r="C3868" i="96"/>
  <c r="C3869" i="96"/>
  <c r="C3870" i="96"/>
  <c r="C3871" i="96"/>
  <c r="C3872" i="96"/>
  <c r="C3873" i="96"/>
  <c r="C3874" i="96"/>
  <c r="C3875" i="96"/>
  <c r="C3876" i="96"/>
  <c r="C3877" i="96"/>
  <c r="C3878" i="96"/>
  <c r="C3879" i="96"/>
  <c r="C3880" i="96"/>
  <c r="C3881" i="96"/>
  <c r="C3882" i="96"/>
  <c r="C3883" i="96"/>
  <c r="C3884" i="96"/>
  <c r="C3885" i="96"/>
  <c r="C3886" i="96"/>
  <c r="C3887" i="96"/>
  <c r="C3888" i="96"/>
  <c r="C3889" i="96"/>
  <c r="C3890" i="96"/>
  <c r="C3891" i="96"/>
  <c r="C3892" i="96"/>
  <c r="C3893" i="96"/>
  <c r="C3894" i="96"/>
  <c r="C3895" i="96"/>
  <c r="C3896" i="96"/>
  <c r="C3897" i="96"/>
  <c r="C3898" i="96"/>
  <c r="C3899" i="96"/>
  <c r="C3900" i="96"/>
  <c r="C3901" i="96"/>
  <c r="C3902" i="96"/>
  <c r="C3903" i="96"/>
  <c r="C3904" i="96"/>
  <c r="C3905" i="96"/>
  <c r="C3906" i="96"/>
  <c r="C3907" i="96"/>
  <c r="C3908" i="96"/>
  <c r="C3909" i="96"/>
  <c r="C3910" i="96"/>
  <c r="C3911" i="96"/>
  <c r="C3912" i="96"/>
  <c r="C3913" i="96"/>
  <c r="C3914" i="96"/>
  <c r="C3915" i="96"/>
  <c r="C3916" i="96"/>
  <c r="C3917" i="96"/>
  <c r="C3918" i="96"/>
  <c r="C3919" i="96"/>
  <c r="C3920" i="96"/>
  <c r="C3921" i="96"/>
  <c r="C3922" i="96"/>
  <c r="C3923" i="96"/>
  <c r="C3924" i="96"/>
  <c r="C3925" i="96"/>
  <c r="C3926" i="96"/>
  <c r="C3927" i="96"/>
  <c r="C3928" i="96"/>
  <c r="C3929" i="96"/>
  <c r="C3930" i="96"/>
  <c r="C3931" i="96"/>
  <c r="C3932" i="96"/>
  <c r="C3933" i="96"/>
  <c r="C3934" i="96"/>
  <c r="C3935" i="96"/>
  <c r="C3936" i="96"/>
  <c r="C3937" i="96"/>
  <c r="C3938" i="96"/>
  <c r="C3939" i="96"/>
  <c r="C3940" i="96"/>
  <c r="C3941" i="96"/>
  <c r="C3942" i="96"/>
  <c r="C3943" i="96"/>
  <c r="C3944" i="96"/>
  <c r="C3945" i="96"/>
  <c r="C3946" i="96"/>
  <c r="C3947" i="96"/>
  <c r="C3948" i="96"/>
  <c r="C3949" i="96"/>
  <c r="C3950" i="96"/>
  <c r="C3951" i="96"/>
  <c r="C3952" i="96"/>
  <c r="C3953" i="96"/>
  <c r="C3954" i="96"/>
  <c r="C3955" i="96"/>
  <c r="C3956" i="96"/>
  <c r="C3957" i="96"/>
  <c r="C3958" i="96"/>
  <c r="C3959" i="96"/>
  <c r="C3960" i="96"/>
  <c r="C3961" i="96"/>
  <c r="C3962" i="96"/>
  <c r="C3963" i="96"/>
  <c r="C3964" i="96"/>
  <c r="C3965" i="96"/>
  <c r="C3966" i="96"/>
  <c r="C3967" i="96"/>
  <c r="C3968" i="96"/>
  <c r="C3969" i="96"/>
  <c r="C3970" i="96"/>
  <c r="C3971" i="96"/>
  <c r="C3972" i="96"/>
  <c r="C3973" i="96"/>
  <c r="C3974" i="96"/>
  <c r="C3975" i="96"/>
  <c r="C3976" i="96"/>
  <c r="C3977" i="96"/>
  <c r="C3978" i="96"/>
  <c r="C3979" i="96"/>
  <c r="C3980" i="96"/>
  <c r="C3981" i="96"/>
  <c r="C3982" i="96"/>
  <c r="C3983" i="96"/>
  <c r="C3984" i="96"/>
  <c r="C3985" i="96"/>
  <c r="C3986" i="96"/>
  <c r="C3987" i="96"/>
  <c r="C3988" i="96"/>
  <c r="C3989" i="96"/>
  <c r="C3990" i="96"/>
  <c r="C3991" i="96"/>
  <c r="C3992" i="96"/>
  <c r="C3993" i="96"/>
  <c r="C3994" i="96"/>
  <c r="C3995" i="96"/>
  <c r="C3996" i="96"/>
  <c r="C3997" i="96"/>
  <c r="C3998" i="96"/>
  <c r="C3999" i="96"/>
  <c r="C4000" i="96"/>
  <c r="C4001" i="96"/>
  <c r="C4002" i="96"/>
  <c r="C4003" i="96"/>
  <c r="C4004" i="96"/>
  <c r="C4005" i="96"/>
  <c r="C4006" i="96"/>
  <c r="C4007" i="96"/>
  <c r="C4008" i="96"/>
  <c r="C4009" i="96"/>
  <c r="C4010" i="96"/>
  <c r="C4011" i="96"/>
  <c r="C4012" i="96"/>
  <c r="C4013" i="96"/>
  <c r="C4014" i="96"/>
  <c r="C4015" i="96"/>
  <c r="C4016" i="96"/>
  <c r="C4017" i="96"/>
  <c r="C4018" i="96"/>
  <c r="C4019" i="96"/>
  <c r="C4020" i="96"/>
  <c r="C4021" i="96"/>
  <c r="C4022" i="96"/>
  <c r="C4023" i="96"/>
  <c r="C4024" i="96"/>
  <c r="C4025" i="96"/>
  <c r="C4026" i="96"/>
  <c r="C4027" i="96"/>
  <c r="C4028" i="96"/>
  <c r="C4029" i="96"/>
  <c r="C4030" i="96"/>
  <c r="C4031" i="96"/>
  <c r="C4032" i="96"/>
  <c r="C4033" i="96"/>
  <c r="C4034" i="96"/>
  <c r="C4035" i="96"/>
  <c r="C4036" i="96"/>
  <c r="C4037" i="96"/>
  <c r="C4038" i="96"/>
  <c r="C4039" i="96"/>
  <c r="C4040" i="96"/>
  <c r="C4041" i="96"/>
  <c r="C4042" i="96"/>
  <c r="C4043" i="96"/>
  <c r="C4044" i="96"/>
  <c r="C4045" i="96"/>
  <c r="C4046" i="96"/>
  <c r="C4047" i="96"/>
  <c r="C4048" i="96"/>
  <c r="C4049" i="96"/>
  <c r="C4050" i="96"/>
  <c r="C4051" i="96"/>
  <c r="C4052" i="96"/>
  <c r="C4053" i="96"/>
  <c r="C4054" i="96"/>
  <c r="C4055" i="96"/>
  <c r="C4056" i="96"/>
  <c r="C4057" i="96"/>
  <c r="C4058" i="96"/>
  <c r="C4059" i="96"/>
  <c r="C4060" i="96"/>
  <c r="C4061" i="96"/>
  <c r="C4062" i="96"/>
  <c r="C4063" i="96"/>
  <c r="C4064" i="96"/>
  <c r="C4065" i="96"/>
  <c r="C4066" i="96"/>
  <c r="C4067" i="96"/>
  <c r="C4068" i="96"/>
  <c r="C4069" i="96"/>
  <c r="C4070" i="96"/>
  <c r="C4071" i="96"/>
  <c r="C4072" i="96"/>
  <c r="C4073" i="96"/>
  <c r="C4074" i="96"/>
  <c r="C4075" i="96"/>
  <c r="C4076" i="96"/>
  <c r="C4077" i="96"/>
  <c r="C4078" i="96"/>
  <c r="C4079" i="96"/>
  <c r="C4080" i="96"/>
  <c r="C4081" i="96"/>
  <c r="C4082" i="96"/>
  <c r="C4083" i="96"/>
  <c r="C4084" i="96"/>
  <c r="C4085" i="96"/>
  <c r="C4086" i="96"/>
  <c r="C4087" i="96"/>
  <c r="C4088" i="96"/>
  <c r="C4089" i="96"/>
  <c r="C4090" i="96"/>
  <c r="C4091" i="96"/>
  <c r="C4092" i="96"/>
  <c r="C4093" i="96"/>
  <c r="C4094" i="96"/>
  <c r="C4095" i="96"/>
  <c r="C4096" i="96"/>
  <c r="C4097" i="96"/>
  <c r="C4098" i="96"/>
  <c r="C4099" i="96"/>
  <c r="C4100" i="96"/>
  <c r="C4101" i="96"/>
  <c r="C4102" i="96"/>
  <c r="C4103" i="96"/>
  <c r="C4104" i="96"/>
  <c r="C3604" i="96"/>
  <c r="C3603" i="96"/>
  <c r="C3602" i="96"/>
  <c r="C3601" i="96"/>
  <c r="C3600" i="96"/>
  <c r="C3599" i="96"/>
  <c r="C3598" i="96"/>
  <c r="C3597" i="96"/>
  <c r="C3596" i="96"/>
  <c r="C3595" i="96"/>
  <c r="C3594" i="96"/>
  <c r="C3593" i="96"/>
  <c r="C3592" i="96"/>
  <c r="C3591" i="96"/>
  <c r="C3590" i="96"/>
  <c r="C3589" i="96"/>
  <c r="C3588" i="96"/>
  <c r="C3587" i="96"/>
  <c r="C3586" i="96"/>
  <c r="C3585" i="96"/>
  <c r="C3584" i="96"/>
  <c r="C3583" i="96"/>
  <c r="C3582" i="96"/>
  <c r="C3581" i="96"/>
  <c r="C3580" i="96"/>
  <c r="C3579" i="96"/>
  <c r="C3578" i="96"/>
  <c r="C3577" i="96"/>
  <c r="C3576" i="96"/>
  <c r="C3575" i="96"/>
  <c r="C3574" i="96"/>
  <c r="C3573" i="96"/>
  <c r="C3572" i="96"/>
  <c r="C3571" i="96"/>
  <c r="C3570" i="96"/>
  <c r="C3569" i="96"/>
  <c r="C3568" i="96"/>
  <c r="C3567" i="96"/>
  <c r="C3566" i="96"/>
  <c r="C3565" i="96"/>
  <c r="C3564" i="96"/>
  <c r="C3563" i="96"/>
  <c r="C3562" i="96"/>
  <c r="C3561" i="96"/>
  <c r="C3560" i="96"/>
  <c r="C3559" i="96"/>
  <c r="C3558" i="96"/>
  <c r="C3557" i="96"/>
  <c r="C3556" i="96"/>
  <c r="C3555" i="96"/>
  <c r="C3554" i="96"/>
  <c r="C3553" i="96"/>
  <c r="C3552" i="96"/>
  <c r="C3551" i="96"/>
  <c r="C3550" i="96"/>
  <c r="C3549" i="96"/>
  <c r="C3548" i="96"/>
  <c r="C3547" i="96"/>
  <c r="C3546" i="96"/>
  <c r="C3545" i="96"/>
  <c r="C3544" i="96"/>
  <c r="C3543" i="96"/>
  <c r="C3542" i="96"/>
  <c r="C3541" i="96"/>
  <c r="C3540" i="96"/>
  <c r="C3539" i="96"/>
  <c r="C3538" i="96"/>
  <c r="C3537" i="96"/>
  <c r="C3536" i="96"/>
  <c r="C3535" i="96"/>
  <c r="C3534" i="96"/>
  <c r="C3533" i="96"/>
  <c r="C3532" i="96"/>
  <c r="C3531" i="96"/>
  <c r="C3530" i="96"/>
  <c r="C3529" i="96"/>
  <c r="C3528" i="96"/>
  <c r="C3527" i="96"/>
  <c r="C3526" i="96"/>
  <c r="C3525" i="96"/>
  <c r="C3524" i="96"/>
  <c r="C3523" i="96"/>
  <c r="C3522" i="96"/>
  <c r="C3521" i="96"/>
  <c r="C3520" i="96"/>
  <c r="C3519" i="96"/>
  <c r="C3518" i="96"/>
  <c r="C3517" i="96"/>
  <c r="C3516" i="96"/>
  <c r="C3515" i="96"/>
  <c r="C3514" i="96"/>
  <c r="C3513" i="96"/>
  <c r="C3512" i="96"/>
  <c r="C3511" i="96"/>
  <c r="C3510" i="96"/>
  <c r="C3509" i="96"/>
  <c r="C3508" i="96"/>
  <c r="C3507" i="96"/>
  <c r="C3506" i="96"/>
  <c r="C3505" i="96"/>
  <c r="C3504" i="96"/>
  <c r="C3503" i="96"/>
  <c r="C3502" i="96"/>
  <c r="C3501" i="96"/>
  <c r="C3500" i="96"/>
  <c r="C3499" i="96"/>
  <c r="C3498" i="96"/>
  <c r="C3497" i="96"/>
  <c r="C3496" i="96"/>
  <c r="C3495" i="96"/>
  <c r="C3494" i="96"/>
  <c r="C3493" i="96"/>
  <c r="C3492" i="96"/>
  <c r="C3491" i="96"/>
  <c r="C3490" i="96"/>
  <c r="C3489" i="96"/>
  <c r="C3488" i="96"/>
  <c r="C3487" i="96"/>
  <c r="C3486" i="96"/>
  <c r="C3485" i="96"/>
  <c r="C3484" i="96"/>
  <c r="C3483" i="96"/>
  <c r="C3482" i="96"/>
  <c r="C3481" i="96"/>
  <c r="C3480" i="96"/>
  <c r="C3479" i="96"/>
  <c r="C3478" i="96"/>
  <c r="C3477" i="96"/>
  <c r="C3476" i="96"/>
  <c r="C3475" i="96"/>
  <c r="C3474" i="96"/>
  <c r="C3473" i="96"/>
  <c r="C3472" i="96"/>
  <c r="C3471" i="96"/>
  <c r="C3470" i="96"/>
  <c r="C3469" i="96"/>
  <c r="C3468" i="96"/>
  <c r="C3467" i="96"/>
  <c r="C3466" i="96"/>
  <c r="C3465" i="96"/>
  <c r="C3464" i="96"/>
  <c r="C3463" i="96"/>
  <c r="C3462" i="96"/>
  <c r="C3461" i="96"/>
  <c r="C3460" i="96"/>
  <c r="C3459" i="96"/>
  <c r="C3458" i="96"/>
  <c r="C3457" i="96"/>
  <c r="C3456" i="96"/>
  <c r="C3455" i="96"/>
  <c r="C3454" i="96"/>
  <c r="C3453" i="96"/>
  <c r="C3452" i="96"/>
  <c r="C3451" i="96"/>
  <c r="C3450" i="96"/>
  <c r="C3449" i="96"/>
  <c r="C3448" i="96"/>
  <c r="C3447" i="96"/>
  <c r="C3446" i="96"/>
  <c r="C3445" i="96"/>
  <c r="C3444" i="96"/>
  <c r="C3443" i="96"/>
  <c r="C3442" i="96"/>
  <c r="C3441" i="96"/>
  <c r="C3440" i="96"/>
  <c r="C3439" i="96"/>
  <c r="C3438" i="96"/>
  <c r="C3437" i="96"/>
  <c r="C3436" i="96"/>
  <c r="C3435" i="96"/>
  <c r="C3434" i="96"/>
  <c r="C3433" i="96"/>
  <c r="C3432" i="96"/>
  <c r="C3431" i="96"/>
  <c r="C3430" i="96"/>
  <c r="C3429" i="96"/>
  <c r="C3428" i="96"/>
  <c r="C3427" i="96"/>
  <c r="C3426" i="96"/>
  <c r="C3425" i="96"/>
  <c r="C3424" i="96"/>
  <c r="C3423" i="96"/>
  <c r="C3422" i="96"/>
  <c r="C3421" i="96"/>
  <c r="C3420" i="96"/>
  <c r="C3419" i="96"/>
  <c r="C3418" i="96"/>
  <c r="C3417" i="96"/>
  <c r="C3416" i="96"/>
  <c r="C3415" i="96"/>
  <c r="C3414" i="96"/>
  <c r="C3413" i="96"/>
  <c r="C3412" i="96"/>
  <c r="C3411" i="96"/>
  <c r="C3410" i="96"/>
  <c r="C3409" i="96"/>
  <c r="C3408" i="96"/>
  <c r="C3407" i="96"/>
  <c r="C3406" i="96"/>
  <c r="C3405" i="96"/>
  <c r="C3404" i="96"/>
  <c r="C3403" i="96"/>
  <c r="C3402" i="96"/>
  <c r="C3401" i="96"/>
  <c r="C3400" i="96"/>
  <c r="C3399" i="96"/>
  <c r="C3398" i="96"/>
  <c r="C3397" i="96"/>
  <c r="C3396" i="96"/>
  <c r="C3395" i="96"/>
  <c r="C3394" i="96"/>
  <c r="C3393" i="96"/>
  <c r="C3392" i="96"/>
  <c r="C3391" i="96"/>
  <c r="C3390" i="96"/>
  <c r="C3389" i="96"/>
  <c r="C3388" i="96"/>
  <c r="C3387" i="96"/>
  <c r="C3386" i="96"/>
  <c r="C3385" i="96"/>
  <c r="C3384" i="96"/>
  <c r="C3383" i="96"/>
  <c r="C3382" i="96"/>
  <c r="C3381" i="96"/>
  <c r="C3380" i="96"/>
  <c r="C3379" i="96"/>
  <c r="C3378" i="96"/>
  <c r="C3377" i="96"/>
  <c r="C3376" i="96"/>
  <c r="C3375" i="96"/>
  <c r="C3374" i="96"/>
  <c r="C3373" i="96"/>
  <c r="C3372" i="96"/>
  <c r="C3371" i="96"/>
  <c r="C3370" i="96"/>
  <c r="C3369" i="96"/>
  <c r="C3368" i="96"/>
  <c r="C3367" i="96"/>
  <c r="C3366" i="96"/>
  <c r="C3365" i="96"/>
  <c r="C3364" i="96"/>
  <c r="C3363" i="96"/>
  <c r="C3362" i="96"/>
  <c r="C3361" i="96"/>
  <c r="C3360" i="96"/>
  <c r="C3359" i="96"/>
  <c r="C3358" i="96"/>
  <c r="C3357" i="96"/>
  <c r="C3356" i="96"/>
  <c r="C3355" i="96"/>
  <c r="C3354" i="96"/>
  <c r="C3353" i="96"/>
  <c r="C3352" i="96"/>
  <c r="C3351" i="96"/>
  <c r="C3350" i="96"/>
  <c r="C3349" i="96"/>
  <c r="C3348" i="96"/>
  <c r="C3347" i="96"/>
  <c r="C3346" i="96"/>
  <c r="C3345" i="96"/>
  <c r="C3344" i="96"/>
  <c r="C3343" i="96"/>
  <c r="C3342" i="96"/>
  <c r="C3341" i="96"/>
  <c r="C3340" i="96"/>
  <c r="C3339" i="96"/>
  <c r="C3338" i="96"/>
  <c r="C3337" i="96"/>
  <c r="C3336" i="96"/>
  <c r="C3335" i="96"/>
  <c r="C3334" i="96"/>
  <c r="C3333" i="96"/>
  <c r="C3332" i="96"/>
  <c r="C3331" i="96"/>
  <c r="C3330" i="96"/>
  <c r="C3329" i="96"/>
  <c r="C3328" i="96"/>
  <c r="C3327" i="96"/>
  <c r="C3326" i="96"/>
  <c r="C3325" i="96"/>
  <c r="C3324" i="96"/>
  <c r="C3323" i="96"/>
  <c r="C3322" i="96"/>
  <c r="C3321" i="96"/>
  <c r="C3320" i="96"/>
  <c r="C3319" i="96"/>
  <c r="C3318" i="96"/>
  <c r="C3317" i="96"/>
  <c r="C3316" i="96"/>
  <c r="C3315" i="96"/>
  <c r="C3314" i="96"/>
  <c r="C3313" i="96"/>
  <c r="C3312" i="96"/>
  <c r="C3311" i="96"/>
  <c r="C3310" i="96"/>
  <c r="C3309" i="96"/>
  <c r="C3308" i="96"/>
  <c r="C3307" i="96"/>
  <c r="C3306" i="96"/>
  <c r="C3305" i="96"/>
  <c r="C3304" i="96"/>
  <c r="C3303" i="96"/>
  <c r="C3302" i="96"/>
  <c r="C3301" i="96"/>
  <c r="C3300" i="96"/>
  <c r="C3299" i="96"/>
  <c r="C3298" i="96"/>
  <c r="C3297" i="96"/>
  <c r="C3296" i="96"/>
  <c r="C3295" i="96"/>
  <c r="C3294" i="96"/>
  <c r="C3293" i="96"/>
  <c r="C3292" i="96"/>
  <c r="C3291" i="96"/>
  <c r="C3290" i="96"/>
  <c r="C3289" i="96"/>
  <c r="C3288" i="96"/>
  <c r="C3287" i="96"/>
  <c r="C3286" i="96"/>
  <c r="C3285" i="96"/>
  <c r="C3284" i="96"/>
  <c r="C3283" i="96"/>
  <c r="C3282" i="96"/>
  <c r="C3281" i="96"/>
  <c r="C3280" i="96"/>
  <c r="C3279" i="96"/>
  <c r="C3278" i="96"/>
  <c r="C3277" i="96"/>
  <c r="C3276" i="96"/>
  <c r="C3275" i="96"/>
  <c r="C3274" i="96"/>
  <c r="C3273" i="96"/>
  <c r="C3272" i="96"/>
  <c r="C3271" i="96"/>
  <c r="C3270" i="96"/>
  <c r="C3269" i="96"/>
  <c r="C3268" i="96"/>
  <c r="C3267" i="96"/>
  <c r="C3266" i="96"/>
  <c r="C3265" i="96"/>
  <c r="C3264" i="96"/>
  <c r="C3263" i="96"/>
  <c r="C3262" i="96"/>
  <c r="C3261" i="96"/>
  <c r="C3260" i="96"/>
  <c r="C3259" i="96"/>
  <c r="C3258" i="96"/>
  <c r="C3257" i="96"/>
  <c r="C3256" i="96"/>
  <c r="C3255" i="96"/>
  <c r="C3254" i="96"/>
  <c r="C3253" i="96"/>
  <c r="C3252" i="96"/>
  <c r="C3251" i="96"/>
  <c r="C3250" i="96"/>
  <c r="C3249" i="96"/>
  <c r="C3248" i="96"/>
  <c r="C3247" i="96"/>
  <c r="C3246" i="96"/>
  <c r="C3245" i="96"/>
  <c r="C3244" i="96"/>
  <c r="C3243" i="96"/>
  <c r="C3242" i="96"/>
  <c r="C3241" i="96"/>
  <c r="C3240" i="96"/>
  <c r="C3239" i="96"/>
  <c r="C3238" i="96"/>
  <c r="C3237" i="96"/>
  <c r="C3236" i="96"/>
  <c r="C3235" i="96"/>
  <c r="C3234" i="96"/>
  <c r="C3233" i="96"/>
  <c r="C3232" i="96"/>
  <c r="C3231" i="96"/>
  <c r="C3230" i="96"/>
  <c r="C3229" i="96"/>
  <c r="C3228" i="96"/>
  <c r="C3227" i="96"/>
  <c r="C3226" i="96"/>
  <c r="C3225" i="96"/>
  <c r="C3224" i="96"/>
  <c r="C3223" i="96"/>
  <c r="C3222" i="96"/>
  <c r="C3221" i="96"/>
  <c r="C3220" i="96"/>
  <c r="C3219" i="96"/>
  <c r="C3218" i="96"/>
  <c r="C3217" i="96"/>
  <c r="C3216" i="96"/>
  <c r="C3215" i="96"/>
  <c r="C3214" i="96"/>
  <c r="C3213" i="96"/>
  <c r="C3212" i="96"/>
  <c r="C3211" i="96"/>
  <c r="C3210" i="96"/>
  <c r="C3209" i="96"/>
  <c r="C3208" i="96"/>
  <c r="C3207" i="96"/>
  <c r="C3206" i="96"/>
  <c r="C3205" i="96"/>
  <c r="C2605" i="96"/>
  <c r="C2606" i="96"/>
  <c r="C2607" i="96"/>
  <c r="C2608" i="96"/>
  <c r="C2609" i="96"/>
  <c r="C2610" i="96"/>
  <c r="C2611" i="96"/>
  <c r="C2612" i="96"/>
  <c r="C2613" i="96"/>
  <c r="C2614" i="96"/>
  <c r="C2615" i="96"/>
  <c r="C2616" i="96"/>
  <c r="C2617" i="96"/>
  <c r="C2618" i="96"/>
  <c r="C2619" i="96"/>
  <c r="C2620" i="96"/>
  <c r="C2621" i="96"/>
  <c r="C2622" i="96"/>
  <c r="C2623" i="96"/>
  <c r="C2624" i="96"/>
  <c r="C2625" i="96"/>
  <c r="C2626" i="96"/>
  <c r="C2627" i="96"/>
  <c r="C2628" i="96"/>
  <c r="C2629" i="96"/>
  <c r="C2630" i="96"/>
  <c r="C2631" i="96"/>
  <c r="C2632" i="96"/>
  <c r="C2633" i="96"/>
  <c r="C2634" i="96"/>
  <c r="C2635" i="96"/>
  <c r="C2636" i="96"/>
  <c r="C2637" i="96"/>
  <c r="C2638" i="96"/>
  <c r="C2639" i="96"/>
  <c r="C2640" i="96"/>
  <c r="C2641" i="96"/>
  <c r="C2642" i="96"/>
  <c r="C2643" i="96"/>
  <c r="C2644" i="96"/>
  <c r="C2645" i="96"/>
  <c r="C2646" i="96"/>
  <c r="C2647" i="96"/>
  <c r="C2648" i="96"/>
  <c r="C2649" i="96"/>
  <c r="C2650" i="96"/>
  <c r="C2651" i="96"/>
  <c r="C2652" i="96"/>
  <c r="C2653" i="96"/>
  <c r="C2654" i="96"/>
  <c r="C2655" i="96"/>
  <c r="C2656" i="96"/>
  <c r="C2657" i="96"/>
  <c r="C2658" i="96"/>
  <c r="C2659" i="96"/>
  <c r="C2660" i="96"/>
  <c r="C2661" i="96"/>
  <c r="C2662" i="96"/>
  <c r="C2663" i="96"/>
  <c r="C2664" i="96"/>
  <c r="C2665" i="96"/>
  <c r="C2666" i="96"/>
  <c r="C2667" i="96"/>
  <c r="C2668" i="96"/>
  <c r="C2669" i="96"/>
  <c r="C2670" i="96"/>
  <c r="C2671" i="96"/>
  <c r="C2672" i="96"/>
  <c r="C2673" i="96"/>
  <c r="C2674" i="96"/>
  <c r="C2675" i="96"/>
  <c r="C2676" i="96"/>
  <c r="C2677" i="96"/>
  <c r="C2678" i="96"/>
  <c r="C2679" i="96"/>
  <c r="C2680" i="96"/>
  <c r="C2681" i="96"/>
  <c r="C2682" i="96"/>
  <c r="C2683" i="96"/>
  <c r="C2684" i="96"/>
  <c r="C2685" i="96"/>
  <c r="C2686" i="96"/>
  <c r="C2687" i="96"/>
  <c r="C2688" i="96"/>
  <c r="C2689" i="96"/>
  <c r="C2690" i="96"/>
  <c r="C2691" i="96"/>
  <c r="C2692" i="96"/>
  <c r="C2693" i="96"/>
  <c r="C2694" i="96"/>
  <c r="C2695" i="96"/>
  <c r="C2696" i="96"/>
  <c r="C2697" i="96"/>
  <c r="C2698" i="96"/>
  <c r="C2699" i="96"/>
  <c r="C2700" i="96"/>
  <c r="C2701" i="96"/>
  <c r="C2702" i="96"/>
  <c r="C2703" i="96"/>
  <c r="C2704" i="96"/>
  <c r="C2705" i="96"/>
  <c r="C2706" i="96"/>
  <c r="C2707" i="96"/>
  <c r="C2708" i="96"/>
  <c r="C2709" i="96"/>
  <c r="C2710" i="96"/>
  <c r="C2711" i="96"/>
  <c r="C2712" i="96"/>
  <c r="C2713" i="96"/>
  <c r="C2714" i="96"/>
  <c r="C2715" i="96"/>
  <c r="C2716" i="96"/>
  <c r="C2717" i="96"/>
  <c r="C2718" i="96"/>
  <c r="C2719" i="96"/>
  <c r="C2720" i="96"/>
  <c r="C2721" i="96"/>
  <c r="C2722" i="96"/>
  <c r="C2723" i="96"/>
  <c r="C2724" i="96"/>
  <c r="C2725" i="96"/>
  <c r="C2726" i="96"/>
  <c r="C2727" i="96"/>
  <c r="C2728" i="96"/>
  <c r="C2729" i="96"/>
  <c r="C2730" i="96"/>
  <c r="C2731" i="96"/>
  <c r="C2732" i="96"/>
  <c r="C2733" i="96"/>
  <c r="C2734" i="96"/>
  <c r="C2735" i="96"/>
  <c r="C2736" i="96"/>
  <c r="C2737" i="96"/>
  <c r="C2738" i="96"/>
  <c r="C2739" i="96"/>
  <c r="C2740" i="96"/>
  <c r="C2741" i="96"/>
  <c r="C2742" i="96"/>
  <c r="C2743" i="96"/>
  <c r="C2744" i="96"/>
  <c r="C2745" i="96"/>
  <c r="C2746" i="96"/>
  <c r="C2747" i="96"/>
  <c r="C2748" i="96"/>
  <c r="C2749" i="96"/>
  <c r="C2750" i="96"/>
  <c r="C2751" i="96"/>
  <c r="C2752" i="96"/>
  <c r="C2753" i="96"/>
  <c r="C2754" i="96"/>
  <c r="C2755" i="96"/>
  <c r="C2756" i="96"/>
  <c r="C2757" i="96"/>
  <c r="C2758" i="96"/>
  <c r="C2759" i="96"/>
  <c r="C2760" i="96"/>
  <c r="C2761" i="96"/>
  <c r="C2762" i="96"/>
  <c r="C2763" i="96"/>
  <c r="C2764" i="96"/>
  <c r="C2765" i="96"/>
  <c r="C2766" i="96"/>
  <c r="C2767" i="96"/>
  <c r="C2768" i="96"/>
  <c r="C2769" i="96"/>
  <c r="C2770" i="96"/>
  <c r="C2771" i="96"/>
  <c r="C2772" i="96"/>
  <c r="C2773" i="96"/>
  <c r="C2774" i="96"/>
  <c r="C2775" i="96"/>
  <c r="C2776" i="96"/>
  <c r="C2777" i="96"/>
  <c r="C2778" i="96"/>
  <c r="C2779" i="96"/>
  <c r="C2780" i="96"/>
  <c r="C2781" i="96"/>
  <c r="C2782" i="96"/>
  <c r="C2783" i="96"/>
  <c r="C2784" i="96"/>
  <c r="C2785" i="96"/>
  <c r="C2786" i="96"/>
  <c r="C2787" i="96"/>
  <c r="C2788" i="96"/>
  <c r="C2789" i="96"/>
  <c r="C2790" i="96"/>
  <c r="C2791" i="96"/>
  <c r="C2792" i="96"/>
  <c r="C2793" i="96"/>
  <c r="C2794" i="96"/>
  <c r="C2795" i="96"/>
  <c r="C2796" i="96"/>
  <c r="C2797" i="96"/>
  <c r="C2798" i="96"/>
  <c r="C2799" i="96"/>
  <c r="C2800" i="96"/>
  <c r="C2801" i="96"/>
  <c r="C2802" i="96"/>
  <c r="C2803" i="96"/>
  <c r="C2804" i="96"/>
  <c r="C2805" i="96"/>
  <c r="C2806" i="96"/>
  <c r="C2807" i="96"/>
  <c r="C2808" i="96"/>
  <c r="C2809" i="96"/>
  <c r="C2810" i="96"/>
  <c r="C2811" i="96"/>
  <c r="C2812" i="96"/>
  <c r="C2813" i="96"/>
  <c r="C2814" i="96"/>
  <c r="C2815" i="96"/>
  <c r="C2816" i="96"/>
  <c r="C2817" i="96"/>
  <c r="C2818" i="96"/>
  <c r="C2819" i="96"/>
  <c r="C2820" i="96"/>
  <c r="C2821" i="96"/>
  <c r="C2822" i="96"/>
  <c r="C2823" i="96"/>
  <c r="C2824" i="96"/>
  <c r="C2825" i="96"/>
  <c r="C2826" i="96"/>
  <c r="C2827" i="96"/>
  <c r="C2828" i="96"/>
  <c r="C2829" i="96"/>
  <c r="C2830" i="96"/>
  <c r="C2831" i="96"/>
  <c r="C2832" i="96"/>
  <c r="C2833" i="96"/>
  <c r="C2834" i="96"/>
  <c r="C2835" i="96"/>
  <c r="C2836" i="96"/>
  <c r="C2837" i="96"/>
  <c r="C2838" i="96"/>
  <c r="C2839" i="96"/>
  <c r="C2840" i="96"/>
  <c r="C2841" i="96"/>
  <c r="C2842" i="96"/>
  <c r="C2843" i="96"/>
  <c r="C2844" i="96"/>
  <c r="C2845" i="96"/>
  <c r="C2846" i="96"/>
  <c r="C2847" i="96"/>
  <c r="C2848" i="96"/>
  <c r="C2849" i="96"/>
  <c r="C2850" i="96"/>
  <c r="C2851" i="96"/>
  <c r="C2852" i="96"/>
  <c r="C2853" i="96"/>
  <c r="C2854" i="96"/>
  <c r="C2855" i="96"/>
  <c r="C2856" i="96"/>
  <c r="C2857" i="96"/>
  <c r="C2858" i="96"/>
  <c r="C2859" i="96"/>
  <c r="C2860" i="96"/>
  <c r="C2861" i="96"/>
  <c r="C2862" i="96"/>
  <c r="C2863" i="96"/>
  <c r="C2864" i="96"/>
  <c r="C2865" i="96"/>
  <c r="C2866" i="96"/>
  <c r="C2867" i="96"/>
  <c r="C2868" i="96"/>
  <c r="C2869" i="96"/>
  <c r="C2870" i="96"/>
  <c r="C2871" i="96"/>
  <c r="C2872" i="96"/>
  <c r="C2873" i="96"/>
  <c r="C2874" i="96"/>
  <c r="C2875" i="96"/>
  <c r="C2876" i="96"/>
  <c r="C2877" i="96"/>
  <c r="C2878" i="96"/>
  <c r="C2879" i="96"/>
  <c r="C2880" i="96"/>
  <c r="C2881" i="96"/>
  <c r="C2882" i="96"/>
  <c r="C2883" i="96"/>
  <c r="C2884" i="96"/>
  <c r="C2885" i="96"/>
  <c r="C2886" i="96"/>
  <c r="C2887" i="96"/>
  <c r="C2888" i="96"/>
  <c r="C2889" i="96"/>
  <c r="C2890" i="96"/>
  <c r="C2891" i="96"/>
  <c r="C2892" i="96"/>
  <c r="C2893" i="96"/>
  <c r="C2894" i="96"/>
  <c r="C2895" i="96"/>
  <c r="C2896" i="96"/>
  <c r="C2897" i="96"/>
  <c r="C2898" i="96"/>
  <c r="C2899" i="96"/>
  <c r="C2900" i="96"/>
  <c r="C2901" i="96"/>
  <c r="C2902" i="96"/>
  <c r="C2903" i="96"/>
  <c r="C2904" i="96"/>
  <c r="C2905" i="96"/>
  <c r="C2906" i="96"/>
  <c r="C2907" i="96"/>
  <c r="C2908" i="96"/>
  <c r="C2909" i="96"/>
  <c r="C2910" i="96"/>
  <c r="C2911" i="96"/>
  <c r="C2912" i="96"/>
  <c r="C2913" i="96"/>
  <c r="C2914" i="96"/>
  <c r="C2915" i="96"/>
  <c r="C2916" i="96"/>
  <c r="C2917" i="96"/>
  <c r="C2918" i="96"/>
  <c r="C2919" i="96"/>
  <c r="C2920" i="96"/>
  <c r="C2921" i="96"/>
  <c r="C2922" i="96"/>
  <c r="C2923" i="96"/>
  <c r="C2924" i="96"/>
  <c r="C2925" i="96"/>
  <c r="C2926" i="96"/>
  <c r="C2927" i="96"/>
  <c r="C2928" i="96"/>
  <c r="C2929" i="96"/>
  <c r="C2930" i="96"/>
  <c r="C2931" i="96"/>
  <c r="C2932" i="96"/>
  <c r="C2933" i="96"/>
  <c r="C2934" i="96"/>
  <c r="C2935" i="96"/>
  <c r="C2936" i="96"/>
  <c r="C2937" i="96"/>
  <c r="C2938" i="96"/>
  <c r="C2939" i="96"/>
  <c r="C2940" i="96"/>
  <c r="C2941" i="96"/>
  <c r="C2942" i="96"/>
  <c r="C2943" i="96"/>
  <c r="C2944" i="96"/>
  <c r="C2945" i="96"/>
  <c r="C2946" i="96"/>
  <c r="C2947" i="96"/>
  <c r="C2948" i="96"/>
  <c r="C2949" i="96"/>
  <c r="C2950" i="96"/>
  <c r="C2951" i="96"/>
  <c r="C2952" i="96"/>
  <c r="C2953" i="96"/>
  <c r="C2954" i="96"/>
  <c r="C2955" i="96"/>
  <c r="C2956" i="96"/>
  <c r="C2957" i="96"/>
  <c r="C2958" i="96"/>
  <c r="C2959" i="96"/>
  <c r="C2960" i="96"/>
  <c r="C2961" i="96"/>
  <c r="C2962" i="96"/>
  <c r="C2963" i="96"/>
  <c r="C2964" i="96"/>
  <c r="C2965" i="96"/>
  <c r="C2966" i="96"/>
  <c r="C2967" i="96"/>
  <c r="C2968" i="96"/>
  <c r="C2969" i="96"/>
  <c r="C2970" i="96"/>
  <c r="C2971" i="96"/>
  <c r="C2972" i="96"/>
  <c r="C2973" i="96"/>
  <c r="C2974" i="96"/>
  <c r="C2975" i="96"/>
  <c r="C2976" i="96"/>
  <c r="C2977" i="96"/>
  <c r="C2978" i="96"/>
  <c r="C2979" i="96"/>
  <c r="C2980" i="96"/>
  <c r="C2981" i="96"/>
  <c r="C2982" i="96"/>
  <c r="C2983" i="96"/>
  <c r="C2984" i="96"/>
  <c r="C2985" i="96"/>
  <c r="C2986" i="96"/>
  <c r="C2987" i="96"/>
  <c r="C2988" i="96"/>
  <c r="C2989" i="96"/>
  <c r="C2990" i="96"/>
  <c r="C2991" i="96"/>
  <c r="C2992" i="96"/>
  <c r="C2993" i="96"/>
  <c r="C2994" i="96"/>
  <c r="C2995" i="96"/>
  <c r="C2996" i="96"/>
  <c r="C2997" i="96"/>
  <c r="C2998" i="96"/>
  <c r="C2999" i="96"/>
  <c r="C3000" i="96"/>
  <c r="C3001" i="96"/>
  <c r="C3002" i="96"/>
  <c r="C3003" i="96"/>
  <c r="C3004" i="96"/>
  <c r="C2105" i="96"/>
  <c r="C2106" i="96"/>
  <c r="C2107" i="96"/>
  <c r="C2108" i="96"/>
  <c r="C2109" i="96"/>
  <c r="C2110" i="96"/>
  <c r="C2111" i="96"/>
  <c r="C2112" i="96"/>
  <c r="C2113" i="96"/>
  <c r="C2114" i="96"/>
  <c r="C2115" i="96"/>
  <c r="C2116" i="96"/>
  <c r="C2117" i="96"/>
  <c r="C2118" i="96"/>
  <c r="C2119" i="96"/>
  <c r="C2120" i="96"/>
  <c r="C2121" i="96"/>
  <c r="C2122" i="96"/>
  <c r="C2123" i="96"/>
  <c r="C2124" i="96"/>
  <c r="C2125" i="96"/>
  <c r="C2126" i="96"/>
  <c r="C2127" i="96"/>
  <c r="C2128" i="96"/>
  <c r="C2129" i="96"/>
  <c r="C2130" i="96"/>
  <c r="C2131" i="96"/>
  <c r="C2132" i="96"/>
  <c r="C2133" i="96"/>
  <c r="C2134" i="96"/>
  <c r="C2135" i="96"/>
  <c r="C2136" i="96"/>
  <c r="C2137" i="96"/>
  <c r="C2138" i="96"/>
  <c r="C2139" i="96"/>
  <c r="C2140" i="96"/>
  <c r="C2141" i="96"/>
  <c r="C2142" i="96"/>
  <c r="C2143" i="96"/>
  <c r="C2144" i="96"/>
  <c r="C2145" i="96"/>
  <c r="C2146" i="96"/>
  <c r="C2147" i="96"/>
  <c r="C2148" i="96"/>
  <c r="C2149" i="96"/>
  <c r="C2150" i="96"/>
  <c r="C2151" i="96"/>
  <c r="C2152" i="96"/>
  <c r="C2153" i="96"/>
  <c r="C2154" i="96"/>
  <c r="C2155" i="96"/>
  <c r="C2156" i="96"/>
  <c r="C2157" i="96"/>
  <c r="C2158" i="96"/>
  <c r="C2159" i="96"/>
  <c r="C2160" i="96"/>
  <c r="C2161" i="96"/>
  <c r="C2162" i="96"/>
  <c r="C2163" i="96"/>
  <c r="C2164" i="96"/>
  <c r="C2165" i="96"/>
  <c r="C2166" i="96"/>
  <c r="C2167" i="96"/>
  <c r="C2168" i="96"/>
  <c r="C2169" i="96"/>
  <c r="C2170" i="96"/>
  <c r="C2171" i="96"/>
  <c r="C2172" i="96"/>
  <c r="C2173" i="96"/>
  <c r="C2174" i="96"/>
  <c r="C2175" i="96"/>
  <c r="C2176" i="96"/>
  <c r="C2177" i="96"/>
  <c r="C2178" i="96"/>
  <c r="C2179" i="96"/>
  <c r="C2180" i="96"/>
  <c r="C2181" i="96"/>
  <c r="C2182" i="96"/>
  <c r="C2183" i="96"/>
  <c r="C2184" i="96"/>
  <c r="C2185" i="96"/>
  <c r="C2186" i="96"/>
  <c r="C2187" i="96"/>
  <c r="C2188" i="96"/>
  <c r="C2189" i="96"/>
  <c r="C2190" i="96"/>
  <c r="C2191" i="96"/>
  <c r="C2192" i="96"/>
  <c r="C2193" i="96"/>
  <c r="C2194" i="96"/>
  <c r="C2195" i="96"/>
  <c r="C2196" i="96"/>
  <c r="C2197" i="96"/>
  <c r="C2198" i="96"/>
  <c r="C2199" i="96"/>
  <c r="C2200" i="96"/>
  <c r="C2201" i="96"/>
  <c r="C2202" i="96"/>
  <c r="C2203" i="96"/>
  <c r="C2204" i="96"/>
  <c r="C2205" i="96"/>
  <c r="C2206" i="96"/>
  <c r="C2207" i="96"/>
  <c r="C2208" i="96"/>
  <c r="C2209" i="96"/>
  <c r="C2210" i="96"/>
  <c r="C2211" i="96"/>
  <c r="C2212" i="96"/>
  <c r="C2213" i="96"/>
  <c r="C2214" i="96"/>
  <c r="C2215" i="96"/>
  <c r="C2216" i="96"/>
  <c r="C2217" i="96"/>
  <c r="C2218" i="96"/>
  <c r="C2219" i="96"/>
  <c r="C2220" i="96"/>
  <c r="C2221" i="96"/>
  <c r="C2222" i="96"/>
  <c r="C2223" i="96"/>
  <c r="C2224" i="96"/>
  <c r="C2225" i="96"/>
  <c r="C2226" i="96"/>
  <c r="C2227" i="96"/>
  <c r="C2228" i="96"/>
  <c r="C2229" i="96"/>
  <c r="C2230" i="96"/>
  <c r="C2231" i="96"/>
  <c r="C2232" i="96"/>
  <c r="C2233" i="96"/>
  <c r="C2234" i="96"/>
  <c r="C2235" i="96"/>
  <c r="C2236" i="96"/>
  <c r="C2237" i="96"/>
  <c r="C2238" i="96"/>
  <c r="C2239" i="96"/>
  <c r="C2240" i="96"/>
  <c r="C2241" i="96"/>
  <c r="C2242" i="96"/>
  <c r="C2243" i="96"/>
  <c r="C2244" i="96"/>
  <c r="C2245" i="96"/>
  <c r="C2246" i="96"/>
  <c r="C2247" i="96"/>
  <c r="C2248" i="96"/>
  <c r="C2249" i="96"/>
  <c r="C2250" i="96"/>
  <c r="C2251" i="96"/>
  <c r="C2252" i="96"/>
  <c r="C2253" i="96"/>
  <c r="C2254" i="96"/>
  <c r="C2255" i="96"/>
  <c r="C2256" i="96"/>
  <c r="C2257" i="96"/>
  <c r="C2258" i="96"/>
  <c r="C2259" i="96"/>
  <c r="C2260" i="96"/>
  <c r="C2261" i="96"/>
  <c r="C2262" i="96"/>
  <c r="C2263" i="96"/>
  <c r="C2264" i="96"/>
  <c r="C2265" i="96"/>
  <c r="C2266" i="96"/>
  <c r="C2267" i="96"/>
  <c r="C2268" i="96"/>
  <c r="C2269" i="96"/>
  <c r="C2270" i="96"/>
  <c r="C2271" i="96"/>
  <c r="C2272" i="96"/>
  <c r="C2273" i="96"/>
  <c r="C2274" i="96"/>
  <c r="C2275" i="96"/>
  <c r="C2276" i="96"/>
  <c r="C2277" i="96"/>
  <c r="C2278" i="96"/>
  <c r="C2279" i="96"/>
  <c r="C2280" i="96"/>
  <c r="C2281" i="96"/>
  <c r="C2282" i="96"/>
  <c r="C2283" i="96"/>
  <c r="C2284" i="96"/>
  <c r="C2285" i="96"/>
  <c r="C2286" i="96"/>
  <c r="C2287" i="96"/>
  <c r="C2288" i="96"/>
  <c r="C2289" i="96"/>
  <c r="C2290" i="96"/>
  <c r="C2291" i="96"/>
  <c r="C2292" i="96"/>
  <c r="C2293" i="96"/>
  <c r="C2294" i="96"/>
  <c r="C2295" i="96"/>
  <c r="C2296" i="96"/>
  <c r="C2297" i="96"/>
  <c r="C2298" i="96"/>
  <c r="C2299" i="96"/>
  <c r="C2300" i="96"/>
  <c r="C2301" i="96"/>
  <c r="C2302" i="96"/>
  <c r="C2303" i="96"/>
  <c r="C2304" i="96"/>
  <c r="C2305" i="96"/>
  <c r="C2306" i="96"/>
  <c r="C2307" i="96"/>
  <c r="C2308" i="96"/>
  <c r="C2309" i="96"/>
  <c r="C2310" i="96"/>
  <c r="C2311" i="96"/>
  <c r="C2312" i="96"/>
  <c r="C2313" i="96"/>
  <c r="C2314" i="96"/>
  <c r="C2315" i="96"/>
  <c r="C2316" i="96"/>
  <c r="C2317" i="96"/>
  <c r="C2318" i="96"/>
  <c r="C2319" i="96"/>
  <c r="C2320" i="96"/>
  <c r="C2321" i="96"/>
  <c r="C2322" i="96"/>
  <c r="C2323" i="96"/>
  <c r="C2324" i="96"/>
  <c r="C2325" i="96"/>
  <c r="C2326" i="96"/>
  <c r="C2327" i="96"/>
  <c r="C2328" i="96"/>
  <c r="C2329" i="96"/>
  <c r="C2330" i="96"/>
  <c r="C2331" i="96"/>
  <c r="C2332" i="96"/>
  <c r="C2333" i="96"/>
  <c r="C2334" i="96"/>
  <c r="C2335" i="96"/>
  <c r="C2336" i="96"/>
  <c r="C2337" i="96"/>
  <c r="C2338" i="96"/>
  <c r="C2339" i="96"/>
  <c r="C2340" i="96"/>
  <c r="C2341" i="96"/>
  <c r="C2342" i="96"/>
  <c r="C2343" i="96"/>
  <c r="C2344" i="96"/>
  <c r="C2345" i="96"/>
  <c r="C2346" i="96"/>
  <c r="C2347" i="96"/>
  <c r="C2348" i="96"/>
  <c r="C2349" i="96"/>
  <c r="C2350" i="96"/>
  <c r="C2351" i="96"/>
  <c r="C2352" i="96"/>
  <c r="C2353" i="96"/>
  <c r="C2354" i="96"/>
  <c r="C2355" i="96"/>
  <c r="C2356" i="96"/>
  <c r="C2357" i="96"/>
  <c r="C2358" i="96"/>
  <c r="C2359" i="96"/>
  <c r="C2360" i="96"/>
  <c r="C2361" i="96"/>
  <c r="C2362" i="96"/>
  <c r="C2363" i="96"/>
  <c r="C2364" i="96"/>
  <c r="C2365" i="96"/>
  <c r="C2366" i="96"/>
  <c r="C2367" i="96"/>
  <c r="C2368" i="96"/>
  <c r="C2369" i="96"/>
  <c r="C2370" i="96"/>
  <c r="C2371" i="96"/>
  <c r="C2372" i="96"/>
  <c r="C2373" i="96"/>
  <c r="C2374" i="96"/>
  <c r="C2375" i="96"/>
  <c r="C2376" i="96"/>
  <c r="C2377" i="96"/>
  <c r="C2378" i="96"/>
  <c r="C2379" i="96"/>
  <c r="C2380" i="96"/>
  <c r="C2381" i="96"/>
  <c r="C2382" i="96"/>
  <c r="C2383" i="96"/>
  <c r="C2384" i="96"/>
  <c r="C2385" i="96"/>
  <c r="C2386" i="96"/>
  <c r="C2387" i="96"/>
  <c r="C2388" i="96"/>
  <c r="C2389" i="96"/>
  <c r="C2390" i="96"/>
  <c r="C2391" i="96"/>
  <c r="C2392" i="96"/>
  <c r="C2393" i="96"/>
  <c r="C2394" i="96"/>
  <c r="C2395" i="96"/>
  <c r="C2396" i="96"/>
  <c r="C2397" i="96"/>
  <c r="C2398" i="96"/>
  <c r="C2399" i="96"/>
  <c r="C2400" i="96"/>
  <c r="C2401" i="96"/>
  <c r="C2402" i="96"/>
  <c r="C2403" i="96"/>
  <c r="C2404" i="96"/>
  <c r="C2405" i="96"/>
  <c r="C2406" i="96"/>
  <c r="C2407" i="96"/>
  <c r="C2408" i="96"/>
  <c r="C2409" i="96"/>
  <c r="C2410" i="96"/>
  <c r="C2411" i="96"/>
  <c r="C2412" i="96"/>
  <c r="C2413" i="96"/>
  <c r="C2414" i="96"/>
  <c r="C2415" i="96"/>
  <c r="C2416" i="96"/>
  <c r="C2417" i="96"/>
  <c r="C2418" i="96"/>
  <c r="C2419" i="96"/>
  <c r="C2420" i="96"/>
  <c r="C2421" i="96"/>
  <c r="C2422" i="96"/>
  <c r="C2423" i="96"/>
  <c r="C2424" i="96"/>
  <c r="C2425" i="96"/>
  <c r="C2426" i="96"/>
  <c r="C2427" i="96"/>
  <c r="C2428" i="96"/>
  <c r="C2429" i="96"/>
  <c r="C2430" i="96"/>
  <c r="C2431" i="96"/>
  <c r="C2432" i="96"/>
  <c r="C2433" i="96"/>
  <c r="C2434" i="96"/>
  <c r="C2435" i="96"/>
  <c r="C2436" i="96"/>
  <c r="C2437" i="96"/>
  <c r="C2438" i="96"/>
  <c r="C2439" i="96"/>
  <c r="C2440" i="96"/>
  <c r="C2441" i="96"/>
  <c r="C2442" i="96"/>
  <c r="C2443" i="96"/>
  <c r="C2444" i="96"/>
  <c r="C2445" i="96"/>
  <c r="C2446" i="96"/>
  <c r="C2447" i="96"/>
  <c r="C2448" i="96"/>
  <c r="C2449" i="96"/>
  <c r="C2450" i="96"/>
  <c r="C2451" i="96"/>
  <c r="C2452" i="96"/>
  <c r="C2453" i="96"/>
  <c r="C2454" i="96"/>
  <c r="C2455" i="96"/>
  <c r="C2456" i="96"/>
  <c r="C2457" i="96"/>
  <c r="C2458" i="96"/>
  <c r="C2459" i="96"/>
  <c r="C2460" i="96"/>
  <c r="C2461" i="96"/>
  <c r="C2462" i="96"/>
  <c r="C2463" i="96"/>
  <c r="C2464" i="96"/>
  <c r="C2465" i="96"/>
  <c r="C2466" i="96"/>
  <c r="C2467" i="96"/>
  <c r="C2468" i="96"/>
  <c r="C2469" i="96"/>
  <c r="C2470" i="96"/>
  <c r="C2471" i="96"/>
  <c r="C2472" i="96"/>
  <c r="C2473" i="96"/>
  <c r="C2474" i="96"/>
  <c r="C2475" i="96"/>
  <c r="C2476" i="96"/>
  <c r="C2477" i="96"/>
  <c r="C2478" i="96"/>
  <c r="C2479" i="96"/>
  <c r="C2480" i="96"/>
  <c r="C2481" i="96"/>
  <c r="C2482" i="96"/>
  <c r="C2483" i="96"/>
  <c r="C2484" i="96"/>
  <c r="C2485" i="96"/>
  <c r="C2486" i="96"/>
  <c r="C2487" i="96"/>
  <c r="C2488" i="96"/>
  <c r="C2489" i="96"/>
  <c r="C2490" i="96"/>
  <c r="C2491" i="96"/>
  <c r="C2492" i="96"/>
  <c r="C2493" i="96"/>
  <c r="C2494" i="96"/>
  <c r="C2495" i="96"/>
  <c r="C2496" i="96"/>
  <c r="C2497" i="96"/>
  <c r="C2498" i="96"/>
  <c r="C2499" i="96"/>
  <c r="C2500" i="96"/>
  <c r="C2501" i="96"/>
  <c r="C2502" i="96"/>
  <c r="C2503" i="96"/>
  <c r="C2504" i="96"/>
  <c r="C1605" i="96"/>
  <c r="C1606" i="96"/>
  <c r="C1607" i="96"/>
  <c r="C1608" i="96"/>
  <c r="C1609" i="96"/>
  <c r="C1610" i="96"/>
  <c r="C1611" i="96"/>
  <c r="C1612" i="96"/>
  <c r="C1613" i="96"/>
  <c r="C1614" i="96"/>
  <c r="C1615" i="96"/>
  <c r="C1616" i="96"/>
  <c r="C1617" i="96"/>
  <c r="C1618" i="96"/>
  <c r="C1619" i="96"/>
  <c r="C1620" i="96"/>
  <c r="C1621" i="96"/>
  <c r="C1622" i="96"/>
  <c r="C1623" i="96"/>
  <c r="C1624" i="96"/>
  <c r="C1625" i="96"/>
  <c r="C1626" i="96"/>
  <c r="C1627" i="96"/>
  <c r="C1628" i="96"/>
  <c r="C1629" i="96"/>
  <c r="C1630" i="96"/>
  <c r="C1631" i="96"/>
  <c r="C1632" i="96"/>
  <c r="C1633" i="96"/>
  <c r="C1634" i="96"/>
  <c r="C1635" i="96"/>
  <c r="C1636" i="96"/>
  <c r="C1637" i="96"/>
  <c r="C1638" i="96"/>
  <c r="C1639" i="96"/>
  <c r="C1640" i="96"/>
  <c r="C1641" i="96"/>
  <c r="C1642" i="96"/>
  <c r="C1643" i="96"/>
  <c r="C1644" i="96"/>
  <c r="C1645" i="96"/>
  <c r="C1646" i="96"/>
  <c r="C1647" i="96"/>
  <c r="C1648" i="96"/>
  <c r="C1649" i="96"/>
  <c r="C1650" i="96"/>
  <c r="C1651" i="96"/>
  <c r="C1652" i="96"/>
  <c r="C1653" i="96"/>
  <c r="C1654" i="96"/>
  <c r="C1655" i="96"/>
  <c r="C1656" i="96"/>
  <c r="C1657" i="96"/>
  <c r="C1658" i="96"/>
  <c r="C1659" i="96"/>
  <c r="C1660" i="96"/>
  <c r="C1661" i="96"/>
  <c r="C1662" i="96"/>
  <c r="C1663" i="96"/>
  <c r="C1664" i="96"/>
  <c r="C1665" i="96"/>
  <c r="C1666" i="96"/>
  <c r="C1667" i="96"/>
  <c r="C1668" i="96"/>
  <c r="C1669" i="96"/>
  <c r="C1670" i="96"/>
  <c r="C1671" i="96"/>
  <c r="C1672" i="96"/>
  <c r="C1673" i="96"/>
  <c r="C1674" i="96"/>
  <c r="C1675" i="96"/>
  <c r="C1676" i="96"/>
  <c r="C1677" i="96"/>
  <c r="C1678" i="96"/>
  <c r="C1679" i="96"/>
  <c r="C1680" i="96"/>
  <c r="C1681" i="96"/>
  <c r="C1682" i="96"/>
  <c r="C1683" i="96"/>
  <c r="C1684" i="96"/>
  <c r="C1685" i="96"/>
  <c r="C1686" i="96"/>
  <c r="C1687" i="96"/>
  <c r="C1688" i="96"/>
  <c r="C1689" i="96"/>
  <c r="C1690" i="96"/>
  <c r="C1691" i="96"/>
  <c r="C1692" i="96"/>
  <c r="C1693" i="96"/>
  <c r="C1694" i="96"/>
  <c r="C1695" i="96"/>
  <c r="C1696" i="96"/>
  <c r="C1697" i="96"/>
  <c r="C1698" i="96"/>
  <c r="C1699" i="96"/>
  <c r="C1700" i="96"/>
  <c r="C1701" i="96"/>
  <c r="C1702" i="96"/>
  <c r="C1703" i="96"/>
  <c r="C1704" i="96"/>
  <c r="C1705" i="96"/>
  <c r="C1706" i="96"/>
  <c r="C1707" i="96"/>
  <c r="C1708" i="96"/>
  <c r="C1709" i="96"/>
  <c r="C1710" i="96"/>
  <c r="C1711" i="96"/>
  <c r="C1712" i="96"/>
  <c r="C1713" i="96"/>
  <c r="C1714" i="96"/>
  <c r="C1715" i="96"/>
  <c r="C1716" i="96"/>
  <c r="C1717" i="96"/>
  <c r="C1718" i="96"/>
  <c r="C1719" i="96"/>
  <c r="C1720" i="96"/>
  <c r="C1721" i="96"/>
  <c r="C1722" i="96"/>
  <c r="C1723" i="96"/>
  <c r="C1724" i="96"/>
  <c r="C1725" i="96"/>
  <c r="C1726" i="96"/>
  <c r="C1727" i="96"/>
  <c r="C1728" i="96"/>
  <c r="C1729" i="96"/>
  <c r="C1730" i="96"/>
  <c r="C1731" i="96"/>
  <c r="C1732" i="96"/>
  <c r="C1733" i="96"/>
  <c r="C1734" i="96"/>
  <c r="C1735" i="96"/>
  <c r="C1736" i="96"/>
  <c r="C1737" i="96"/>
  <c r="C1738" i="96"/>
  <c r="C1739" i="96"/>
  <c r="C1740" i="96"/>
  <c r="C1741" i="96"/>
  <c r="C1742" i="96"/>
  <c r="C1743" i="96"/>
  <c r="C1744" i="96"/>
  <c r="C1745" i="96"/>
  <c r="C1746" i="96"/>
  <c r="C1747" i="96"/>
  <c r="C1748" i="96"/>
  <c r="C1749" i="96"/>
  <c r="C1750" i="96"/>
  <c r="C1751" i="96"/>
  <c r="C1752" i="96"/>
  <c r="C1753" i="96"/>
  <c r="C1754" i="96"/>
  <c r="C1755" i="96"/>
  <c r="C1756" i="96"/>
  <c r="C1757" i="96"/>
  <c r="C1758" i="96"/>
  <c r="C1759" i="96"/>
  <c r="C1760" i="96"/>
  <c r="C1761" i="96"/>
  <c r="C1762" i="96"/>
  <c r="C1763" i="96"/>
  <c r="C1764" i="96"/>
  <c r="C1765" i="96"/>
  <c r="C1766" i="96"/>
  <c r="C1767" i="96"/>
  <c r="C1768" i="96"/>
  <c r="C1769" i="96"/>
  <c r="C1770" i="96"/>
  <c r="C1771" i="96"/>
  <c r="C1772" i="96"/>
  <c r="C1773" i="96"/>
  <c r="C1774" i="96"/>
  <c r="C1775" i="96"/>
  <c r="C1776" i="96"/>
  <c r="C1777" i="96"/>
  <c r="C1778" i="96"/>
  <c r="C1779" i="96"/>
  <c r="C1780" i="96"/>
  <c r="C1781" i="96"/>
  <c r="C1782" i="96"/>
  <c r="C1783" i="96"/>
  <c r="C1784" i="96"/>
  <c r="C1785" i="96"/>
  <c r="C1786" i="96"/>
  <c r="C1787" i="96"/>
  <c r="C1788" i="96"/>
  <c r="C1789" i="96"/>
  <c r="C1790" i="96"/>
  <c r="C1791" i="96"/>
  <c r="C1792" i="96"/>
  <c r="C1793" i="96"/>
  <c r="C1794" i="96"/>
  <c r="C1795" i="96"/>
  <c r="C1796" i="96"/>
  <c r="C1797" i="96"/>
  <c r="C1798" i="96"/>
  <c r="C1799" i="96"/>
  <c r="C1800" i="96"/>
  <c r="C1801" i="96"/>
  <c r="C1802" i="96"/>
  <c r="C1803" i="96"/>
  <c r="C1804" i="96"/>
  <c r="C1805" i="96"/>
  <c r="C1806" i="96"/>
  <c r="C1807" i="96"/>
  <c r="C1808" i="96"/>
  <c r="C1809" i="96"/>
  <c r="C1810" i="96"/>
  <c r="C1811" i="96"/>
  <c r="C1812" i="96"/>
  <c r="C1813" i="96"/>
  <c r="C1814" i="96"/>
  <c r="C1815" i="96"/>
  <c r="C1816" i="96"/>
  <c r="C1817" i="96"/>
  <c r="C1818" i="96"/>
  <c r="C1819" i="96"/>
  <c r="C1820" i="96"/>
  <c r="C1821" i="96"/>
  <c r="C1822" i="96"/>
  <c r="C1823" i="96"/>
  <c r="C1824" i="96"/>
  <c r="C1825" i="96"/>
  <c r="C1826" i="96"/>
  <c r="C1827" i="96"/>
  <c r="C1828" i="96"/>
  <c r="C1829" i="96"/>
  <c r="C1830" i="96"/>
  <c r="C1831" i="96"/>
  <c r="C1832" i="96"/>
  <c r="C1833" i="96"/>
  <c r="C1834" i="96"/>
  <c r="C1835" i="96"/>
  <c r="C1836" i="96"/>
  <c r="C1837" i="96"/>
  <c r="C1838" i="96"/>
  <c r="C1839" i="96"/>
  <c r="C1840" i="96"/>
  <c r="C1841" i="96"/>
  <c r="C1842" i="96"/>
  <c r="C1843" i="96"/>
  <c r="C1844" i="96"/>
  <c r="C1845" i="96"/>
  <c r="C1846" i="96"/>
  <c r="C1847" i="96"/>
  <c r="C1848" i="96"/>
  <c r="C1849" i="96"/>
  <c r="C1850" i="96"/>
  <c r="C1851" i="96"/>
  <c r="C1852" i="96"/>
  <c r="C1853" i="96"/>
  <c r="C1854" i="96"/>
  <c r="C1855" i="96"/>
  <c r="C1856" i="96"/>
  <c r="C1857" i="96"/>
  <c r="C1858" i="96"/>
  <c r="C1859" i="96"/>
  <c r="C1860" i="96"/>
  <c r="C1861" i="96"/>
  <c r="C1862" i="96"/>
  <c r="C1863" i="96"/>
  <c r="C1864" i="96"/>
  <c r="C1865" i="96"/>
  <c r="C1866" i="96"/>
  <c r="C1867" i="96"/>
  <c r="C1868" i="96"/>
  <c r="C1869" i="96"/>
  <c r="C1870" i="96"/>
  <c r="C1871" i="96"/>
  <c r="C1872" i="96"/>
  <c r="C1873" i="96"/>
  <c r="C1874" i="96"/>
  <c r="C1875" i="96"/>
  <c r="C1876" i="96"/>
  <c r="C1877" i="96"/>
  <c r="C1878" i="96"/>
  <c r="C1879" i="96"/>
  <c r="C1880" i="96"/>
  <c r="C1881" i="96"/>
  <c r="C1882" i="96"/>
  <c r="C1883" i="96"/>
  <c r="C1884" i="96"/>
  <c r="C1885" i="96"/>
  <c r="C1886" i="96"/>
  <c r="C1887" i="96"/>
  <c r="C1888" i="96"/>
  <c r="C1889" i="96"/>
  <c r="C1890" i="96"/>
  <c r="C1891" i="96"/>
  <c r="C1892" i="96"/>
  <c r="C1893" i="96"/>
  <c r="C1894" i="96"/>
  <c r="C1895" i="96"/>
  <c r="C1896" i="96"/>
  <c r="C1897" i="96"/>
  <c r="C1898" i="96"/>
  <c r="C1899" i="96"/>
  <c r="C1900" i="96"/>
  <c r="C1901" i="96"/>
  <c r="C1902" i="96"/>
  <c r="C1903" i="96"/>
  <c r="C1904" i="96"/>
  <c r="C1905" i="96"/>
  <c r="C1906" i="96"/>
  <c r="C1907" i="96"/>
  <c r="C1908" i="96"/>
  <c r="C1909" i="96"/>
  <c r="C1910" i="96"/>
  <c r="C1911" i="96"/>
  <c r="C1912" i="96"/>
  <c r="C1913" i="96"/>
  <c r="C1914" i="96"/>
  <c r="C1915" i="96"/>
  <c r="C1916" i="96"/>
  <c r="C1917" i="96"/>
  <c r="C1918" i="96"/>
  <c r="C1919" i="96"/>
  <c r="C1920" i="96"/>
  <c r="C1921" i="96"/>
  <c r="C1922" i="96"/>
  <c r="C1923" i="96"/>
  <c r="C1924" i="96"/>
  <c r="C1925" i="96"/>
  <c r="C1926" i="96"/>
  <c r="C1927" i="96"/>
  <c r="C1928" i="96"/>
  <c r="C1929" i="96"/>
  <c r="C1930" i="96"/>
  <c r="C1931" i="96"/>
  <c r="C1932" i="96"/>
  <c r="C1933" i="96"/>
  <c r="C1934" i="96"/>
  <c r="C1935" i="96"/>
  <c r="C1936" i="96"/>
  <c r="C1937" i="96"/>
  <c r="C1938" i="96"/>
  <c r="C1939" i="96"/>
  <c r="C1940" i="96"/>
  <c r="C1941" i="96"/>
  <c r="C1942" i="96"/>
  <c r="C1943" i="96"/>
  <c r="C1944" i="96"/>
  <c r="C1945" i="96"/>
  <c r="C1946" i="96"/>
  <c r="C1947" i="96"/>
  <c r="C1948" i="96"/>
  <c r="C1949" i="96"/>
  <c r="C1950" i="96"/>
  <c r="C1951" i="96"/>
  <c r="C1952" i="96"/>
  <c r="C1953" i="96"/>
  <c r="C1954" i="96"/>
  <c r="C1955" i="96"/>
  <c r="C1956" i="96"/>
  <c r="C1957" i="96"/>
  <c r="C1958" i="96"/>
  <c r="C1959" i="96"/>
  <c r="C1960" i="96"/>
  <c r="C1961" i="96"/>
  <c r="C1962" i="96"/>
  <c r="C1963" i="96"/>
  <c r="C1964" i="96"/>
  <c r="C1965" i="96"/>
  <c r="C1966" i="96"/>
  <c r="C1967" i="96"/>
  <c r="C1968" i="96"/>
  <c r="C1969" i="96"/>
  <c r="C1970" i="96"/>
  <c r="C1971" i="96"/>
  <c r="C1972" i="96"/>
  <c r="C1973" i="96"/>
  <c r="C1974" i="96"/>
  <c r="C1975" i="96"/>
  <c r="C1976" i="96"/>
  <c r="C1977" i="96"/>
  <c r="C1978" i="96"/>
  <c r="C1979" i="96"/>
  <c r="C1980" i="96"/>
  <c r="C1981" i="96"/>
  <c r="C1982" i="96"/>
  <c r="C1983" i="96"/>
  <c r="C1984" i="96"/>
  <c r="C1985" i="96"/>
  <c r="C1986" i="96"/>
  <c r="C1987" i="96"/>
  <c r="C1988" i="96"/>
  <c r="C1989" i="96"/>
  <c r="C1990" i="96"/>
  <c r="C1991" i="96"/>
  <c r="C1992" i="96"/>
  <c r="C1993" i="96"/>
  <c r="C1994" i="96"/>
  <c r="C1995" i="96"/>
  <c r="C1996" i="96"/>
  <c r="C1997" i="96"/>
  <c r="C1998" i="96"/>
  <c r="C1999" i="96"/>
  <c r="C2000" i="96"/>
  <c r="C2001" i="96"/>
  <c r="C2002" i="96"/>
  <c r="C2003" i="96"/>
  <c r="C2004" i="96"/>
  <c r="C1105" i="96"/>
  <c r="C1106" i="96"/>
  <c r="C1107" i="96"/>
  <c r="C1108" i="96"/>
  <c r="C1109" i="96"/>
  <c r="C1110" i="96"/>
  <c r="C1111" i="96"/>
  <c r="C1112" i="96"/>
  <c r="C1113" i="96"/>
  <c r="C1114" i="96"/>
  <c r="C1115" i="96"/>
  <c r="C1116" i="96"/>
  <c r="C1117" i="96"/>
  <c r="C1118" i="96"/>
  <c r="C1119" i="96"/>
  <c r="C1120" i="96"/>
  <c r="C1121" i="96"/>
  <c r="C1122" i="96"/>
  <c r="C1123" i="96"/>
  <c r="C1124" i="96"/>
  <c r="C1125" i="96"/>
  <c r="C1126" i="96"/>
  <c r="C1127" i="96"/>
  <c r="C1128" i="96"/>
  <c r="C1129" i="96"/>
  <c r="C1130" i="96"/>
  <c r="C1131" i="96"/>
  <c r="C1132" i="96"/>
  <c r="C1133" i="96"/>
  <c r="C1134" i="96"/>
  <c r="C1135" i="96"/>
  <c r="C1136" i="96"/>
  <c r="C1137" i="96"/>
  <c r="C1138" i="96"/>
  <c r="C1139" i="96"/>
  <c r="C1140" i="96"/>
  <c r="C1141" i="96"/>
  <c r="C1142" i="96"/>
  <c r="C1143" i="96"/>
  <c r="C1144" i="96"/>
  <c r="C1145" i="96"/>
  <c r="C1146" i="96"/>
  <c r="C1147" i="96"/>
  <c r="C1148" i="96"/>
  <c r="C1149" i="96"/>
  <c r="C1150" i="96"/>
  <c r="C1151" i="96"/>
  <c r="C1152" i="96"/>
  <c r="C1153" i="96"/>
  <c r="C1154" i="96"/>
  <c r="C1155" i="96"/>
  <c r="C1156" i="96"/>
  <c r="C1157" i="96"/>
  <c r="C1158" i="96"/>
  <c r="C1159" i="96"/>
  <c r="C1160" i="96"/>
  <c r="C1161" i="96"/>
  <c r="C1162" i="96"/>
  <c r="C1163" i="96"/>
  <c r="C1164" i="96"/>
  <c r="C1165" i="96"/>
  <c r="C1166" i="96"/>
  <c r="C1167" i="96"/>
  <c r="C1168" i="96"/>
  <c r="C1169" i="96"/>
  <c r="C1170" i="96"/>
  <c r="C1171" i="96"/>
  <c r="C1172" i="96"/>
  <c r="C1173" i="96"/>
  <c r="C1174" i="96"/>
  <c r="C1175" i="96"/>
  <c r="C1176" i="96"/>
  <c r="C1177" i="96"/>
  <c r="C1178" i="96"/>
  <c r="C1179" i="96"/>
  <c r="C1180" i="96"/>
  <c r="C1181" i="96"/>
  <c r="C1182" i="96"/>
  <c r="C1183" i="96"/>
  <c r="C1184" i="96"/>
  <c r="C1185" i="96"/>
  <c r="C1186" i="96"/>
  <c r="C1187" i="96"/>
  <c r="C1188" i="96"/>
  <c r="C1189" i="96"/>
  <c r="C1190" i="96"/>
  <c r="C1191" i="96"/>
  <c r="C1192" i="96"/>
  <c r="C1193" i="96"/>
  <c r="C1194" i="96"/>
  <c r="C1195" i="96"/>
  <c r="C1196" i="96"/>
  <c r="C1197" i="96"/>
  <c r="C1198" i="96"/>
  <c r="C1199" i="96"/>
  <c r="C1200" i="96"/>
  <c r="C1201" i="96"/>
  <c r="C1202" i="96"/>
  <c r="C1203" i="96"/>
  <c r="C1204" i="96"/>
  <c r="C1205" i="96"/>
  <c r="C1206" i="96"/>
  <c r="C1207" i="96"/>
  <c r="C1208" i="96"/>
  <c r="C1209" i="96"/>
  <c r="C1210" i="96"/>
  <c r="C1211" i="96"/>
  <c r="C1212" i="96"/>
  <c r="C1213" i="96"/>
  <c r="C1214" i="96"/>
  <c r="C1215" i="96"/>
  <c r="C1216" i="96"/>
  <c r="C1217" i="96"/>
  <c r="C1218" i="96"/>
  <c r="C1219" i="96"/>
  <c r="C1220" i="96"/>
  <c r="C1221" i="96"/>
  <c r="C1222" i="96"/>
  <c r="C1223" i="96"/>
  <c r="C1224" i="96"/>
  <c r="C1225" i="96"/>
  <c r="C1226" i="96"/>
  <c r="C1227" i="96"/>
  <c r="C1228" i="96"/>
  <c r="C1229" i="96"/>
  <c r="C1230" i="96"/>
  <c r="C1231" i="96"/>
  <c r="C1232" i="96"/>
  <c r="C1233" i="96"/>
  <c r="C1234" i="96"/>
  <c r="C1235" i="96"/>
  <c r="C1236" i="96"/>
  <c r="C1237" i="96"/>
  <c r="C1238" i="96"/>
  <c r="C1239" i="96"/>
  <c r="C1240" i="96"/>
  <c r="C1241" i="96"/>
  <c r="C1242" i="96"/>
  <c r="C1243" i="96"/>
  <c r="C1244" i="96"/>
  <c r="C1245" i="96"/>
  <c r="C1246" i="96"/>
  <c r="C1247" i="96"/>
  <c r="C1248" i="96"/>
  <c r="C1249" i="96"/>
  <c r="C1250" i="96"/>
  <c r="C1251" i="96"/>
  <c r="C1252" i="96"/>
  <c r="C1253" i="96"/>
  <c r="C1254" i="96"/>
  <c r="C1255" i="96"/>
  <c r="C1256" i="96"/>
  <c r="C1257" i="96"/>
  <c r="C1258" i="96"/>
  <c r="C1259" i="96"/>
  <c r="C1260" i="96"/>
  <c r="C1261" i="96"/>
  <c r="C1262" i="96"/>
  <c r="C1263" i="96"/>
  <c r="C1264" i="96"/>
  <c r="C1265" i="96"/>
  <c r="C1266" i="96"/>
  <c r="C1267" i="96"/>
  <c r="C1268" i="96"/>
  <c r="C1269" i="96"/>
  <c r="C1270" i="96"/>
  <c r="C1271" i="96"/>
  <c r="C1272" i="96"/>
  <c r="C1273" i="96"/>
  <c r="C1274" i="96"/>
  <c r="C1275" i="96"/>
  <c r="C1276" i="96"/>
  <c r="C1277" i="96"/>
  <c r="C1278" i="96"/>
  <c r="C1279" i="96"/>
  <c r="C1280" i="96"/>
  <c r="C1281" i="96"/>
  <c r="C1282" i="96"/>
  <c r="C1283" i="96"/>
  <c r="C1284" i="96"/>
  <c r="C1285" i="96"/>
  <c r="C1286" i="96"/>
  <c r="C1287" i="96"/>
  <c r="C1288" i="96"/>
  <c r="C1289" i="96"/>
  <c r="C1290" i="96"/>
  <c r="C1291" i="96"/>
  <c r="C1292" i="96"/>
  <c r="C1293" i="96"/>
  <c r="C1294" i="96"/>
  <c r="C1295" i="96"/>
  <c r="C1296" i="96"/>
  <c r="C1297" i="96"/>
  <c r="C1298" i="96"/>
  <c r="C1299" i="96"/>
  <c r="C1300" i="96"/>
  <c r="C1301" i="96"/>
  <c r="C1302" i="96"/>
  <c r="C1303" i="96"/>
  <c r="C1304" i="96"/>
  <c r="C1305" i="96"/>
  <c r="C1306" i="96"/>
  <c r="C1307" i="96"/>
  <c r="C1308" i="96"/>
  <c r="C1309" i="96"/>
  <c r="C1310" i="96"/>
  <c r="C1311" i="96"/>
  <c r="C1312" i="96"/>
  <c r="C1313" i="96"/>
  <c r="C1314" i="96"/>
  <c r="C1315" i="96"/>
  <c r="C1316" i="96"/>
  <c r="C1317" i="96"/>
  <c r="C1318" i="96"/>
  <c r="C1319" i="96"/>
  <c r="C1320" i="96"/>
  <c r="C1321" i="96"/>
  <c r="C1322" i="96"/>
  <c r="C1323" i="96"/>
  <c r="C1324" i="96"/>
  <c r="C1325" i="96"/>
  <c r="C1326" i="96"/>
  <c r="C1327" i="96"/>
  <c r="C1328" i="96"/>
  <c r="C1329" i="96"/>
  <c r="C1330" i="96"/>
  <c r="C1331" i="96"/>
  <c r="C1332" i="96"/>
  <c r="C1333" i="96"/>
  <c r="C1334" i="96"/>
  <c r="C1335" i="96"/>
  <c r="C1336" i="96"/>
  <c r="C1337" i="96"/>
  <c r="C1338" i="96"/>
  <c r="C1339" i="96"/>
  <c r="C1340" i="96"/>
  <c r="C1341" i="96"/>
  <c r="C1342" i="96"/>
  <c r="C1343" i="96"/>
  <c r="C1344" i="96"/>
  <c r="C1345" i="96"/>
  <c r="C1346" i="96"/>
  <c r="C1347" i="96"/>
  <c r="C1348" i="96"/>
  <c r="C1349" i="96"/>
  <c r="C1350" i="96"/>
  <c r="C1351" i="96"/>
  <c r="C1352" i="96"/>
  <c r="C1353" i="96"/>
  <c r="C1354" i="96"/>
  <c r="C1355" i="96"/>
  <c r="C1356" i="96"/>
  <c r="C1357" i="96"/>
  <c r="C1358" i="96"/>
  <c r="C1359" i="96"/>
  <c r="C1360" i="96"/>
  <c r="C1361" i="96"/>
  <c r="C1362" i="96"/>
  <c r="C1363" i="96"/>
  <c r="C1364" i="96"/>
  <c r="C1365" i="96"/>
  <c r="C1366" i="96"/>
  <c r="C1367" i="96"/>
  <c r="C1368" i="96"/>
  <c r="C1369" i="96"/>
  <c r="C1370" i="96"/>
  <c r="C1371" i="96"/>
  <c r="C1372" i="96"/>
  <c r="C1373" i="96"/>
  <c r="C1374" i="96"/>
  <c r="C1375" i="96"/>
  <c r="C1376" i="96"/>
  <c r="C1377" i="96"/>
  <c r="C1378" i="96"/>
  <c r="C1379" i="96"/>
  <c r="C1380" i="96"/>
  <c r="C1381" i="96"/>
  <c r="C1382" i="96"/>
  <c r="C1383" i="96"/>
  <c r="C1384" i="96"/>
  <c r="C1385" i="96"/>
  <c r="C1386" i="96"/>
  <c r="C1387" i="96"/>
  <c r="C1388" i="96"/>
  <c r="C1389" i="96"/>
  <c r="C1390" i="96"/>
  <c r="C1391" i="96"/>
  <c r="C1392" i="96"/>
  <c r="C1393" i="96"/>
  <c r="C1394" i="96"/>
  <c r="C1395" i="96"/>
  <c r="C1396" i="96"/>
  <c r="C1397" i="96"/>
  <c r="C1398" i="96"/>
  <c r="C1399" i="96"/>
  <c r="C1400" i="96"/>
  <c r="C1401" i="96"/>
  <c r="C1402" i="96"/>
  <c r="C1403" i="96"/>
  <c r="C1404" i="96"/>
  <c r="C1405" i="96"/>
  <c r="C1406" i="96"/>
  <c r="C1407" i="96"/>
  <c r="C1408" i="96"/>
  <c r="C1409" i="96"/>
  <c r="C1410" i="96"/>
  <c r="C1411" i="96"/>
  <c r="C1412" i="96"/>
  <c r="C1413" i="96"/>
  <c r="C1414" i="96"/>
  <c r="C1415" i="96"/>
  <c r="C1416" i="96"/>
  <c r="C1417" i="96"/>
  <c r="C1418" i="96"/>
  <c r="C1419" i="96"/>
  <c r="C1420" i="96"/>
  <c r="C1421" i="96"/>
  <c r="C1422" i="96"/>
  <c r="C1423" i="96"/>
  <c r="C1424" i="96"/>
  <c r="C1425" i="96"/>
  <c r="C1426" i="96"/>
  <c r="C1427" i="96"/>
  <c r="C1428" i="96"/>
  <c r="C1429" i="96"/>
  <c r="C1430" i="96"/>
  <c r="C1431" i="96"/>
  <c r="C1432" i="96"/>
  <c r="C1433" i="96"/>
  <c r="C1434" i="96"/>
  <c r="C1435" i="96"/>
  <c r="C1436" i="96"/>
  <c r="C1437" i="96"/>
  <c r="C1438" i="96"/>
  <c r="C1439" i="96"/>
  <c r="C1440" i="96"/>
  <c r="C1441" i="96"/>
  <c r="C1442" i="96"/>
  <c r="C1443" i="96"/>
  <c r="C1444" i="96"/>
  <c r="C1445" i="96"/>
  <c r="C1446" i="96"/>
  <c r="C1447" i="96"/>
  <c r="C1448" i="96"/>
  <c r="C1449" i="96"/>
  <c r="C1450" i="96"/>
  <c r="C1451" i="96"/>
  <c r="C1452" i="96"/>
  <c r="C1453" i="96"/>
  <c r="C1454" i="96"/>
  <c r="C1455" i="96"/>
  <c r="C1456" i="96"/>
  <c r="C1457" i="96"/>
  <c r="C1458" i="96"/>
  <c r="C1459" i="96"/>
  <c r="C1460" i="96"/>
  <c r="C1461" i="96"/>
  <c r="C1462" i="96"/>
  <c r="C1463" i="96"/>
  <c r="C1464" i="96"/>
  <c r="C1465" i="96"/>
  <c r="C1466" i="96"/>
  <c r="C1467" i="96"/>
  <c r="C1468" i="96"/>
  <c r="C1469" i="96"/>
  <c r="C1470" i="96"/>
  <c r="C1471" i="96"/>
  <c r="C1472" i="96"/>
  <c r="C1473" i="96"/>
  <c r="C1474" i="96"/>
  <c r="C1475" i="96"/>
  <c r="C1476" i="96"/>
  <c r="C1477" i="96"/>
  <c r="C1478" i="96"/>
  <c r="C1479" i="96"/>
  <c r="C1480" i="96"/>
  <c r="C1481" i="96"/>
  <c r="C1482" i="96"/>
  <c r="C1483" i="96"/>
  <c r="C1484" i="96"/>
  <c r="C1485" i="96"/>
  <c r="C1486" i="96"/>
  <c r="C1487" i="96"/>
  <c r="C1488" i="96"/>
  <c r="C1489" i="96"/>
  <c r="C1490" i="96"/>
  <c r="C1491" i="96"/>
  <c r="C1492" i="96"/>
  <c r="C1493" i="96"/>
  <c r="C1494" i="96"/>
  <c r="C1495" i="96"/>
  <c r="C1496" i="96"/>
  <c r="C1497" i="96"/>
  <c r="C1498" i="96"/>
  <c r="C1499" i="96"/>
  <c r="C1500" i="96"/>
  <c r="C1501" i="96"/>
  <c r="C1502" i="96"/>
  <c r="C1503" i="96"/>
  <c r="C1504" i="96"/>
  <c r="C605" i="96"/>
  <c r="C606" i="96"/>
  <c r="C607" i="96"/>
  <c r="C608" i="96"/>
  <c r="C609" i="96"/>
  <c r="C610" i="96"/>
  <c r="C611" i="96"/>
  <c r="C612" i="96"/>
  <c r="C613" i="96"/>
  <c r="C614" i="96"/>
  <c r="C615" i="96"/>
  <c r="C616" i="96"/>
  <c r="C617" i="96"/>
  <c r="C618" i="96"/>
  <c r="C619" i="96"/>
  <c r="C620" i="96"/>
  <c r="C621" i="96"/>
  <c r="C622" i="96"/>
  <c r="C623" i="96"/>
  <c r="C624" i="96"/>
  <c r="C625" i="96"/>
  <c r="C626" i="96"/>
  <c r="C627" i="96"/>
  <c r="C628" i="96"/>
  <c r="C629" i="96"/>
  <c r="C630" i="96"/>
  <c r="C631" i="96"/>
  <c r="C632" i="96"/>
  <c r="C633" i="96"/>
  <c r="C634" i="96"/>
  <c r="C635" i="96"/>
  <c r="C636" i="96"/>
  <c r="C637" i="96"/>
  <c r="C638" i="96"/>
  <c r="C639" i="96"/>
  <c r="C640" i="96"/>
  <c r="C641" i="96"/>
  <c r="C642" i="96"/>
  <c r="C643" i="96"/>
  <c r="C644" i="96"/>
  <c r="C645" i="96"/>
  <c r="C646" i="96"/>
  <c r="C647" i="96"/>
  <c r="C648" i="96"/>
  <c r="C649" i="96"/>
  <c r="C650" i="96"/>
  <c r="C651" i="96"/>
  <c r="C652" i="96"/>
  <c r="C653" i="96"/>
  <c r="C654" i="96"/>
  <c r="C655" i="96"/>
  <c r="C656" i="96"/>
  <c r="C657" i="96"/>
  <c r="C658" i="96"/>
  <c r="C659" i="96"/>
  <c r="C660" i="96"/>
  <c r="C661" i="96"/>
  <c r="C662" i="96"/>
  <c r="C663" i="96"/>
  <c r="C664" i="96"/>
  <c r="C665" i="96"/>
  <c r="C666" i="96"/>
  <c r="C667" i="96"/>
  <c r="C668" i="96"/>
  <c r="C669" i="96"/>
  <c r="C670" i="96"/>
  <c r="C671" i="96"/>
  <c r="C672" i="96"/>
  <c r="C673" i="96"/>
  <c r="C674" i="96"/>
  <c r="C675" i="96"/>
  <c r="C676" i="96"/>
  <c r="C677" i="96"/>
  <c r="C678" i="96"/>
  <c r="C679" i="96"/>
  <c r="C680" i="96"/>
  <c r="C681" i="96"/>
  <c r="C682" i="96"/>
  <c r="C683" i="96"/>
  <c r="C684" i="96"/>
  <c r="C685" i="96"/>
  <c r="C686" i="96"/>
  <c r="C687" i="96"/>
  <c r="C688" i="96"/>
  <c r="C689" i="96"/>
  <c r="C690" i="96"/>
  <c r="C691" i="96"/>
  <c r="C692" i="96"/>
  <c r="C693" i="96"/>
  <c r="C694" i="96"/>
  <c r="C695" i="96"/>
  <c r="C696" i="96"/>
  <c r="C697" i="96"/>
  <c r="C698" i="96"/>
  <c r="C699" i="96"/>
  <c r="C700" i="96"/>
  <c r="C701" i="96"/>
  <c r="C702" i="96"/>
  <c r="C703" i="96"/>
  <c r="C704" i="96"/>
  <c r="C705" i="96"/>
  <c r="C706" i="96"/>
  <c r="C707" i="96"/>
  <c r="C708" i="96"/>
  <c r="C709" i="96"/>
  <c r="C710" i="96"/>
  <c r="C711" i="96"/>
  <c r="C712" i="96"/>
  <c r="C713" i="96"/>
  <c r="C714" i="96"/>
  <c r="C715" i="96"/>
  <c r="C716" i="96"/>
  <c r="C717" i="96"/>
  <c r="C718" i="96"/>
  <c r="C719" i="96"/>
  <c r="C720" i="96"/>
  <c r="C721" i="96"/>
  <c r="C722" i="96"/>
  <c r="C723" i="96"/>
  <c r="C724" i="96"/>
  <c r="C725" i="96"/>
  <c r="C726" i="96"/>
  <c r="C727" i="96"/>
  <c r="C728" i="96"/>
  <c r="C729" i="96"/>
  <c r="C730" i="96"/>
  <c r="C731" i="96"/>
  <c r="C732" i="96"/>
  <c r="C733" i="96"/>
  <c r="C734" i="96"/>
  <c r="C735" i="96"/>
  <c r="C736" i="96"/>
  <c r="C737" i="96"/>
  <c r="C738" i="96"/>
  <c r="C739" i="96"/>
  <c r="C740" i="96"/>
  <c r="C741" i="96"/>
  <c r="C742" i="96"/>
  <c r="C743" i="96"/>
  <c r="C744" i="96"/>
  <c r="C745" i="96"/>
  <c r="C746" i="96"/>
  <c r="C747" i="96"/>
  <c r="C748" i="96"/>
  <c r="C749" i="96"/>
  <c r="C750" i="96"/>
  <c r="C751" i="96"/>
  <c r="C752" i="96"/>
  <c r="C753" i="96"/>
  <c r="C754" i="96"/>
  <c r="C755" i="96"/>
  <c r="C756" i="96"/>
  <c r="C757" i="96"/>
  <c r="C758" i="96"/>
  <c r="C759" i="96"/>
  <c r="C760" i="96"/>
  <c r="C761" i="96"/>
  <c r="C762" i="96"/>
  <c r="C763" i="96"/>
  <c r="C764" i="96"/>
  <c r="C765" i="96"/>
  <c r="C766" i="96"/>
  <c r="C767" i="96"/>
  <c r="C768" i="96"/>
  <c r="C769" i="96"/>
  <c r="C770" i="96"/>
  <c r="C771" i="96"/>
  <c r="C772" i="96"/>
  <c r="C773" i="96"/>
  <c r="C774" i="96"/>
  <c r="C775" i="96"/>
  <c r="C776" i="96"/>
  <c r="C777" i="96"/>
  <c r="C778" i="96"/>
  <c r="C779" i="96"/>
  <c r="C780" i="96"/>
  <c r="C781" i="96"/>
  <c r="C782" i="96"/>
  <c r="C783" i="96"/>
  <c r="C784" i="96"/>
  <c r="C785" i="96"/>
  <c r="C786" i="96"/>
  <c r="C787" i="96"/>
  <c r="C788" i="96"/>
  <c r="C789" i="96"/>
  <c r="C790" i="96"/>
  <c r="C791" i="96"/>
  <c r="C792" i="96"/>
  <c r="C793" i="96"/>
  <c r="C794" i="96"/>
  <c r="C795" i="96"/>
  <c r="C796" i="96"/>
  <c r="C797" i="96"/>
  <c r="C798" i="96"/>
  <c r="C799" i="96"/>
  <c r="C800" i="96"/>
  <c r="C801" i="96"/>
  <c r="C802" i="96"/>
  <c r="C803" i="96"/>
  <c r="C804" i="96"/>
  <c r="C805" i="96"/>
  <c r="C806" i="96"/>
  <c r="C807" i="96"/>
  <c r="C808" i="96"/>
  <c r="C809" i="96"/>
  <c r="C810" i="96"/>
  <c r="C811" i="96"/>
  <c r="C812" i="96"/>
  <c r="C813" i="96"/>
  <c r="C814" i="96"/>
  <c r="C815" i="96"/>
  <c r="C816" i="96"/>
  <c r="C817" i="96"/>
  <c r="C818" i="96"/>
  <c r="C819" i="96"/>
  <c r="C820" i="96"/>
  <c r="C821" i="96"/>
  <c r="C822" i="96"/>
  <c r="C823" i="96"/>
  <c r="C824" i="96"/>
  <c r="C825" i="96"/>
  <c r="C826" i="96"/>
  <c r="C827" i="96"/>
  <c r="C828" i="96"/>
  <c r="C829" i="96"/>
  <c r="C830" i="96"/>
  <c r="C831" i="96"/>
  <c r="C832" i="96"/>
  <c r="C833" i="96"/>
  <c r="C834" i="96"/>
  <c r="C835" i="96"/>
  <c r="C836" i="96"/>
  <c r="C837" i="96"/>
  <c r="C838" i="96"/>
  <c r="C839" i="96"/>
  <c r="C840" i="96"/>
  <c r="C841" i="96"/>
  <c r="C842" i="96"/>
  <c r="C843" i="96"/>
  <c r="C844" i="96"/>
  <c r="C845" i="96"/>
  <c r="C846" i="96"/>
  <c r="C847" i="96"/>
  <c r="C848" i="96"/>
  <c r="C849" i="96"/>
  <c r="C850" i="96"/>
  <c r="C851" i="96"/>
  <c r="C852" i="96"/>
  <c r="C853" i="96"/>
  <c r="C854" i="96"/>
  <c r="C855" i="96"/>
  <c r="C856" i="96"/>
  <c r="C857" i="96"/>
  <c r="C858" i="96"/>
  <c r="C859" i="96"/>
  <c r="C860" i="96"/>
  <c r="C861" i="96"/>
  <c r="C862" i="96"/>
  <c r="C863" i="96"/>
  <c r="C864" i="96"/>
  <c r="C865" i="96"/>
  <c r="C866" i="96"/>
  <c r="C867" i="96"/>
  <c r="C868" i="96"/>
  <c r="C869" i="96"/>
  <c r="C870" i="96"/>
  <c r="C871" i="96"/>
  <c r="C872" i="96"/>
  <c r="C873" i="96"/>
  <c r="C874" i="96"/>
  <c r="C875" i="96"/>
  <c r="C876" i="96"/>
  <c r="C877" i="96"/>
  <c r="C878" i="96"/>
  <c r="C879" i="96"/>
  <c r="C880" i="96"/>
  <c r="C881" i="96"/>
  <c r="C882" i="96"/>
  <c r="C883" i="96"/>
  <c r="C884" i="96"/>
  <c r="C885" i="96"/>
  <c r="C886" i="96"/>
  <c r="C887" i="96"/>
  <c r="C888" i="96"/>
  <c r="C889" i="96"/>
  <c r="C890" i="96"/>
  <c r="C891" i="96"/>
  <c r="C892" i="96"/>
  <c r="C893" i="96"/>
  <c r="C894" i="96"/>
  <c r="C895" i="96"/>
  <c r="C896" i="96"/>
  <c r="C897" i="96"/>
  <c r="C898" i="96"/>
  <c r="C899" i="96"/>
  <c r="C900" i="96"/>
  <c r="C901" i="96"/>
  <c r="C902" i="96"/>
  <c r="C903" i="96"/>
  <c r="C904" i="96"/>
  <c r="C905" i="96"/>
  <c r="C906" i="96"/>
  <c r="C907" i="96"/>
  <c r="C908" i="96"/>
  <c r="C909" i="96"/>
  <c r="C910" i="96"/>
  <c r="C911" i="96"/>
  <c r="C912" i="96"/>
  <c r="C913" i="96"/>
  <c r="C914" i="96"/>
  <c r="C915" i="96"/>
  <c r="C916" i="96"/>
  <c r="C917" i="96"/>
  <c r="C918" i="96"/>
  <c r="C919" i="96"/>
  <c r="C920" i="96"/>
  <c r="C921" i="96"/>
  <c r="C922" i="96"/>
  <c r="C923" i="96"/>
  <c r="C924" i="96"/>
  <c r="C925" i="96"/>
  <c r="C926" i="96"/>
  <c r="C927" i="96"/>
  <c r="C928" i="96"/>
  <c r="C929" i="96"/>
  <c r="C930" i="96"/>
  <c r="C931" i="96"/>
  <c r="C932" i="96"/>
  <c r="C933" i="96"/>
  <c r="C934" i="96"/>
  <c r="C935" i="96"/>
  <c r="C936" i="96"/>
  <c r="C937" i="96"/>
  <c r="C938" i="96"/>
  <c r="C939" i="96"/>
  <c r="C940" i="96"/>
  <c r="C941" i="96"/>
  <c r="C942" i="96"/>
  <c r="C943" i="96"/>
  <c r="C944" i="96"/>
  <c r="C945" i="96"/>
  <c r="C946" i="96"/>
  <c r="C947" i="96"/>
  <c r="C948" i="96"/>
  <c r="C949" i="96"/>
  <c r="C950" i="96"/>
  <c r="C951" i="96"/>
  <c r="C952" i="96"/>
  <c r="C953" i="96"/>
  <c r="C954" i="96"/>
  <c r="C955" i="96"/>
  <c r="C956" i="96"/>
  <c r="C957" i="96"/>
  <c r="C958" i="96"/>
  <c r="C959" i="96"/>
  <c r="C960" i="96"/>
  <c r="C961" i="96"/>
  <c r="C962" i="96"/>
  <c r="C963" i="96"/>
  <c r="C964" i="96"/>
  <c r="C965" i="96"/>
  <c r="C966" i="96"/>
  <c r="C967" i="96"/>
  <c r="C968" i="96"/>
  <c r="C969" i="96"/>
  <c r="C970" i="96"/>
  <c r="C971" i="96"/>
  <c r="C972" i="96"/>
  <c r="C973" i="96"/>
  <c r="C974" i="96"/>
  <c r="C975" i="96"/>
  <c r="C976" i="96"/>
  <c r="C977" i="96"/>
  <c r="C978" i="96"/>
  <c r="C979" i="96"/>
  <c r="C980" i="96"/>
  <c r="C981" i="96"/>
  <c r="C982" i="96"/>
  <c r="C983" i="96"/>
  <c r="C984" i="96"/>
  <c r="C985" i="96"/>
  <c r="C986" i="96"/>
  <c r="C987" i="96"/>
  <c r="C988" i="96"/>
  <c r="C989" i="96"/>
  <c r="C990" i="96"/>
  <c r="C991" i="96"/>
  <c r="C992" i="96"/>
  <c r="C993" i="96"/>
  <c r="C994" i="96"/>
  <c r="C995" i="96"/>
  <c r="C996" i="96"/>
  <c r="C997" i="96"/>
  <c r="C998" i="96"/>
  <c r="C999" i="96"/>
  <c r="C1000" i="96"/>
  <c r="C1001" i="96"/>
  <c r="C1002" i="96"/>
  <c r="C1003" i="96"/>
  <c r="C1004" i="96"/>
  <c r="C105" i="96"/>
  <c r="C106" i="96"/>
  <c r="C107" i="96"/>
  <c r="C108" i="96"/>
  <c r="C109" i="96"/>
  <c r="C110" i="96"/>
  <c r="C111" i="96"/>
  <c r="C112" i="96"/>
  <c r="C113" i="96"/>
  <c r="C114" i="96"/>
  <c r="C115" i="96"/>
  <c r="C116" i="96"/>
  <c r="C117" i="96"/>
  <c r="C118" i="96"/>
  <c r="C119" i="96"/>
  <c r="C120" i="96"/>
  <c r="C121" i="96"/>
  <c r="C122" i="96"/>
  <c r="C123" i="96"/>
  <c r="C124" i="96"/>
  <c r="C125" i="96"/>
  <c r="C126" i="96"/>
  <c r="C127" i="96"/>
  <c r="C128" i="96"/>
  <c r="C129" i="96"/>
  <c r="C130" i="96"/>
  <c r="C131" i="96"/>
  <c r="C132" i="96"/>
  <c r="C133" i="96"/>
  <c r="C134" i="96"/>
  <c r="C135" i="96"/>
  <c r="C136" i="96"/>
  <c r="C137" i="96"/>
  <c r="C138" i="96"/>
  <c r="C139" i="96"/>
  <c r="C140" i="96"/>
  <c r="C141" i="96"/>
  <c r="C142" i="96"/>
  <c r="C143" i="96"/>
  <c r="C144" i="96"/>
  <c r="C145" i="96"/>
  <c r="C146" i="96"/>
  <c r="C147" i="96"/>
  <c r="C148" i="96"/>
  <c r="C149" i="96"/>
  <c r="C150" i="96"/>
  <c r="C151" i="96"/>
  <c r="C152" i="96"/>
  <c r="C153" i="96"/>
  <c r="C154" i="96"/>
  <c r="C155" i="96"/>
  <c r="C156" i="96"/>
  <c r="C157" i="96"/>
  <c r="C158" i="96"/>
  <c r="C159" i="96"/>
  <c r="C160" i="96"/>
  <c r="C161" i="96"/>
  <c r="C162" i="96"/>
  <c r="C163" i="96"/>
  <c r="C164" i="96"/>
  <c r="C165" i="96"/>
  <c r="C166" i="96"/>
  <c r="C167" i="96"/>
  <c r="C168" i="96"/>
  <c r="C169" i="96"/>
  <c r="C170" i="96"/>
  <c r="C171" i="96"/>
  <c r="C172" i="96"/>
  <c r="C173" i="96"/>
  <c r="C174" i="96"/>
  <c r="C175" i="96"/>
  <c r="C176" i="96"/>
  <c r="C177" i="96"/>
  <c r="C178" i="96"/>
  <c r="C179" i="96"/>
  <c r="C180" i="96"/>
  <c r="C181" i="96"/>
  <c r="C182" i="96"/>
  <c r="C183" i="96"/>
  <c r="C184" i="96"/>
  <c r="C185" i="96"/>
  <c r="C186" i="96"/>
  <c r="C187" i="96"/>
  <c r="C188" i="96"/>
  <c r="C189" i="96"/>
  <c r="C190" i="96"/>
  <c r="C191" i="96"/>
  <c r="C192" i="96"/>
  <c r="C193" i="96"/>
  <c r="C194" i="96"/>
  <c r="C195" i="96"/>
  <c r="C196" i="96"/>
  <c r="C197" i="96"/>
  <c r="C198" i="96"/>
  <c r="C199" i="96"/>
  <c r="C200" i="96"/>
  <c r="C201" i="96"/>
  <c r="C202" i="96"/>
  <c r="C203" i="96"/>
  <c r="C204" i="96"/>
  <c r="C205" i="96"/>
  <c r="C206" i="96"/>
  <c r="C207" i="96"/>
  <c r="C208" i="96"/>
  <c r="C209" i="96"/>
  <c r="C210" i="96"/>
  <c r="C211" i="96"/>
  <c r="C212" i="96"/>
  <c r="C213" i="96"/>
  <c r="C214" i="96"/>
  <c r="C215" i="96"/>
  <c r="C216" i="96"/>
  <c r="C217" i="96"/>
  <c r="C218" i="96"/>
  <c r="C219" i="96"/>
  <c r="C220" i="96"/>
  <c r="C221" i="96"/>
  <c r="C222" i="96"/>
  <c r="C223" i="96"/>
  <c r="C224" i="96"/>
  <c r="C225" i="96"/>
  <c r="C226" i="96"/>
  <c r="C227" i="96"/>
  <c r="C228" i="96"/>
  <c r="C229" i="96"/>
  <c r="C230" i="96"/>
  <c r="C231" i="96"/>
  <c r="C232" i="96"/>
  <c r="C233" i="96"/>
  <c r="C234" i="96"/>
  <c r="C235" i="96"/>
  <c r="C236" i="96"/>
  <c r="C237" i="96"/>
  <c r="C238" i="96"/>
  <c r="C239" i="96"/>
  <c r="C240" i="96"/>
  <c r="C241" i="96"/>
  <c r="C242" i="96"/>
  <c r="C243" i="96"/>
  <c r="C244" i="96"/>
  <c r="C245" i="96"/>
  <c r="C246" i="96"/>
  <c r="C247" i="96"/>
  <c r="C248" i="96"/>
  <c r="C249" i="96"/>
  <c r="C250" i="96"/>
  <c r="C251" i="96"/>
  <c r="C252" i="96"/>
  <c r="C253" i="96"/>
  <c r="C254" i="96"/>
  <c r="C255" i="96"/>
  <c r="C256" i="96"/>
  <c r="C257" i="96"/>
  <c r="C258" i="96"/>
  <c r="C259" i="96"/>
  <c r="C260" i="96"/>
  <c r="C261" i="96"/>
  <c r="C262" i="96"/>
  <c r="C263" i="96"/>
  <c r="C264" i="96"/>
  <c r="C265" i="96"/>
  <c r="C266" i="96"/>
  <c r="C267" i="96"/>
  <c r="C268" i="96"/>
  <c r="C269" i="96"/>
  <c r="C270" i="96"/>
  <c r="C271" i="96"/>
  <c r="C272" i="96"/>
  <c r="C273" i="96"/>
  <c r="C274" i="96"/>
  <c r="C275" i="96"/>
  <c r="C276" i="96"/>
  <c r="C277" i="96"/>
  <c r="C278" i="96"/>
  <c r="C279" i="96"/>
  <c r="C280" i="96"/>
  <c r="C281" i="96"/>
  <c r="C282" i="96"/>
  <c r="C283" i="96"/>
  <c r="C284" i="96"/>
  <c r="C285" i="96"/>
  <c r="C286" i="96"/>
  <c r="C287" i="96"/>
  <c r="C288" i="96"/>
  <c r="C289" i="96"/>
  <c r="C290" i="96"/>
  <c r="C291" i="96"/>
  <c r="C292" i="96"/>
  <c r="C293" i="96"/>
  <c r="C294" i="96"/>
  <c r="C295" i="96"/>
  <c r="C296" i="96"/>
  <c r="C297" i="96"/>
  <c r="C298" i="96"/>
  <c r="C299" i="96"/>
  <c r="C300" i="96"/>
  <c r="C301" i="96"/>
  <c r="C302" i="96"/>
  <c r="C303" i="96"/>
  <c r="C304" i="96"/>
  <c r="C305" i="96"/>
  <c r="C306" i="96"/>
  <c r="C307" i="96"/>
  <c r="C308" i="96"/>
  <c r="C309" i="96"/>
  <c r="C310" i="96"/>
  <c r="C311" i="96"/>
  <c r="C312" i="96"/>
  <c r="C313" i="96"/>
  <c r="C314" i="96"/>
  <c r="C315" i="96"/>
  <c r="C316" i="96"/>
  <c r="C317" i="96"/>
  <c r="C318" i="96"/>
  <c r="C319" i="96"/>
  <c r="C320" i="96"/>
  <c r="C321" i="96"/>
  <c r="C322" i="96"/>
  <c r="C323" i="96"/>
  <c r="C324" i="96"/>
  <c r="C325" i="96"/>
  <c r="C326" i="96"/>
  <c r="C327" i="96"/>
  <c r="C328" i="96"/>
  <c r="C329" i="96"/>
  <c r="C330" i="96"/>
  <c r="C331" i="96"/>
  <c r="C332" i="96"/>
  <c r="C333" i="96"/>
  <c r="C334" i="96"/>
  <c r="C335" i="96"/>
  <c r="C336" i="96"/>
  <c r="C337" i="96"/>
  <c r="C338" i="96"/>
  <c r="C339" i="96"/>
  <c r="C340" i="96"/>
  <c r="C341" i="96"/>
  <c r="C342" i="96"/>
  <c r="C343" i="96"/>
  <c r="C344" i="96"/>
  <c r="C345" i="96"/>
  <c r="C346" i="96"/>
  <c r="C347" i="96"/>
  <c r="C348" i="96"/>
  <c r="C349" i="96"/>
  <c r="C350" i="96"/>
  <c r="C351" i="96"/>
  <c r="C352" i="96"/>
  <c r="C353" i="96"/>
  <c r="C354" i="96"/>
  <c r="C355" i="96"/>
  <c r="C356" i="96"/>
  <c r="C357" i="96"/>
  <c r="C358" i="96"/>
  <c r="C359" i="96"/>
  <c r="C360" i="96"/>
  <c r="C361" i="96"/>
  <c r="C362" i="96"/>
  <c r="C363" i="96"/>
  <c r="C364" i="96"/>
  <c r="C365" i="96"/>
  <c r="C366" i="96"/>
  <c r="C367" i="96"/>
  <c r="C368" i="96"/>
  <c r="C369" i="96"/>
  <c r="C370" i="96"/>
  <c r="C371" i="96"/>
  <c r="C372" i="96"/>
  <c r="C373" i="96"/>
  <c r="C374" i="96"/>
  <c r="C375" i="96"/>
  <c r="C376" i="96"/>
  <c r="C377" i="96"/>
  <c r="C378" i="96"/>
  <c r="C379" i="96"/>
  <c r="C380" i="96"/>
  <c r="C381" i="96"/>
  <c r="C382" i="96"/>
  <c r="C383" i="96"/>
  <c r="C384" i="96"/>
  <c r="C385" i="96"/>
  <c r="C386" i="96"/>
  <c r="C387" i="96"/>
  <c r="C388" i="96"/>
  <c r="C389" i="96"/>
  <c r="C390" i="96"/>
  <c r="C391" i="96"/>
  <c r="C392" i="96"/>
  <c r="C393" i="96"/>
  <c r="C394" i="96"/>
  <c r="C395" i="96"/>
  <c r="C396" i="96"/>
  <c r="C397" i="96"/>
  <c r="C398" i="96"/>
  <c r="C399" i="96"/>
  <c r="C400" i="96"/>
  <c r="C401" i="96"/>
  <c r="C402" i="96"/>
  <c r="C403" i="96"/>
  <c r="C404" i="96"/>
  <c r="C405" i="96"/>
  <c r="C406" i="96"/>
  <c r="C407" i="96"/>
  <c r="C408" i="96"/>
  <c r="C409" i="96"/>
  <c r="C410" i="96"/>
  <c r="C411" i="96"/>
  <c r="C412" i="96"/>
  <c r="C413" i="96"/>
  <c r="C414" i="96"/>
  <c r="C415" i="96"/>
  <c r="C416" i="96"/>
  <c r="C417" i="96"/>
  <c r="C418" i="96"/>
  <c r="C419" i="96"/>
  <c r="C420" i="96"/>
  <c r="C421" i="96"/>
  <c r="C422" i="96"/>
  <c r="C423" i="96"/>
  <c r="C424" i="96"/>
  <c r="C425" i="96"/>
  <c r="C426" i="96"/>
  <c r="C427" i="96"/>
  <c r="C428" i="96"/>
  <c r="C429" i="96"/>
  <c r="C430" i="96"/>
  <c r="C431" i="96"/>
  <c r="C432" i="96"/>
  <c r="C433" i="96"/>
  <c r="C434" i="96"/>
  <c r="C435" i="96"/>
  <c r="C436" i="96"/>
  <c r="C437" i="96"/>
  <c r="C438" i="96"/>
  <c r="C439" i="96"/>
  <c r="C440" i="96"/>
  <c r="C441" i="96"/>
  <c r="C442" i="96"/>
  <c r="C443" i="96"/>
  <c r="C444" i="96"/>
  <c r="C445" i="96"/>
  <c r="C446" i="96"/>
  <c r="C447" i="96"/>
  <c r="C448" i="96"/>
  <c r="C449" i="96"/>
  <c r="C450" i="96"/>
  <c r="C451" i="96"/>
  <c r="C452" i="96"/>
  <c r="C453" i="96"/>
  <c r="C454" i="96"/>
  <c r="C455" i="96"/>
  <c r="C456" i="96"/>
  <c r="C457" i="96"/>
  <c r="C458" i="96"/>
  <c r="C459" i="96"/>
  <c r="C460" i="96"/>
  <c r="C461" i="96"/>
  <c r="C462" i="96"/>
  <c r="C463" i="96"/>
  <c r="C464" i="96"/>
  <c r="C465" i="96"/>
  <c r="C466" i="96"/>
  <c r="C467" i="96"/>
  <c r="C468" i="96"/>
  <c r="C469" i="96"/>
  <c r="C470" i="96"/>
  <c r="C471" i="96"/>
  <c r="C472" i="96"/>
  <c r="C473" i="96"/>
  <c r="C474" i="96"/>
  <c r="C475" i="96"/>
  <c r="C476" i="96"/>
  <c r="C477" i="96"/>
  <c r="C478" i="96"/>
  <c r="C479" i="96"/>
  <c r="C480" i="96"/>
  <c r="C481" i="96"/>
  <c r="C482" i="96"/>
  <c r="C483" i="96"/>
  <c r="C484" i="96"/>
  <c r="C485" i="96"/>
  <c r="C486" i="96"/>
  <c r="C487" i="96"/>
  <c r="C488" i="96"/>
  <c r="C489" i="96"/>
  <c r="C490" i="96"/>
  <c r="C491" i="96"/>
  <c r="C492" i="96"/>
  <c r="C493" i="96"/>
  <c r="C494" i="96"/>
  <c r="C495" i="96"/>
  <c r="C496" i="96"/>
  <c r="C497" i="96"/>
  <c r="C498" i="96"/>
  <c r="C499" i="96"/>
  <c r="C500" i="96"/>
  <c r="C501" i="96"/>
  <c r="C502" i="96"/>
  <c r="C503" i="96"/>
  <c r="C504" i="96"/>
  <c r="C5204" i="96"/>
  <c r="C5203" i="96"/>
  <c r="C5202" i="96"/>
  <c r="C5201" i="96"/>
  <c r="C5200" i="96"/>
  <c r="C5199" i="96"/>
  <c r="C5198" i="96"/>
  <c r="C5197" i="96"/>
  <c r="C5196" i="96"/>
  <c r="C5195" i="96"/>
  <c r="C5194" i="96"/>
  <c r="C5193" i="96"/>
  <c r="C5192" i="96"/>
  <c r="C5191" i="96"/>
  <c r="C5190" i="96"/>
  <c r="C5189" i="96"/>
  <c r="C5188" i="96"/>
  <c r="C5187" i="96"/>
  <c r="C5186" i="96"/>
  <c r="C5185" i="96"/>
  <c r="C5184" i="96"/>
  <c r="C5183" i="96"/>
  <c r="C5182" i="96"/>
  <c r="C5181" i="96"/>
  <c r="C5180" i="96"/>
  <c r="C5179" i="96"/>
  <c r="C5178" i="96"/>
  <c r="C5177" i="96"/>
  <c r="C5176" i="96"/>
  <c r="C5175" i="96"/>
  <c r="C5174" i="96"/>
  <c r="C5173" i="96"/>
  <c r="C5172" i="96"/>
  <c r="C5171" i="96"/>
  <c r="C5170" i="96"/>
  <c r="C5169" i="96"/>
  <c r="C5168" i="96"/>
  <c r="C5167" i="96"/>
  <c r="C5166" i="96"/>
  <c r="C5165" i="96"/>
  <c r="C5164" i="96"/>
  <c r="C5163" i="96"/>
  <c r="C5162" i="96"/>
  <c r="C5161" i="96"/>
  <c r="C5160" i="96"/>
  <c r="C5159" i="96"/>
  <c r="C5158" i="96"/>
  <c r="C5157" i="96"/>
  <c r="C5156" i="96"/>
  <c r="C5155" i="96"/>
  <c r="C5154" i="96"/>
  <c r="C5153" i="96"/>
  <c r="C5152" i="96"/>
  <c r="C5151" i="96"/>
  <c r="C5150" i="96"/>
  <c r="C5149" i="96"/>
  <c r="C5148" i="96"/>
  <c r="C5147" i="96"/>
  <c r="C5146" i="96"/>
  <c r="C5145" i="96"/>
  <c r="C5144" i="96"/>
  <c r="C5143" i="96"/>
  <c r="C5142" i="96"/>
  <c r="C5141" i="96"/>
  <c r="C5140" i="96"/>
  <c r="C5139" i="96"/>
  <c r="C5138" i="96"/>
  <c r="C5137" i="96"/>
  <c r="C5136" i="96"/>
  <c r="C5135" i="96"/>
  <c r="C5134" i="96"/>
  <c r="C5133" i="96"/>
  <c r="C5132" i="96"/>
  <c r="C5131" i="96"/>
  <c r="C5130" i="96"/>
  <c r="C5129" i="96"/>
  <c r="C5128" i="96"/>
  <c r="C5127" i="96"/>
  <c r="C5126" i="96"/>
  <c r="C5125" i="96"/>
  <c r="C5124" i="96"/>
  <c r="C5123" i="96"/>
  <c r="C5122" i="96"/>
  <c r="C5121" i="96"/>
  <c r="C5120" i="96"/>
  <c r="C5119" i="96"/>
  <c r="C5118" i="96"/>
  <c r="C5117" i="96"/>
  <c r="C5116" i="96"/>
  <c r="C5115" i="96"/>
  <c r="C5114" i="96"/>
  <c r="C5113" i="96"/>
  <c r="C5112" i="96"/>
  <c r="C5111" i="96"/>
  <c r="C5110" i="96"/>
  <c r="C5109" i="96"/>
  <c r="C5108" i="96"/>
  <c r="C5107" i="96"/>
  <c r="C5106" i="96"/>
  <c r="C5105" i="96"/>
  <c r="C4704" i="96"/>
  <c r="C4703" i="96"/>
  <c r="C4702" i="96"/>
  <c r="C4701" i="96"/>
  <c r="C4700" i="96"/>
  <c r="C4699" i="96"/>
  <c r="C4698" i="96"/>
  <c r="C4697" i="96"/>
  <c r="C4696" i="96"/>
  <c r="C4695" i="96"/>
  <c r="C4694" i="96"/>
  <c r="C4693" i="96"/>
  <c r="C4692" i="96"/>
  <c r="C4691" i="96"/>
  <c r="C4690" i="96"/>
  <c r="C4689" i="96"/>
  <c r="C4688" i="96"/>
  <c r="C4687" i="96"/>
  <c r="C4686" i="96"/>
  <c r="C4685" i="96"/>
  <c r="C4684" i="96"/>
  <c r="C4683" i="96"/>
  <c r="C4682" i="96"/>
  <c r="C4681" i="96"/>
  <c r="C4680" i="96"/>
  <c r="C4679" i="96"/>
  <c r="C4678" i="96"/>
  <c r="C4677" i="96"/>
  <c r="C4676" i="96"/>
  <c r="C4675" i="96"/>
  <c r="C4674" i="96"/>
  <c r="C4673" i="96"/>
  <c r="C4672" i="96"/>
  <c r="C4671" i="96"/>
  <c r="C4670" i="96"/>
  <c r="C4669" i="96"/>
  <c r="C4668" i="96"/>
  <c r="C4667" i="96"/>
  <c r="C4666" i="96"/>
  <c r="C4665" i="96"/>
  <c r="C4664" i="96"/>
  <c r="C4663" i="96"/>
  <c r="C4662" i="96"/>
  <c r="C4661" i="96"/>
  <c r="C4660" i="96"/>
  <c r="C4659" i="96"/>
  <c r="C4658" i="96"/>
  <c r="C4657" i="96"/>
  <c r="C4656" i="96"/>
  <c r="C4655" i="96"/>
  <c r="C4654" i="96"/>
  <c r="C4653" i="96"/>
  <c r="C4652" i="96"/>
  <c r="C4651" i="96"/>
  <c r="C4650" i="96"/>
  <c r="C4649" i="96"/>
  <c r="C4648" i="96"/>
  <c r="C4647" i="96"/>
  <c r="C4646" i="96"/>
  <c r="C4645" i="96"/>
  <c r="C4644" i="96"/>
  <c r="C4643" i="96"/>
  <c r="C4642" i="96"/>
  <c r="C4641" i="96"/>
  <c r="C4640" i="96"/>
  <c r="C4639" i="96"/>
  <c r="C4638" i="96"/>
  <c r="C4637" i="96"/>
  <c r="C4636" i="96"/>
  <c r="C4635" i="96"/>
  <c r="C4634" i="96"/>
  <c r="C4633" i="96"/>
  <c r="C4632" i="96"/>
  <c r="C4631" i="96"/>
  <c r="C4630" i="96"/>
  <c r="C4629" i="96"/>
  <c r="C4628" i="96"/>
  <c r="C4627" i="96"/>
  <c r="C4626" i="96"/>
  <c r="C4625" i="96"/>
  <c r="C4624" i="96"/>
  <c r="C4623" i="96"/>
  <c r="C4622" i="96"/>
  <c r="C4621" i="96"/>
  <c r="C4620" i="96"/>
  <c r="C4619" i="96"/>
  <c r="C4618" i="96"/>
  <c r="C4617" i="96"/>
  <c r="C4616" i="96"/>
  <c r="C4615" i="96"/>
  <c r="C4614" i="96"/>
  <c r="C4613" i="96"/>
  <c r="C4612" i="96"/>
  <c r="C4611" i="96"/>
  <c r="C4610" i="96"/>
  <c r="C4609" i="96"/>
  <c r="C4608" i="96"/>
  <c r="C4607" i="96"/>
  <c r="C4606" i="96"/>
  <c r="C4605" i="96"/>
  <c r="C4204" i="96"/>
  <c r="C4203" i="96"/>
  <c r="C4202" i="96"/>
  <c r="C4201" i="96"/>
  <c r="C4200" i="96"/>
  <c r="C4199" i="96"/>
  <c r="C4198" i="96"/>
  <c r="C4197" i="96"/>
  <c r="C4196" i="96"/>
  <c r="C4195" i="96"/>
  <c r="C4194" i="96"/>
  <c r="C4193" i="96"/>
  <c r="C4192" i="96"/>
  <c r="C4191" i="96"/>
  <c r="C4190" i="96"/>
  <c r="C4189" i="96"/>
  <c r="C4188" i="96"/>
  <c r="C4187" i="96"/>
  <c r="C4186" i="96"/>
  <c r="C4185" i="96"/>
  <c r="C4184" i="96"/>
  <c r="C4183" i="96"/>
  <c r="C4182" i="96"/>
  <c r="C4181" i="96"/>
  <c r="C4180" i="96"/>
  <c r="C4179" i="96"/>
  <c r="C4178" i="96"/>
  <c r="C4177" i="96"/>
  <c r="C4176" i="96"/>
  <c r="C4175" i="96"/>
  <c r="C4174" i="96"/>
  <c r="C4173" i="96"/>
  <c r="C4172" i="96"/>
  <c r="C4171" i="96"/>
  <c r="C4170" i="96"/>
  <c r="C4169" i="96"/>
  <c r="C4168" i="96"/>
  <c r="C4167" i="96"/>
  <c r="C4166" i="96"/>
  <c r="C4165" i="96"/>
  <c r="C4164" i="96"/>
  <c r="C4163" i="96"/>
  <c r="C4162" i="96"/>
  <c r="C4161" i="96"/>
  <c r="C4160" i="96"/>
  <c r="C4159" i="96"/>
  <c r="C4158" i="96"/>
  <c r="C4157" i="96"/>
  <c r="C4156" i="96"/>
  <c r="C4155" i="96"/>
  <c r="C4154" i="96"/>
  <c r="C4153" i="96"/>
  <c r="C4152" i="96"/>
  <c r="C4151" i="96"/>
  <c r="C4150" i="96"/>
  <c r="C4149" i="96"/>
  <c r="C4148" i="96"/>
  <c r="C4147" i="96"/>
  <c r="C4146" i="96"/>
  <c r="C4145" i="96"/>
  <c r="C4144" i="96"/>
  <c r="C4143" i="96"/>
  <c r="C4142" i="96"/>
  <c r="C4141" i="96"/>
  <c r="C4140" i="96"/>
  <c r="C4139" i="96"/>
  <c r="C4138" i="96"/>
  <c r="C4137" i="96"/>
  <c r="C4136" i="96"/>
  <c r="C4135" i="96"/>
  <c r="C4134" i="96"/>
  <c r="C4133" i="96"/>
  <c r="C4132" i="96"/>
  <c r="C4131" i="96"/>
  <c r="C4130" i="96"/>
  <c r="C4129" i="96"/>
  <c r="C4128" i="96"/>
  <c r="C4127" i="96"/>
  <c r="C4126" i="96"/>
  <c r="C4125" i="96"/>
  <c r="C4124" i="96"/>
  <c r="C4123" i="96"/>
  <c r="C4122" i="96"/>
  <c r="C4121" i="96"/>
  <c r="C4120" i="96"/>
  <c r="C4119" i="96"/>
  <c r="C4118" i="96"/>
  <c r="C4117" i="96"/>
  <c r="C4116" i="96"/>
  <c r="C4115" i="96"/>
  <c r="C4114" i="96"/>
  <c r="C4113" i="96"/>
  <c r="C4112" i="96"/>
  <c r="C4111" i="96"/>
  <c r="C4110" i="96"/>
  <c r="C4109" i="96"/>
  <c r="C4108" i="96"/>
  <c r="C4107" i="96"/>
  <c r="C4106" i="96"/>
  <c r="C4105" i="96"/>
  <c r="C3704" i="96"/>
  <c r="C3703" i="96"/>
  <c r="C3702" i="96"/>
  <c r="C3701" i="96"/>
  <c r="C3700" i="96"/>
  <c r="C3699" i="96"/>
  <c r="C3698" i="96"/>
  <c r="C3697" i="96"/>
  <c r="C3696" i="96"/>
  <c r="C3695" i="96"/>
  <c r="C3694" i="96"/>
  <c r="C3693" i="96"/>
  <c r="C3692" i="96"/>
  <c r="C3691" i="96"/>
  <c r="C3690" i="96"/>
  <c r="C3689" i="96"/>
  <c r="C3688" i="96"/>
  <c r="C3687" i="96"/>
  <c r="C3686" i="96"/>
  <c r="C3685" i="96"/>
  <c r="C3684" i="96"/>
  <c r="C3683" i="96"/>
  <c r="C3682" i="96"/>
  <c r="C3681" i="96"/>
  <c r="C3680" i="96"/>
  <c r="C3679" i="96"/>
  <c r="C3678" i="96"/>
  <c r="C3677" i="96"/>
  <c r="C3676" i="96"/>
  <c r="C3675" i="96"/>
  <c r="C3674" i="96"/>
  <c r="C3673" i="96"/>
  <c r="C3672" i="96"/>
  <c r="C3671" i="96"/>
  <c r="C3670" i="96"/>
  <c r="C3669" i="96"/>
  <c r="C3668" i="96"/>
  <c r="C3667" i="96"/>
  <c r="C3666" i="96"/>
  <c r="C3665" i="96"/>
  <c r="C3664" i="96"/>
  <c r="C3663" i="96"/>
  <c r="C3662" i="96"/>
  <c r="C3661" i="96"/>
  <c r="C3660" i="96"/>
  <c r="C3659" i="96"/>
  <c r="C3658" i="96"/>
  <c r="C3657" i="96"/>
  <c r="C3656" i="96"/>
  <c r="C3655" i="96"/>
  <c r="C3654" i="96"/>
  <c r="C3653" i="96"/>
  <c r="C3652" i="96"/>
  <c r="C3651" i="96"/>
  <c r="C3650" i="96"/>
  <c r="C3649" i="96"/>
  <c r="C3648" i="96"/>
  <c r="C3647" i="96"/>
  <c r="C3646" i="96"/>
  <c r="C3645" i="96"/>
  <c r="C3644" i="96"/>
  <c r="C3643" i="96"/>
  <c r="C3642" i="96"/>
  <c r="C3641" i="96"/>
  <c r="C3640" i="96"/>
  <c r="C3639" i="96"/>
  <c r="C3638" i="96"/>
  <c r="C3637" i="96"/>
  <c r="C3636" i="96"/>
  <c r="C3635" i="96"/>
  <c r="C3634" i="96"/>
  <c r="C3633" i="96"/>
  <c r="C3632" i="96"/>
  <c r="C3631" i="96"/>
  <c r="C3630" i="96"/>
  <c r="C3629" i="96"/>
  <c r="C3628" i="96"/>
  <c r="C3627" i="96"/>
  <c r="C3626" i="96"/>
  <c r="C3625" i="96"/>
  <c r="C3624" i="96"/>
  <c r="C3623" i="96"/>
  <c r="C3622" i="96"/>
  <c r="C3621" i="96"/>
  <c r="C3620" i="96"/>
  <c r="C3619" i="96"/>
  <c r="C3618" i="96"/>
  <c r="C3617" i="96"/>
  <c r="C3616" i="96"/>
  <c r="C3615" i="96"/>
  <c r="C3614" i="96"/>
  <c r="C3613" i="96"/>
  <c r="C3612" i="96"/>
  <c r="C3611" i="96"/>
  <c r="C3610" i="96"/>
  <c r="C3609" i="96"/>
  <c r="C3608" i="96"/>
  <c r="C3607" i="96"/>
  <c r="C3606" i="96"/>
  <c r="C3605" i="96"/>
  <c r="C3204" i="96"/>
  <c r="C3203" i="96"/>
  <c r="C3202" i="96"/>
  <c r="C3201" i="96"/>
  <c r="C3200" i="96"/>
  <c r="C3199" i="96"/>
  <c r="C3198" i="96"/>
  <c r="C3197" i="96"/>
  <c r="C3196" i="96"/>
  <c r="C3195" i="96"/>
  <c r="C3194" i="96"/>
  <c r="C3193" i="96"/>
  <c r="C3192" i="96"/>
  <c r="C3191" i="96"/>
  <c r="C3190" i="96"/>
  <c r="C3189" i="96"/>
  <c r="C3188" i="96"/>
  <c r="C3187" i="96"/>
  <c r="C3186" i="96"/>
  <c r="C3185" i="96"/>
  <c r="C3184" i="96"/>
  <c r="C3183" i="96"/>
  <c r="C3182" i="96"/>
  <c r="C3181" i="96"/>
  <c r="C3180" i="96"/>
  <c r="C3179" i="96"/>
  <c r="C3178" i="96"/>
  <c r="C3177" i="96"/>
  <c r="C3176" i="96"/>
  <c r="C3175" i="96"/>
  <c r="C3174" i="96"/>
  <c r="C3173" i="96"/>
  <c r="C3172" i="96"/>
  <c r="C3171" i="96"/>
  <c r="C3170" i="96"/>
  <c r="C3169" i="96"/>
  <c r="C3168" i="96"/>
  <c r="C3167" i="96"/>
  <c r="C3166" i="96"/>
  <c r="C3165" i="96"/>
  <c r="C3164" i="96"/>
  <c r="C3163" i="96"/>
  <c r="C3162" i="96"/>
  <c r="C3161" i="96"/>
  <c r="C3160" i="96"/>
  <c r="C3159" i="96"/>
  <c r="C3158" i="96"/>
  <c r="C3157" i="96"/>
  <c r="C3156" i="96"/>
  <c r="C3155" i="96"/>
  <c r="C3154" i="96"/>
  <c r="C3153" i="96"/>
  <c r="C3152" i="96"/>
  <c r="C3151" i="96"/>
  <c r="C3150" i="96"/>
  <c r="C3149" i="96"/>
  <c r="C3148" i="96"/>
  <c r="C3147" i="96"/>
  <c r="C3146" i="96"/>
  <c r="C3145" i="96"/>
  <c r="C3144" i="96"/>
  <c r="C3143" i="96"/>
  <c r="C3142" i="96"/>
  <c r="C3141" i="96"/>
  <c r="C3140" i="96"/>
  <c r="C3139" i="96"/>
  <c r="C3138" i="96"/>
  <c r="C3137" i="96"/>
  <c r="C3136" i="96"/>
  <c r="C3135" i="96"/>
  <c r="C3134" i="96"/>
  <c r="C3133" i="96"/>
  <c r="C3132" i="96"/>
  <c r="C3131" i="96"/>
  <c r="C3130" i="96"/>
  <c r="C3129" i="96"/>
  <c r="C3128" i="96"/>
  <c r="C3127" i="96"/>
  <c r="C3126" i="96"/>
  <c r="C3125" i="96"/>
  <c r="C3124" i="96"/>
  <c r="C3123" i="96"/>
  <c r="C3122" i="96"/>
  <c r="C3121" i="96"/>
  <c r="C3120" i="96"/>
  <c r="C3119" i="96"/>
  <c r="C3118" i="96"/>
  <c r="C3117" i="96"/>
  <c r="C3116" i="96"/>
  <c r="C3115" i="96"/>
  <c r="C3114" i="96"/>
  <c r="C3113" i="96"/>
  <c r="C3112" i="96"/>
  <c r="C3111" i="96"/>
  <c r="C3110" i="96"/>
  <c r="C3109" i="96"/>
  <c r="C3108" i="96"/>
  <c r="C3107" i="96"/>
  <c r="C3106" i="96"/>
  <c r="C3105" i="96"/>
  <c r="C3104" i="96"/>
  <c r="C3103" i="96"/>
  <c r="C3102" i="96"/>
  <c r="C3101" i="96"/>
  <c r="C3100" i="96"/>
  <c r="C3099" i="96"/>
  <c r="C3098" i="96"/>
  <c r="C3097" i="96"/>
  <c r="C3096" i="96"/>
  <c r="C3095" i="96"/>
  <c r="C3094" i="96"/>
  <c r="C3093" i="96"/>
  <c r="C3092" i="96"/>
  <c r="C3091" i="96"/>
  <c r="C3090" i="96"/>
  <c r="C3089" i="96"/>
  <c r="C3088" i="96"/>
  <c r="C3087" i="96"/>
  <c r="C3086" i="96"/>
  <c r="C3085" i="96"/>
  <c r="C3084" i="96"/>
  <c r="C3083" i="96"/>
  <c r="C3082" i="96"/>
  <c r="C3081" i="96"/>
  <c r="C3080" i="96"/>
  <c r="C3079" i="96"/>
  <c r="C3078" i="96"/>
  <c r="C3077" i="96"/>
  <c r="C3076" i="96"/>
  <c r="C3075" i="96"/>
  <c r="C3074" i="96"/>
  <c r="C3073" i="96"/>
  <c r="C3072" i="96"/>
  <c r="C3071" i="96"/>
  <c r="C3070" i="96"/>
  <c r="C3069" i="96"/>
  <c r="C3068" i="96"/>
  <c r="C3067" i="96"/>
  <c r="C3066" i="96"/>
  <c r="C3065" i="96"/>
  <c r="C3064" i="96"/>
  <c r="C3063" i="96"/>
  <c r="C3062" i="96"/>
  <c r="C3061" i="96"/>
  <c r="C3060" i="96"/>
  <c r="C3059" i="96"/>
  <c r="C3058" i="96"/>
  <c r="C3057" i="96"/>
  <c r="C3056" i="96"/>
  <c r="C3055" i="96"/>
  <c r="C3054" i="96"/>
  <c r="C3053" i="96"/>
  <c r="C3052" i="96"/>
  <c r="C3051" i="96"/>
  <c r="C3050" i="96"/>
  <c r="C3049" i="96"/>
  <c r="C3048" i="96"/>
  <c r="C3047" i="96"/>
  <c r="C3046" i="96"/>
  <c r="C3045" i="96"/>
  <c r="C3044" i="96"/>
  <c r="C3043" i="96"/>
  <c r="C3042" i="96"/>
  <c r="C3041" i="96"/>
  <c r="C3040" i="96"/>
  <c r="C3039" i="96"/>
  <c r="C3038" i="96"/>
  <c r="C3037" i="96"/>
  <c r="C3036" i="96"/>
  <c r="C3035" i="96"/>
  <c r="C3034" i="96"/>
  <c r="C3033" i="96"/>
  <c r="C3032" i="96"/>
  <c r="C3031" i="96"/>
  <c r="C3030" i="96"/>
  <c r="C3029" i="96"/>
  <c r="C3028" i="96"/>
  <c r="C3027" i="96"/>
  <c r="C3026" i="96"/>
  <c r="C3025" i="96"/>
  <c r="C3024" i="96"/>
  <c r="C3023" i="96"/>
  <c r="C3022" i="96"/>
  <c r="C3021" i="96"/>
  <c r="C3020" i="96"/>
  <c r="C3019" i="96"/>
  <c r="C3018" i="96"/>
  <c r="C3017" i="96"/>
  <c r="C3016" i="96"/>
  <c r="C3015" i="96"/>
  <c r="C3014" i="96"/>
  <c r="C3013" i="96"/>
  <c r="C3012" i="96"/>
  <c r="C3011" i="96"/>
  <c r="C3010" i="96"/>
  <c r="C3009" i="96"/>
  <c r="C3008" i="96"/>
  <c r="C3007" i="96"/>
  <c r="C3006" i="96"/>
  <c r="C3005" i="96"/>
  <c r="C2604" i="96"/>
  <c r="C2603" i="96"/>
  <c r="C2602" i="96"/>
  <c r="C2601" i="96"/>
  <c r="C2600" i="96"/>
  <c r="C2599" i="96"/>
  <c r="C2598" i="96"/>
  <c r="C2597" i="96"/>
  <c r="C2596" i="96"/>
  <c r="C2595" i="96"/>
  <c r="C2594" i="96"/>
  <c r="C2593" i="96"/>
  <c r="C2592" i="96"/>
  <c r="C2591" i="96"/>
  <c r="C2590" i="96"/>
  <c r="C2589" i="96"/>
  <c r="C2588" i="96"/>
  <c r="C2587" i="96"/>
  <c r="C2586" i="96"/>
  <c r="C2585" i="96"/>
  <c r="C2584" i="96"/>
  <c r="C2583" i="96"/>
  <c r="C2582" i="96"/>
  <c r="C2581" i="96"/>
  <c r="C2580" i="96"/>
  <c r="C2579" i="96"/>
  <c r="C2578" i="96"/>
  <c r="C2577" i="96"/>
  <c r="C2576" i="96"/>
  <c r="C2575" i="96"/>
  <c r="C2574" i="96"/>
  <c r="C2573" i="96"/>
  <c r="C2572" i="96"/>
  <c r="C2571" i="96"/>
  <c r="C2570" i="96"/>
  <c r="C2569" i="96"/>
  <c r="C2568" i="96"/>
  <c r="C2567" i="96"/>
  <c r="C2566" i="96"/>
  <c r="C2565" i="96"/>
  <c r="C2564" i="96"/>
  <c r="C2563" i="96"/>
  <c r="C2562" i="96"/>
  <c r="C2561" i="96"/>
  <c r="C2560" i="96"/>
  <c r="C2559" i="96"/>
  <c r="C2558" i="96"/>
  <c r="C2557" i="96"/>
  <c r="C2556" i="96"/>
  <c r="C2555" i="96"/>
  <c r="C2554" i="96"/>
  <c r="C2553" i="96"/>
  <c r="C2552" i="96"/>
  <c r="C2551" i="96"/>
  <c r="C2550" i="96"/>
  <c r="C2549" i="96"/>
  <c r="C2548" i="96"/>
  <c r="C2547" i="96"/>
  <c r="C2546" i="96"/>
  <c r="C2545" i="96"/>
  <c r="C2544" i="96"/>
  <c r="C2543" i="96"/>
  <c r="C2542" i="96"/>
  <c r="C2541" i="96"/>
  <c r="C2540" i="96"/>
  <c r="C2539" i="96"/>
  <c r="C2538" i="96"/>
  <c r="C2537" i="96"/>
  <c r="C2536" i="96"/>
  <c r="C2535" i="96"/>
  <c r="C2534" i="96"/>
  <c r="C2533" i="96"/>
  <c r="C2532" i="96"/>
  <c r="C2531" i="96"/>
  <c r="C2530" i="96"/>
  <c r="C2529" i="96"/>
  <c r="C2528" i="96"/>
  <c r="C2527" i="96"/>
  <c r="C2526" i="96"/>
  <c r="C2525" i="96"/>
  <c r="C2524" i="96"/>
  <c r="C2523" i="96"/>
  <c r="C2522" i="96"/>
  <c r="C2521" i="96"/>
  <c r="C2520" i="96"/>
  <c r="C2519" i="96"/>
  <c r="C2518" i="96"/>
  <c r="C2517" i="96"/>
  <c r="C2516" i="96"/>
  <c r="C2515" i="96"/>
  <c r="C2514" i="96"/>
  <c r="C2513" i="96"/>
  <c r="C2512" i="96"/>
  <c r="C2511" i="96"/>
  <c r="C2510" i="96"/>
  <c r="C2509" i="96"/>
  <c r="C2508" i="96"/>
  <c r="C2507" i="96"/>
  <c r="C2506" i="96"/>
  <c r="C2505" i="96"/>
  <c r="C2104" i="96"/>
  <c r="C2103" i="96"/>
  <c r="C2102" i="96"/>
  <c r="C2101" i="96"/>
  <c r="C2100" i="96"/>
  <c r="C2099" i="96"/>
  <c r="C2098" i="96"/>
  <c r="C2097" i="96"/>
  <c r="C2096" i="96"/>
  <c r="C2095" i="96"/>
  <c r="C2094" i="96"/>
  <c r="C2093" i="96"/>
  <c r="C2092" i="96"/>
  <c r="C2091" i="96"/>
  <c r="C2090" i="96"/>
  <c r="C2089" i="96"/>
  <c r="C2088" i="96"/>
  <c r="C2087" i="96"/>
  <c r="C2086" i="96"/>
  <c r="C2085" i="96"/>
  <c r="C2084" i="96"/>
  <c r="C2083" i="96"/>
  <c r="C2082" i="96"/>
  <c r="C2081" i="96"/>
  <c r="C2080" i="96"/>
  <c r="C2079" i="96"/>
  <c r="C2078" i="96"/>
  <c r="C2077" i="96"/>
  <c r="C2076" i="96"/>
  <c r="C2075" i="96"/>
  <c r="C2074" i="96"/>
  <c r="C2073" i="96"/>
  <c r="C2072" i="96"/>
  <c r="C2071" i="96"/>
  <c r="C2070" i="96"/>
  <c r="C2069" i="96"/>
  <c r="C2068" i="96"/>
  <c r="C2067" i="96"/>
  <c r="C2066" i="96"/>
  <c r="C2065" i="96"/>
  <c r="C2064" i="96"/>
  <c r="C2063" i="96"/>
  <c r="C2062" i="96"/>
  <c r="C2061" i="96"/>
  <c r="C2060" i="96"/>
  <c r="C2059" i="96"/>
  <c r="C2058" i="96"/>
  <c r="C2057" i="96"/>
  <c r="C2056" i="96"/>
  <c r="C2055" i="96"/>
  <c r="C2054" i="96"/>
  <c r="C2053" i="96"/>
  <c r="C2052" i="96"/>
  <c r="C2051" i="96"/>
  <c r="C2050" i="96"/>
  <c r="C2049" i="96"/>
  <c r="C2048" i="96"/>
  <c r="C2047" i="96"/>
  <c r="C2046" i="96"/>
  <c r="C2045" i="96"/>
  <c r="C2044" i="96"/>
  <c r="C2043" i="96"/>
  <c r="C2042" i="96"/>
  <c r="C2041" i="96"/>
  <c r="C2040" i="96"/>
  <c r="C2039" i="96"/>
  <c r="C2038" i="96"/>
  <c r="C2037" i="96"/>
  <c r="C2036" i="96"/>
  <c r="C2035" i="96"/>
  <c r="C2034" i="96"/>
  <c r="C2033" i="96"/>
  <c r="C2032" i="96"/>
  <c r="C2031" i="96"/>
  <c r="C2030" i="96"/>
  <c r="C2029" i="96"/>
  <c r="C2028" i="96"/>
  <c r="C2027" i="96"/>
  <c r="C2026" i="96"/>
  <c r="C2025" i="96"/>
  <c r="C2024" i="96"/>
  <c r="C2023" i="96"/>
  <c r="C2022" i="96"/>
  <c r="C2021" i="96"/>
  <c r="C2020" i="96"/>
  <c r="C2019" i="96"/>
  <c r="C2018" i="96"/>
  <c r="C2017" i="96"/>
  <c r="C2016" i="96"/>
  <c r="C2015" i="96"/>
  <c r="C2014" i="96"/>
  <c r="C2013" i="96"/>
  <c r="C2012" i="96"/>
  <c r="C2011" i="96"/>
  <c r="C2010" i="96"/>
  <c r="C2009" i="96"/>
  <c r="C2008" i="96"/>
  <c r="C2007" i="96"/>
  <c r="C2006" i="96"/>
  <c r="C2005" i="96"/>
  <c r="C1604" i="96"/>
  <c r="C1603" i="96"/>
  <c r="C1602" i="96"/>
  <c r="C1601" i="96"/>
  <c r="C1600" i="96"/>
  <c r="C1599" i="96"/>
  <c r="C1598" i="96"/>
  <c r="C1597" i="96"/>
  <c r="C1596" i="96"/>
  <c r="C1595" i="96"/>
  <c r="C1594" i="96"/>
  <c r="C1593" i="96"/>
  <c r="C1592" i="96"/>
  <c r="C1591" i="96"/>
  <c r="C1590" i="96"/>
  <c r="C1589" i="96"/>
  <c r="C1588" i="96"/>
  <c r="C1587" i="96"/>
  <c r="C1586" i="96"/>
  <c r="C1585" i="96"/>
  <c r="C1584" i="96"/>
  <c r="C1583" i="96"/>
  <c r="C1582" i="96"/>
  <c r="C1581" i="96"/>
  <c r="C1580" i="96"/>
  <c r="C1579" i="96"/>
  <c r="C1578" i="96"/>
  <c r="C1577" i="96"/>
  <c r="C1576" i="96"/>
  <c r="C1575" i="96"/>
  <c r="C1574" i="96"/>
  <c r="C1573" i="96"/>
  <c r="C1572" i="96"/>
  <c r="C1571" i="96"/>
  <c r="C1570" i="96"/>
  <c r="C1569" i="96"/>
  <c r="C1568" i="96"/>
  <c r="C1567" i="96"/>
  <c r="C1566" i="96"/>
  <c r="C1565" i="96"/>
  <c r="C1564" i="96"/>
  <c r="C1563" i="96"/>
  <c r="C1562" i="96"/>
  <c r="C1561" i="96"/>
  <c r="C1560" i="96"/>
  <c r="C1559" i="96"/>
  <c r="C1558" i="96"/>
  <c r="C1557" i="96"/>
  <c r="C1556" i="96"/>
  <c r="C1555" i="96"/>
  <c r="C1554" i="96"/>
  <c r="C1553" i="96"/>
  <c r="C1552" i="96"/>
  <c r="C1551" i="96"/>
  <c r="C1550" i="96"/>
  <c r="C1549" i="96"/>
  <c r="C1548" i="96"/>
  <c r="C1547" i="96"/>
  <c r="C1546" i="96"/>
  <c r="C1545" i="96"/>
  <c r="C1544" i="96"/>
  <c r="C1543" i="96"/>
  <c r="C1542" i="96"/>
  <c r="C1541" i="96"/>
  <c r="C1540" i="96"/>
  <c r="C1539" i="96"/>
  <c r="C1538" i="96"/>
  <c r="C1537" i="96"/>
  <c r="C1536" i="96"/>
  <c r="C1535" i="96"/>
  <c r="C1534" i="96"/>
  <c r="C1533" i="96"/>
  <c r="C1532" i="96"/>
  <c r="C1531" i="96"/>
  <c r="C1530" i="96"/>
  <c r="C1529" i="96"/>
  <c r="C1528" i="96"/>
  <c r="C1527" i="96"/>
  <c r="C1526" i="96"/>
  <c r="C1525" i="96"/>
  <c r="C1524" i="96"/>
  <c r="C1523" i="96"/>
  <c r="C1522" i="96"/>
  <c r="C1521" i="96"/>
  <c r="C1520" i="96"/>
  <c r="C1519" i="96"/>
  <c r="C1518" i="96"/>
  <c r="C1517" i="96"/>
  <c r="C1516" i="96"/>
  <c r="C1515" i="96"/>
  <c r="C1514" i="96"/>
  <c r="C1513" i="96"/>
  <c r="C1512" i="96"/>
  <c r="C1511" i="96"/>
  <c r="C1510" i="96"/>
  <c r="C1509" i="96"/>
  <c r="C1508" i="96"/>
  <c r="C1507" i="96"/>
  <c r="C1506" i="96"/>
  <c r="C1505" i="96"/>
  <c r="C1104" i="96"/>
  <c r="C1103" i="96"/>
  <c r="C1102" i="96"/>
  <c r="C1101" i="96"/>
  <c r="C1100" i="96"/>
  <c r="C1099" i="96"/>
  <c r="C1098" i="96"/>
  <c r="C1097" i="96"/>
  <c r="C1096" i="96"/>
  <c r="C1095" i="96"/>
  <c r="C1094" i="96"/>
  <c r="C1093" i="96"/>
  <c r="C1092" i="96"/>
  <c r="C1091" i="96"/>
  <c r="C1090" i="96"/>
  <c r="C1089" i="96"/>
  <c r="C1088" i="96"/>
  <c r="C1087" i="96"/>
  <c r="C1086" i="96"/>
  <c r="C1085" i="96"/>
  <c r="C1084" i="96"/>
  <c r="C1083" i="96"/>
  <c r="C1082" i="96"/>
  <c r="C1081" i="96"/>
  <c r="C1080" i="96"/>
  <c r="C1079" i="96"/>
  <c r="C1078" i="96"/>
  <c r="C1077" i="96"/>
  <c r="C1076" i="96"/>
  <c r="C1075" i="96"/>
  <c r="C1074" i="96"/>
  <c r="C1073" i="96"/>
  <c r="C1072" i="96"/>
  <c r="C1071" i="96"/>
  <c r="C1070" i="96"/>
  <c r="C1069" i="96"/>
  <c r="C1068" i="96"/>
  <c r="C1067" i="96"/>
  <c r="C1066" i="96"/>
  <c r="C1065" i="96"/>
  <c r="C1064" i="96"/>
  <c r="C1063" i="96"/>
  <c r="C1062" i="96"/>
  <c r="C1061" i="96"/>
  <c r="C1060" i="96"/>
  <c r="C1059" i="96"/>
  <c r="C1058" i="96"/>
  <c r="C1057" i="96"/>
  <c r="C1056" i="96"/>
  <c r="C1055" i="96"/>
  <c r="C1054" i="96"/>
  <c r="C1053" i="96"/>
  <c r="C1052" i="96"/>
  <c r="C1051" i="96"/>
  <c r="C1050" i="96"/>
  <c r="C1049" i="96"/>
  <c r="C1048" i="96"/>
  <c r="C1047" i="96"/>
  <c r="C1046" i="96"/>
  <c r="C1045" i="96"/>
  <c r="C1044" i="96"/>
  <c r="C1043" i="96"/>
  <c r="C1042" i="96"/>
  <c r="C1041" i="96"/>
  <c r="C1040" i="96"/>
  <c r="C1039" i="96"/>
  <c r="C1038" i="96"/>
  <c r="C1037" i="96"/>
  <c r="C1036" i="96"/>
  <c r="C1035" i="96"/>
  <c r="C1034" i="96"/>
  <c r="C1033" i="96"/>
  <c r="C1032" i="96"/>
  <c r="C1031" i="96"/>
  <c r="C1030" i="96"/>
  <c r="C1029" i="96"/>
  <c r="C1028" i="96"/>
  <c r="C1027" i="96"/>
  <c r="C1026" i="96"/>
  <c r="C1025" i="96"/>
  <c r="C1024" i="96"/>
  <c r="C1023" i="96"/>
  <c r="C1022" i="96"/>
  <c r="C1021" i="96"/>
  <c r="C1020" i="96"/>
  <c r="C1019" i="96"/>
  <c r="C1018" i="96"/>
  <c r="C1017" i="96"/>
  <c r="C1016" i="96"/>
  <c r="C1015" i="96"/>
  <c r="C1014" i="96"/>
  <c r="C1013" i="96"/>
  <c r="C1012" i="96"/>
  <c r="C1011" i="96"/>
  <c r="C1010" i="96"/>
  <c r="C1009" i="96"/>
  <c r="C1008" i="96"/>
  <c r="C1007" i="96"/>
  <c r="C1006" i="96"/>
  <c r="C1005" i="96"/>
  <c r="C604" i="96"/>
  <c r="C603" i="96"/>
  <c r="C602" i="96"/>
  <c r="C601" i="96"/>
  <c r="C600" i="96"/>
  <c r="C599" i="96"/>
  <c r="C598" i="96"/>
  <c r="C597" i="96"/>
  <c r="C596" i="96"/>
  <c r="C595" i="96"/>
  <c r="C594" i="96"/>
  <c r="C593" i="96"/>
  <c r="C592" i="96"/>
  <c r="C591" i="96"/>
  <c r="C590" i="96"/>
  <c r="C589" i="96"/>
  <c r="C588" i="96"/>
  <c r="C587" i="96"/>
  <c r="C586" i="96"/>
  <c r="C585" i="96"/>
  <c r="C584" i="96"/>
  <c r="C583" i="96"/>
  <c r="C582" i="96"/>
  <c r="C581" i="96"/>
  <c r="C580" i="96"/>
  <c r="C579" i="96"/>
  <c r="C578" i="96"/>
  <c r="C577" i="96"/>
  <c r="C576" i="96"/>
  <c r="C575" i="96"/>
  <c r="C574" i="96"/>
  <c r="C573" i="96"/>
  <c r="C572" i="96"/>
  <c r="C571" i="96"/>
  <c r="C570" i="96"/>
  <c r="C569" i="96"/>
  <c r="C568" i="96"/>
  <c r="C567" i="96"/>
  <c r="C566" i="96"/>
  <c r="C565" i="96"/>
  <c r="C564" i="96"/>
  <c r="C563" i="96"/>
  <c r="C562" i="96"/>
  <c r="C561" i="96"/>
  <c r="C560" i="96"/>
  <c r="C559" i="96"/>
  <c r="C558" i="96"/>
  <c r="C557" i="96"/>
  <c r="C556" i="96"/>
  <c r="C555" i="96"/>
  <c r="C554" i="96"/>
  <c r="C553" i="96"/>
  <c r="C552" i="96"/>
  <c r="C551" i="96"/>
  <c r="C550" i="96"/>
  <c r="C549" i="96"/>
  <c r="C548" i="96"/>
  <c r="C547" i="96"/>
  <c r="C546" i="96"/>
  <c r="C545" i="96"/>
  <c r="C544" i="96"/>
  <c r="C543" i="96"/>
  <c r="C542" i="96"/>
  <c r="C541" i="96"/>
  <c r="C540" i="96"/>
  <c r="C539" i="96"/>
  <c r="C538" i="96"/>
  <c r="C537" i="96"/>
  <c r="C536" i="96"/>
  <c r="C535" i="96"/>
  <c r="C534" i="96"/>
  <c r="C533" i="96"/>
  <c r="C532" i="96"/>
  <c r="C531" i="96"/>
  <c r="C530" i="96"/>
  <c r="C529" i="96"/>
  <c r="C528" i="96"/>
  <c r="C527" i="96"/>
  <c r="C526" i="96"/>
  <c r="C525" i="96"/>
  <c r="C524" i="96"/>
  <c r="C523" i="96"/>
  <c r="C522" i="96"/>
  <c r="C521" i="96"/>
  <c r="C520" i="96"/>
  <c r="C519" i="96"/>
  <c r="C518" i="96"/>
  <c r="C517" i="96"/>
  <c r="C516" i="96"/>
  <c r="C515" i="96"/>
  <c r="C514" i="96"/>
  <c r="C513" i="96"/>
  <c r="C512" i="96"/>
  <c r="C511" i="96"/>
  <c r="C510" i="96"/>
  <c r="C509" i="96"/>
  <c r="C508" i="96"/>
  <c r="C507" i="96"/>
  <c r="C506" i="96"/>
  <c r="C505" i="96"/>
  <c r="I3" i="96"/>
  <c r="C5" i="96"/>
  <c r="R5" i="96"/>
  <c r="C6" i="96"/>
  <c r="C7" i="96"/>
  <c r="C8" i="96"/>
  <c r="C9" i="96"/>
  <c r="C10" i="96"/>
  <c r="C11" i="96"/>
  <c r="C12" i="96"/>
  <c r="C13" i="96"/>
  <c r="C14" i="96"/>
  <c r="C15" i="96"/>
  <c r="C16" i="96"/>
  <c r="C17" i="96"/>
  <c r="C18" i="96"/>
  <c r="C19" i="96"/>
  <c r="C20" i="96"/>
  <c r="C21" i="96"/>
  <c r="C22" i="96"/>
  <c r="C23" i="96"/>
  <c r="C24" i="96"/>
  <c r="C25" i="96"/>
  <c r="C26" i="96"/>
  <c r="C27" i="96"/>
  <c r="C28" i="96"/>
  <c r="C29" i="96"/>
  <c r="C30" i="96"/>
  <c r="C31" i="96"/>
  <c r="C32" i="96"/>
  <c r="C33" i="96"/>
  <c r="C34" i="96"/>
  <c r="C35" i="96"/>
  <c r="C36" i="96"/>
  <c r="C37" i="96"/>
  <c r="C38" i="96"/>
  <c r="C39" i="96"/>
  <c r="C40" i="96"/>
  <c r="C41" i="96"/>
  <c r="C42" i="96"/>
  <c r="C43" i="96"/>
  <c r="C44" i="96"/>
  <c r="C45" i="96"/>
  <c r="C46" i="96"/>
  <c r="C47" i="96"/>
  <c r="C48" i="96"/>
  <c r="C49" i="96"/>
  <c r="C50" i="96"/>
  <c r="C51" i="96"/>
  <c r="C52" i="96"/>
  <c r="C53" i="96"/>
  <c r="C54" i="96"/>
  <c r="C55" i="96"/>
  <c r="C56" i="96"/>
  <c r="C57" i="96"/>
  <c r="C58" i="96"/>
  <c r="C59" i="96"/>
  <c r="C60" i="96"/>
  <c r="C61" i="96"/>
  <c r="C62" i="96"/>
  <c r="C63" i="96"/>
  <c r="C64" i="96"/>
  <c r="C65" i="96"/>
  <c r="C66" i="96"/>
  <c r="C67" i="96"/>
  <c r="C68" i="96"/>
  <c r="C69" i="96"/>
  <c r="C70" i="96"/>
  <c r="C71" i="96"/>
  <c r="C72" i="96"/>
  <c r="C73" i="96"/>
  <c r="C74" i="96"/>
  <c r="C75" i="96"/>
  <c r="C76" i="96"/>
  <c r="C77" i="96"/>
  <c r="C78" i="96"/>
  <c r="C79" i="96"/>
  <c r="C80" i="96"/>
  <c r="C81" i="96"/>
  <c r="C82" i="96"/>
  <c r="C83" i="96"/>
  <c r="C84" i="96"/>
  <c r="C85" i="96"/>
  <c r="C86" i="96"/>
  <c r="C87" i="96"/>
  <c r="C88" i="96"/>
  <c r="C89" i="96"/>
  <c r="C90" i="96"/>
  <c r="C91" i="96"/>
  <c r="C92" i="96"/>
  <c r="C93" i="96"/>
  <c r="C94" i="96"/>
  <c r="C95" i="96"/>
  <c r="C96" i="96"/>
  <c r="C97" i="96"/>
  <c r="C98" i="96"/>
  <c r="C99" i="96"/>
  <c r="C100" i="96"/>
  <c r="C101" i="96"/>
  <c r="C102" i="96"/>
  <c r="C103" i="96"/>
  <c r="C104" i="96"/>
  <c r="C54" i="79"/>
  <c r="G32" i="79" s="1"/>
  <c r="H32" i="79" s="1"/>
  <c r="D16" i="79"/>
  <c r="D15" i="79"/>
  <c r="D14" i="79"/>
  <c r="D13" i="79"/>
  <c r="D12" i="79"/>
  <c r="D11" i="79"/>
  <c r="D10" i="79"/>
  <c r="D9" i="79"/>
  <c r="D8" i="79"/>
  <c r="D7" i="79"/>
  <c r="D6" i="79"/>
  <c r="D17" i="54"/>
  <c r="C7" i="55"/>
  <c r="C14" i="55" s="1"/>
  <c r="E14" i="55" s="1"/>
  <c r="F8" i="8"/>
  <c r="F14" i="8" s="1"/>
  <c r="H34" i="74"/>
  <c r="G34" i="74"/>
  <c r="F34" i="74"/>
  <c r="E34" i="74"/>
  <c r="H35" i="74"/>
  <c r="H35" i="30"/>
  <c r="G35" i="30"/>
  <c r="F35" i="30"/>
  <c r="D37" i="30"/>
  <c r="E35" i="30"/>
  <c r="H29" i="73"/>
  <c r="G29" i="73"/>
  <c r="F29" i="73"/>
  <c r="D31" i="73" s="1"/>
  <c r="E29" i="73"/>
  <c r="D13" i="49"/>
  <c r="C13" i="49"/>
  <c r="F16" i="54"/>
  <c r="D6" i="52"/>
  <c r="D8" i="54" s="1"/>
  <c r="AR337" i="10"/>
  <c r="G9" i="8"/>
  <c r="H9" i="8" s="1"/>
  <c r="G10" i="8"/>
  <c r="G11" i="8"/>
  <c r="H11" i="8"/>
  <c r="BG283" i="10"/>
  <c r="BF283" i="10"/>
  <c r="BE283" i="10"/>
  <c r="AS283" i="10"/>
  <c r="AR283" i="10"/>
  <c r="AQ283" i="10"/>
  <c r="BG282" i="10"/>
  <c r="BF282" i="10"/>
  <c r="BE282" i="10"/>
  <c r="AS282" i="10"/>
  <c r="AR282" i="10"/>
  <c r="AQ282" i="10"/>
  <c r="BG281" i="10"/>
  <c r="BF281" i="10"/>
  <c r="BE281" i="10"/>
  <c r="AS281" i="10"/>
  <c r="AR281" i="10"/>
  <c r="AQ281" i="10"/>
  <c r="BG280" i="10"/>
  <c r="BF280" i="10"/>
  <c r="BE280" i="10"/>
  <c r="AS280" i="10"/>
  <c r="AR280" i="10"/>
  <c r="AQ280" i="10"/>
  <c r="BG279" i="10"/>
  <c r="BF279" i="10"/>
  <c r="BE279" i="10"/>
  <c r="AS279" i="10"/>
  <c r="AR279" i="10"/>
  <c r="AQ279" i="10"/>
  <c r="BG278" i="10"/>
  <c r="BF278" i="10"/>
  <c r="BE278" i="10"/>
  <c r="AS278" i="10"/>
  <c r="AR278" i="10"/>
  <c r="AQ278" i="10"/>
  <c r="BG277" i="10"/>
  <c r="BF277" i="10"/>
  <c r="BE277" i="10"/>
  <c r="AS277" i="10"/>
  <c r="AR277" i="10"/>
  <c r="AQ277" i="10"/>
  <c r="BG276" i="10"/>
  <c r="BF276" i="10"/>
  <c r="BE276" i="10"/>
  <c r="AS276" i="10"/>
  <c r="AR276" i="10"/>
  <c r="AQ276" i="10"/>
  <c r="BG275" i="10"/>
  <c r="BF275" i="10"/>
  <c r="BE275" i="10"/>
  <c r="AS275" i="10"/>
  <c r="AR275" i="10"/>
  <c r="AQ275" i="10"/>
  <c r="BG274" i="10"/>
  <c r="BF274" i="10"/>
  <c r="BE274" i="10"/>
  <c r="AS274" i="10"/>
  <c r="AR274" i="10"/>
  <c r="AQ274" i="10"/>
  <c r="BG238" i="10"/>
  <c r="BF238" i="10"/>
  <c r="BE238" i="10"/>
  <c r="AS238" i="10"/>
  <c r="AR238" i="10"/>
  <c r="AQ238" i="10"/>
  <c r="BG237" i="10"/>
  <c r="BF237" i="10"/>
  <c r="BE237" i="10"/>
  <c r="AS237" i="10"/>
  <c r="AR237" i="10"/>
  <c r="AQ237" i="10"/>
  <c r="BG236" i="10"/>
  <c r="BF236" i="10"/>
  <c r="BE236" i="10"/>
  <c r="AS236" i="10"/>
  <c r="AR236" i="10"/>
  <c r="AQ236" i="10"/>
  <c r="BG235" i="10"/>
  <c r="BF235" i="10"/>
  <c r="BE235" i="10"/>
  <c r="AS235" i="10"/>
  <c r="AR235" i="10"/>
  <c r="AQ235" i="10"/>
  <c r="BG234" i="10"/>
  <c r="BF234" i="10"/>
  <c r="BE234" i="10"/>
  <c r="AS234" i="10"/>
  <c r="AR234" i="10"/>
  <c r="AQ234" i="10"/>
  <c r="BG233" i="10"/>
  <c r="BF233" i="10"/>
  <c r="BE233" i="10"/>
  <c r="AS233" i="10"/>
  <c r="AR233" i="10"/>
  <c r="AQ233" i="10"/>
  <c r="BG232" i="10"/>
  <c r="BF232" i="10"/>
  <c r="BE232" i="10"/>
  <c r="AS232" i="10"/>
  <c r="AR232" i="10"/>
  <c r="AQ232" i="10"/>
  <c r="BG231" i="10"/>
  <c r="BF231" i="10"/>
  <c r="BE231" i="10"/>
  <c r="AS231" i="10"/>
  <c r="AR231" i="10"/>
  <c r="AQ231" i="10"/>
  <c r="BG230" i="10"/>
  <c r="BF230" i="10"/>
  <c r="BE230" i="10"/>
  <c r="AS230" i="10"/>
  <c r="AR230" i="10"/>
  <c r="AQ230" i="10"/>
  <c r="BG229" i="10"/>
  <c r="BF229" i="10"/>
  <c r="BE229" i="10"/>
  <c r="AS229" i="10"/>
  <c r="AR229" i="10"/>
  <c r="AQ229" i="10"/>
  <c r="BG193" i="10"/>
  <c r="BF193" i="10"/>
  <c r="BE193" i="10"/>
  <c r="AS193" i="10"/>
  <c r="AR193" i="10"/>
  <c r="AQ193" i="10"/>
  <c r="BG192" i="10"/>
  <c r="BF192" i="10"/>
  <c r="BE192" i="10"/>
  <c r="AS192" i="10"/>
  <c r="AR192" i="10"/>
  <c r="AQ192" i="10"/>
  <c r="BG191" i="10"/>
  <c r="BF191" i="10"/>
  <c r="BE191" i="10"/>
  <c r="AS191" i="10"/>
  <c r="AR191" i="10"/>
  <c r="AQ191" i="10"/>
  <c r="BG190" i="10"/>
  <c r="BF190" i="10"/>
  <c r="BE190" i="10"/>
  <c r="AS190" i="10"/>
  <c r="AR190" i="10"/>
  <c r="AQ190" i="10"/>
  <c r="BG189" i="10"/>
  <c r="BF189" i="10"/>
  <c r="BE189" i="10"/>
  <c r="AS189" i="10"/>
  <c r="AR189" i="10"/>
  <c r="AQ189" i="10"/>
  <c r="BG188" i="10"/>
  <c r="BF188" i="10"/>
  <c r="BE188" i="10"/>
  <c r="AS188" i="10"/>
  <c r="AR188" i="10"/>
  <c r="AQ188" i="10"/>
  <c r="BG187" i="10"/>
  <c r="BF187" i="10"/>
  <c r="BE187" i="10"/>
  <c r="AS187" i="10"/>
  <c r="AR187" i="10"/>
  <c r="AQ187" i="10"/>
  <c r="BG186" i="10"/>
  <c r="BF186" i="10"/>
  <c r="BE186" i="10"/>
  <c r="AS186" i="10"/>
  <c r="AR186" i="10"/>
  <c r="AQ186" i="10"/>
  <c r="BG185" i="10"/>
  <c r="BF185" i="10"/>
  <c r="BE185" i="10"/>
  <c r="AS185" i="10"/>
  <c r="AR185" i="10"/>
  <c r="AQ185" i="10"/>
  <c r="BG184" i="10"/>
  <c r="BF184" i="10"/>
  <c r="BE184" i="10"/>
  <c r="AS184" i="10"/>
  <c r="AR184" i="10"/>
  <c r="AQ184" i="10"/>
  <c r="S135" i="10"/>
  <c r="R135" i="10"/>
  <c r="Q135" i="10"/>
  <c r="P135" i="10"/>
  <c r="O135" i="10"/>
  <c r="BG134" i="10"/>
  <c r="BF134" i="10"/>
  <c r="BE134" i="10"/>
  <c r="AS134" i="10"/>
  <c r="AR134" i="10"/>
  <c r="AQ134" i="10"/>
  <c r="S134" i="10"/>
  <c r="R134" i="10"/>
  <c r="Q134" i="10"/>
  <c r="P134" i="10"/>
  <c r="O134" i="10"/>
  <c r="BG133" i="10"/>
  <c r="BF133" i="10"/>
  <c r="BE133" i="10"/>
  <c r="AS133" i="10"/>
  <c r="AR133" i="10"/>
  <c r="AQ133" i="10"/>
  <c r="S133" i="10"/>
  <c r="R133" i="10"/>
  <c r="Q133" i="10"/>
  <c r="P133" i="10"/>
  <c r="O133" i="10"/>
  <c r="BG132" i="10"/>
  <c r="BF132" i="10"/>
  <c r="BE132" i="10"/>
  <c r="AS132" i="10"/>
  <c r="AR132" i="10"/>
  <c r="AQ132" i="10"/>
  <c r="S132" i="10"/>
  <c r="R132" i="10"/>
  <c r="Q132" i="10"/>
  <c r="P132" i="10"/>
  <c r="O132" i="10"/>
  <c r="BG131" i="10"/>
  <c r="BF131" i="10"/>
  <c r="BE131" i="10"/>
  <c r="AS131" i="10"/>
  <c r="AR131" i="10"/>
  <c r="AQ131" i="10"/>
  <c r="S131" i="10"/>
  <c r="R131" i="10"/>
  <c r="Q131" i="10"/>
  <c r="P131" i="10"/>
  <c r="O131" i="10"/>
  <c r="BG130" i="10"/>
  <c r="BF130" i="10"/>
  <c r="BE130" i="10"/>
  <c r="AS130" i="10"/>
  <c r="AR130" i="10"/>
  <c r="AQ130" i="10"/>
  <c r="S130" i="10"/>
  <c r="R130" i="10"/>
  <c r="Q130" i="10"/>
  <c r="P130" i="10"/>
  <c r="O130" i="10"/>
  <c r="BG129" i="10"/>
  <c r="BF129" i="10"/>
  <c r="BE129" i="10"/>
  <c r="AS129" i="10"/>
  <c r="AR129" i="10"/>
  <c r="AQ129" i="10"/>
  <c r="S129" i="10"/>
  <c r="R129" i="10"/>
  <c r="Q129" i="10"/>
  <c r="P129" i="10"/>
  <c r="O129" i="10"/>
  <c r="BG128" i="10"/>
  <c r="BF128" i="10"/>
  <c r="BE128" i="10"/>
  <c r="AS128" i="10"/>
  <c r="AR128" i="10"/>
  <c r="AQ128" i="10"/>
  <c r="R128" i="10"/>
  <c r="Q128" i="10"/>
  <c r="P128" i="10"/>
  <c r="O128" i="10"/>
  <c r="BG127" i="10"/>
  <c r="BF127" i="10"/>
  <c r="BE127" i="10"/>
  <c r="AS127" i="10"/>
  <c r="AR127" i="10"/>
  <c r="AQ127" i="10"/>
  <c r="R127" i="10"/>
  <c r="Q127" i="10"/>
  <c r="P127" i="10"/>
  <c r="O127" i="10"/>
  <c r="BG126" i="10"/>
  <c r="BF126" i="10"/>
  <c r="BE126" i="10"/>
  <c r="AS126" i="10"/>
  <c r="AR126" i="10"/>
  <c r="AQ126" i="10"/>
  <c r="R126" i="10"/>
  <c r="Q126" i="10"/>
  <c r="P126" i="10"/>
  <c r="O126" i="10"/>
  <c r="BG125" i="10"/>
  <c r="BF125" i="10"/>
  <c r="BE125" i="10"/>
  <c r="AS125" i="10"/>
  <c r="AR125" i="10"/>
  <c r="AQ125" i="10"/>
  <c r="R125" i="10"/>
  <c r="Q125" i="10"/>
  <c r="P125" i="10"/>
  <c r="O125" i="10"/>
  <c r="O80" i="10"/>
  <c r="P6" i="11"/>
  <c r="N6" i="11"/>
  <c r="L6" i="11"/>
  <c r="K16" i="10"/>
  <c r="J16" i="10"/>
  <c r="E9" i="55"/>
  <c r="E7" i="55" s="1"/>
  <c r="E7" i="107" s="1"/>
  <c r="E10" i="107" s="1"/>
  <c r="D39" i="107" s="1"/>
  <c r="F8" i="52"/>
  <c r="F10" i="54"/>
  <c r="F13" i="54"/>
  <c r="G9" i="52"/>
  <c r="G11" i="54" s="1"/>
  <c r="F15" i="54"/>
  <c r="F11" i="54"/>
  <c r="L16" i="10"/>
  <c r="E16" i="10"/>
  <c r="H16" i="10"/>
  <c r="I24" i="121"/>
  <c r="I28" i="121" s="1"/>
  <c r="E12" i="55"/>
  <c r="M16" i="10"/>
  <c r="G16" i="10"/>
  <c r="F12" i="6"/>
  <c r="I16" i="10"/>
  <c r="F16" i="10"/>
  <c r="E12" i="105"/>
  <c r="E17" i="116"/>
  <c r="F12" i="105"/>
  <c r="G16" i="81"/>
  <c r="M9" i="10"/>
  <c r="G9" i="10"/>
  <c r="F14" i="54"/>
  <c r="K23" i="122"/>
  <c r="F19" i="116"/>
  <c r="H11" i="10"/>
  <c r="K11" i="10"/>
  <c r="H31" i="107"/>
  <c r="D32" i="107"/>
  <c r="F11" i="115"/>
  <c r="F11" i="114"/>
  <c r="F11" i="10"/>
  <c r="G11" i="10"/>
  <c r="J11" i="10"/>
  <c r="F7" i="6"/>
  <c r="I11" i="10"/>
  <c r="F21" i="106"/>
  <c r="L11" i="10"/>
  <c r="F27" i="6"/>
  <c r="F7" i="82"/>
  <c r="E14" i="105"/>
  <c r="E11" i="10"/>
  <c r="F7" i="106"/>
  <c r="E19" i="116"/>
  <c r="F14" i="105"/>
  <c r="G14" i="110"/>
  <c r="G77" i="110" s="1"/>
  <c r="G39" i="110"/>
  <c r="G78" i="110" s="1"/>
  <c r="H16" i="108"/>
  <c r="F7" i="114" s="1"/>
  <c r="F6" i="115" s="1"/>
  <c r="D7" i="55"/>
  <c r="D16" i="55" s="1"/>
  <c r="E28" i="126"/>
  <c r="G16" i="128"/>
  <c r="F7" i="129"/>
  <c r="M11" i="10"/>
  <c r="F5" i="129"/>
  <c r="F16" i="128"/>
  <c r="G63" i="110"/>
  <c r="G79" i="110" s="1"/>
  <c r="A3" i="77"/>
  <c r="A4" i="21"/>
  <c r="A3" i="2"/>
  <c r="A3" i="129"/>
  <c r="A3" i="32"/>
  <c r="F9" i="82"/>
  <c r="J14" i="10"/>
  <c r="M14" i="10"/>
  <c r="F24" i="126"/>
  <c r="K14" i="10"/>
  <c r="G14" i="128"/>
  <c r="G14" i="10"/>
  <c r="F10" i="6"/>
  <c r="L14" i="10"/>
  <c r="I14" i="10"/>
  <c r="H14" i="10"/>
  <c r="F9" i="106"/>
  <c r="F9" i="129"/>
  <c r="E24" i="116"/>
  <c r="E18" i="105"/>
  <c r="F14" i="10"/>
  <c r="E14" i="10"/>
  <c r="E24" i="126"/>
  <c r="A3" i="4"/>
  <c r="A3" i="33"/>
  <c r="B74" i="110"/>
  <c r="A3" i="80"/>
  <c r="B52" i="110"/>
  <c r="A3" i="73"/>
  <c r="E19" i="81"/>
  <c r="F15" i="128"/>
  <c r="L10" i="10"/>
  <c r="F19" i="128"/>
  <c r="H10" i="8"/>
  <c r="F19" i="81"/>
  <c r="E16" i="128"/>
  <c r="E26" i="116"/>
  <c r="E10" i="10"/>
  <c r="F26" i="6"/>
  <c r="F10" i="10"/>
  <c r="I15" i="10"/>
  <c r="F20" i="106"/>
  <c r="H10" i="10"/>
  <c r="F6" i="6"/>
  <c r="F15" i="10"/>
  <c r="F27" i="81"/>
  <c r="K10" i="10"/>
  <c r="I10" i="10"/>
  <c r="F28" i="82"/>
  <c r="D36" i="74"/>
  <c r="G24" i="130"/>
  <c r="H24" i="130" s="1"/>
  <c r="I24" i="130" s="1"/>
  <c r="E21" i="130"/>
  <c r="F21" i="130" s="1"/>
  <c r="G21" i="130"/>
  <c r="H21" i="130" s="1"/>
  <c r="I21" i="130" s="1"/>
  <c r="E16" i="130"/>
  <c r="F16" i="130" s="1"/>
  <c r="E24" i="130"/>
  <c r="F24" i="130" s="1"/>
  <c r="G16" i="130"/>
  <c r="H16" i="130" s="1"/>
  <c r="I16" i="130" s="1"/>
  <c r="G23" i="130"/>
  <c r="H23" i="130" s="1"/>
  <c r="I23" i="130" s="1"/>
  <c r="G17" i="130"/>
  <c r="H17" i="130" s="1"/>
  <c r="I17" i="130" s="1"/>
  <c r="E23" i="130"/>
  <c r="F23" i="130" s="1"/>
  <c r="G11" i="79"/>
  <c r="H11" i="79" s="1"/>
  <c r="G6" i="79"/>
  <c r="H6" i="79" s="1"/>
  <c r="G29" i="79"/>
  <c r="H29" i="79" s="1"/>
  <c r="G34" i="79"/>
  <c r="H34" i="79" s="1"/>
  <c r="G38" i="79"/>
  <c r="H38" i="79" s="1"/>
  <c r="G10" i="79"/>
  <c r="H10" i="79" s="1"/>
  <c r="G8" i="79"/>
  <c r="H8" i="79" s="1"/>
  <c r="G28" i="79"/>
  <c r="H28" i="79" s="1"/>
  <c r="H36" i="30"/>
  <c r="G10" i="52"/>
  <c r="G12" i="54" s="1"/>
  <c r="AN3" i="13"/>
  <c r="A2" i="33"/>
  <c r="A2" i="5"/>
  <c r="A2" i="43"/>
  <c r="A2" i="129"/>
  <c r="A2" i="74"/>
  <c r="A2" i="107"/>
  <c r="A2" i="88"/>
  <c r="A44" i="79"/>
  <c r="A2" i="98"/>
  <c r="A3" i="84"/>
  <c r="B2" i="130"/>
  <c r="B73" i="110"/>
  <c r="A2" i="77"/>
  <c r="A2" i="40"/>
  <c r="A3" i="85"/>
  <c r="A2" i="19"/>
  <c r="A2" i="126"/>
  <c r="A3" i="86"/>
  <c r="A2" i="44"/>
  <c r="A3" i="36"/>
  <c r="B51" i="110"/>
  <c r="A2" i="123"/>
  <c r="A2" i="81"/>
  <c r="A2" i="41"/>
  <c r="A2" i="28"/>
  <c r="A2" i="87"/>
  <c r="A3" i="13"/>
  <c r="A2" i="76"/>
  <c r="A3" i="21"/>
  <c r="A2" i="17"/>
  <c r="B2" i="115"/>
  <c r="A3" i="103"/>
  <c r="A2" i="124"/>
  <c r="A2" i="26"/>
  <c r="A2" i="31"/>
  <c r="A2" i="102"/>
  <c r="A2" i="116"/>
  <c r="A2" i="7"/>
  <c r="A2" i="39"/>
  <c r="A3" i="14"/>
  <c r="A2" i="34"/>
  <c r="A2" i="99"/>
  <c r="A4" i="85"/>
  <c r="A3" i="26"/>
  <c r="A3" i="98"/>
  <c r="A3" i="42"/>
  <c r="A3" i="104"/>
  <c r="A3" i="39"/>
  <c r="A3" i="30"/>
  <c r="A3" i="128"/>
  <c r="A3" i="76"/>
  <c r="A45" i="79"/>
  <c r="A3" i="107"/>
  <c r="A4" i="103"/>
  <c r="A4" i="83"/>
  <c r="AN4" i="13"/>
  <c r="A4" i="36"/>
  <c r="A3" i="102"/>
  <c r="E20" i="105"/>
  <c r="E14" i="81"/>
  <c r="H9" i="10"/>
  <c r="E14" i="128"/>
  <c r="A2" i="80"/>
  <c r="B2" i="111"/>
  <c r="A2" i="54"/>
  <c r="A2" i="12"/>
  <c r="A2" i="35"/>
  <c r="A3" i="23"/>
  <c r="A2" i="128"/>
  <c r="A2" i="29"/>
  <c r="A2" i="18"/>
  <c r="A2" i="106"/>
  <c r="A24" i="79"/>
  <c r="B2" i="127"/>
  <c r="A2" i="105"/>
  <c r="A3" i="37"/>
  <c r="A2" i="6"/>
  <c r="A2" i="32"/>
  <c r="A2" i="8"/>
  <c r="A2" i="42"/>
  <c r="A2" i="97"/>
  <c r="A2" i="30"/>
  <c r="E15" i="81"/>
  <c r="E15" i="128"/>
  <c r="F6" i="82"/>
  <c r="D10" i="7"/>
  <c r="K15" i="10"/>
  <c r="F11" i="6"/>
  <c r="E34" i="6"/>
  <c r="F26" i="126"/>
  <c r="G15" i="10"/>
  <c r="H15" i="10"/>
  <c r="F18" i="116"/>
  <c r="B2" i="114"/>
  <c r="Q3" i="13"/>
  <c r="F17" i="116"/>
  <c r="K9" i="10"/>
  <c r="F5" i="106"/>
  <c r="F25" i="6"/>
  <c r="F29" i="6" s="1"/>
  <c r="F9" i="10"/>
  <c r="L15" i="10"/>
  <c r="J15" i="10"/>
  <c r="E26" i="128"/>
  <c r="E27" i="106"/>
  <c r="M15" i="10"/>
  <c r="E26" i="126"/>
  <c r="G14" i="81"/>
  <c r="L9" i="10"/>
  <c r="F5" i="6"/>
  <c r="A2" i="49"/>
  <c r="A2" i="125"/>
  <c r="A2" i="78"/>
  <c r="B2" i="108"/>
  <c r="AC3" i="13"/>
  <c r="A2" i="2"/>
  <c r="A2" i="73"/>
  <c r="A2" i="82"/>
  <c r="B27" i="110"/>
  <c r="A2" i="24"/>
  <c r="A2" i="4"/>
  <c r="B2" i="110"/>
  <c r="A2" i="1"/>
  <c r="A2" i="3"/>
  <c r="A2" i="52"/>
  <c r="I3" i="13"/>
  <c r="A2" i="117"/>
  <c r="A2" i="79"/>
  <c r="A2" i="15"/>
  <c r="A3" i="83"/>
  <c r="A2" i="95"/>
  <c r="E18" i="116"/>
  <c r="E13" i="105"/>
  <c r="F6" i="129"/>
  <c r="F27" i="129"/>
  <c r="E15" i="10"/>
  <c r="E27" i="81"/>
  <c r="F6" i="106"/>
  <c r="F13" i="105"/>
  <c r="F15" i="105" s="1"/>
  <c r="G15" i="128"/>
  <c r="M10" i="10"/>
  <c r="G10" i="10"/>
  <c r="A2" i="104"/>
  <c r="F14" i="128"/>
  <c r="E9" i="10"/>
  <c r="F19" i="106"/>
  <c r="F27" i="106" s="1"/>
  <c r="J9" i="10"/>
  <c r="F5" i="82"/>
  <c r="I9" i="10"/>
  <c r="F26" i="129"/>
  <c r="A3" i="106"/>
  <c r="A3" i="123"/>
  <c r="A3" i="44"/>
  <c r="A3" i="125"/>
  <c r="B3" i="115"/>
  <c r="B28" i="110"/>
  <c r="A3" i="41"/>
  <c r="A3" i="7"/>
  <c r="I4" i="13"/>
  <c r="A3" i="15"/>
  <c r="A3" i="17"/>
  <c r="A3" i="34"/>
  <c r="A3" i="99"/>
  <c r="A3" i="49"/>
  <c r="A3" i="87"/>
  <c r="A3" i="126"/>
  <c r="A3" i="95"/>
  <c r="A3" i="124"/>
  <c r="A3" i="88"/>
  <c r="A3" i="29"/>
  <c r="Q4" i="13"/>
  <c r="B3" i="130"/>
  <c r="A3" i="24"/>
  <c r="A3" i="81"/>
  <c r="A3" i="12"/>
  <c r="A3" i="31"/>
  <c r="A3" i="43"/>
  <c r="B3" i="109"/>
  <c r="B3" i="110"/>
  <c r="A3" i="18"/>
  <c r="A4" i="14"/>
  <c r="A4" i="13"/>
  <c r="B3" i="111"/>
  <c r="A3" i="6"/>
  <c r="A3" i="28"/>
  <c r="B3" i="127"/>
  <c r="A3" i="79"/>
  <c r="A3" i="82"/>
  <c r="A4" i="84"/>
  <c r="A3" i="1"/>
  <c r="A3" i="40"/>
  <c r="A3" i="116"/>
  <c r="A4" i="37"/>
  <c r="A4" i="86"/>
  <c r="A3" i="35"/>
  <c r="A3" i="78"/>
  <c r="A3" i="97"/>
  <c r="AC4" i="13"/>
  <c r="A3" i="19"/>
  <c r="A3" i="54"/>
  <c r="A3" i="5"/>
  <c r="A3" i="74"/>
  <c r="A3" i="117"/>
  <c r="B3" i="114"/>
  <c r="A25" i="79"/>
  <c r="A4" i="23"/>
  <c r="A3" i="105"/>
  <c r="A3" i="8"/>
  <c r="A3" i="52"/>
  <c r="F20" i="105"/>
  <c r="G17" i="128"/>
  <c r="G8" i="8"/>
  <c r="G14" i="8" s="1"/>
  <c r="H9" i="130" s="1"/>
  <c r="H10" i="127"/>
  <c r="H30" i="73"/>
  <c r="G33" i="79"/>
  <c r="H33" i="79" s="1"/>
  <c r="G7" i="79"/>
  <c r="H7" i="79" s="1"/>
  <c r="G16" i="79"/>
  <c r="H16" i="79" s="1"/>
  <c r="G9" i="79"/>
  <c r="H9" i="79" s="1"/>
  <c r="G37" i="79"/>
  <c r="H37" i="79" s="1"/>
  <c r="G35" i="79"/>
  <c r="H35" i="79" s="1"/>
  <c r="G14" i="79"/>
  <c r="H14" i="79" s="1"/>
  <c r="G13" i="79"/>
  <c r="H13" i="79" s="1"/>
  <c r="G36" i="79"/>
  <c r="H36" i="79" s="1"/>
  <c r="G12" i="79"/>
  <c r="H12" i="79" s="1"/>
  <c r="F12" i="115"/>
  <c r="F13" i="115"/>
  <c r="G162" i="10"/>
  <c r="G150" i="10"/>
  <c r="H156" i="10"/>
  <c r="H167" i="10"/>
  <c r="H147" i="10"/>
  <c r="H140" i="10"/>
  <c r="J158" i="10"/>
  <c r="H135" i="10"/>
  <c r="J126" i="10"/>
  <c r="J132" i="10"/>
  <c r="G165" i="10"/>
  <c r="I138" i="10"/>
  <c r="G152" i="10"/>
  <c r="J136" i="10"/>
  <c r="G140" i="10"/>
  <c r="H144" i="10"/>
  <c r="I152" i="10"/>
  <c r="J147" i="10"/>
  <c r="G138" i="10"/>
  <c r="G145" i="10"/>
  <c r="I145" i="10"/>
  <c r="I136" i="10"/>
  <c r="I159" i="10"/>
  <c r="J153" i="10"/>
  <c r="I118" i="10"/>
  <c r="G125" i="10"/>
  <c r="H126" i="10"/>
  <c r="J160" i="10"/>
  <c r="G135" i="10"/>
  <c r="H161" i="10"/>
  <c r="I132" i="10"/>
  <c r="G169" i="10"/>
  <c r="J145" i="10"/>
  <c r="H164" i="10"/>
  <c r="I150" i="10"/>
  <c r="H132" i="10"/>
  <c r="J159" i="10"/>
  <c r="G156" i="10"/>
  <c r="H133" i="10"/>
  <c r="H152" i="10"/>
  <c r="J152" i="10"/>
  <c r="G134" i="10"/>
  <c r="G120" i="10"/>
  <c r="H148" i="10"/>
  <c r="H134" i="10"/>
  <c r="J161" i="10"/>
  <c r="I144" i="10"/>
  <c r="J135" i="10"/>
  <c r="I156" i="10"/>
  <c r="I158" i="10"/>
  <c r="G126" i="10"/>
  <c r="J138" i="10"/>
  <c r="F172" i="10"/>
  <c r="I153" i="10"/>
  <c r="I140" i="10"/>
  <c r="G167" i="10"/>
  <c r="G122" i="10"/>
  <c r="I161" i="10"/>
  <c r="J146" i="10"/>
  <c r="I155" i="10"/>
  <c r="J155" i="10"/>
  <c r="G164" i="10"/>
  <c r="I148" i="10"/>
  <c r="I160" i="10"/>
  <c r="J156" i="10"/>
  <c r="G155" i="10"/>
  <c r="Q46" i="130"/>
  <c r="K46" i="130"/>
  <c r="Q44" i="130"/>
  <c r="Q45" i="130"/>
  <c r="Q37" i="130"/>
  <c r="P45" i="130"/>
  <c r="A14" i="49"/>
  <c r="K45" i="130"/>
  <c r="H165" i="10"/>
  <c r="H141" i="10"/>
  <c r="G141" i="10"/>
  <c r="J122" i="10"/>
  <c r="J148" i="10"/>
  <c r="H145" i="10"/>
  <c r="J120" i="10"/>
  <c r="I120" i="10"/>
  <c r="H151" i="10"/>
  <c r="I141" i="10"/>
  <c r="G158" i="10"/>
  <c r="J151" i="10"/>
  <c r="G148" i="10"/>
  <c r="G136" i="10"/>
  <c r="G161" i="10"/>
  <c r="H155" i="10"/>
  <c r="G153" i="10"/>
  <c r="H118" i="10"/>
  <c r="I135" i="10"/>
  <c r="I139" i="10"/>
  <c r="H122" i="10"/>
  <c r="G146" i="10"/>
  <c r="H162" i="10"/>
  <c r="H136" i="10"/>
  <c r="H153" i="10"/>
  <c r="J141" i="10"/>
  <c r="H159" i="10"/>
  <c r="J118" i="10"/>
  <c r="J140" i="10"/>
  <c r="H168" i="10"/>
  <c r="J133" i="10"/>
  <c r="G118" i="10"/>
  <c r="I142" i="10"/>
  <c r="G160" i="10"/>
  <c r="H169" i="10"/>
  <c r="G151" i="10"/>
  <c r="J150" i="10"/>
  <c r="H150" i="10"/>
  <c r="G159" i="10"/>
  <c r="G147" i="10"/>
  <c r="H138" i="10"/>
  <c r="H142" i="10"/>
  <c r="H158" i="10"/>
  <c r="G133" i="10"/>
  <c r="J134" i="10"/>
  <c r="H160" i="10"/>
  <c r="J142" i="10"/>
  <c r="I126" i="10"/>
  <c r="G139" i="10"/>
  <c r="J144" i="10"/>
  <c r="I162" i="10"/>
  <c r="G168" i="10"/>
  <c r="G144" i="10"/>
  <c r="H146" i="10"/>
  <c r="I151" i="10"/>
  <c r="G142" i="10"/>
  <c r="G132" i="10"/>
  <c r="I134" i="10"/>
  <c r="I147" i="10"/>
  <c r="I146" i="10"/>
  <c r="H139" i="10"/>
  <c r="I122" i="10"/>
  <c r="I133" i="10"/>
  <c r="H120" i="10"/>
  <c r="J139" i="10"/>
  <c r="P37" i="130"/>
  <c r="F170" i="10"/>
  <c r="K37" i="130"/>
  <c r="K38" i="127"/>
  <c r="P46" i="130"/>
  <c r="P44" i="130"/>
  <c r="K44" i="130"/>
  <c r="F171" i="10"/>
  <c r="G9" i="130" l="1"/>
  <c r="G10" i="127"/>
  <c r="F29" i="129"/>
  <c r="D40" i="107"/>
  <c r="AA78" i="1"/>
  <c r="AC78" i="1"/>
  <c r="I86" i="2"/>
  <c r="E17" i="3" s="1"/>
  <c r="G17" i="3" s="1"/>
  <c r="F22" i="106"/>
  <c r="AZ64" i="1"/>
  <c r="F71" i="2" s="1"/>
  <c r="AZ52" i="1"/>
  <c r="F49" i="2" s="1"/>
  <c r="AZ54" i="1"/>
  <c r="F58" i="2" s="1"/>
  <c r="O64" i="1"/>
  <c r="L64" i="1"/>
  <c r="N64" i="1"/>
  <c r="M64" i="1"/>
  <c r="AW64" i="1"/>
  <c r="AW78" i="1" s="1"/>
  <c r="AX64" i="1"/>
  <c r="AX78" i="1" s="1"/>
  <c r="AV64" i="1"/>
  <c r="AV78" i="1" s="1"/>
  <c r="AY64" i="1"/>
  <c r="AY78" i="1" s="1"/>
  <c r="AZ75" i="1"/>
  <c r="F97" i="2" s="1"/>
  <c r="AZ8" i="1"/>
  <c r="F7" i="2" s="1"/>
  <c r="I9" i="2" s="1"/>
  <c r="E29" i="3" s="1"/>
  <c r="G29" i="3" s="1"/>
  <c r="AZ36" i="1"/>
  <c r="F16" i="2" s="1"/>
  <c r="I18" i="2" s="1"/>
  <c r="E30" i="3" s="1"/>
  <c r="G30" i="3" s="1"/>
  <c r="AZ39" i="1"/>
  <c r="F19" i="2" s="1"/>
  <c r="AZ43" i="1"/>
  <c r="F30" i="2" s="1"/>
  <c r="AZ47" i="1"/>
  <c r="F41" i="2" s="1"/>
  <c r="J86" i="2"/>
  <c r="H17" i="3" s="1"/>
  <c r="I17" i="3" s="1"/>
  <c r="J87" i="2"/>
  <c r="H18" i="3" s="1"/>
  <c r="I18" i="3" s="1"/>
  <c r="O47" i="1"/>
  <c r="L47" i="1"/>
  <c r="M47" i="1"/>
  <c r="N47" i="1"/>
  <c r="F21" i="116"/>
  <c r="S231" i="10"/>
  <c r="S215" i="10"/>
  <c r="H8" i="8"/>
  <c r="H14" i="8" s="1"/>
  <c r="G15" i="79"/>
  <c r="H15" i="79" s="1"/>
  <c r="G17" i="81"/>
  <c r="G31" i="79"/>
  <c r="H31" i="79" s="1"/>
  <c r="G30" i="79"/>
  <c r="H30" i="79" s="1"/>
  <c r="G80" i="110"/>
  <c r="G23" i="127"/>
  <c r="H23" i="127" s="1"/>
  <c r="I23" i="127" s="1"/>
  <c r="G22" i="130"/>
  <c r="H22" i="130" s="1"/>
  <c r="I22" i="130" s="1"/>
  <c r="L36" i="1"/>
  <c r="M36" i="1"/>
  <c r="N36" i="1"/>
  <c r="O36" i="1"/>
  <c r="L43" i="1"/>
  <c r="M43" i="1"/>
  <c r="N43" i="1"/>
  <c r="O43" i="1"/>
  <c r="L52" i="1"/>
  <c r="M52" i="1"/>
  <c r="N52" i="1"/>
  <c r="O52" i="1"/>
  <c r="L59" i="1"/>
  <c r="M59" i="1"/>
  <c r="N59" i="1"/>
  <c r="O59" i="1"/>
  <c r="L69" i="1"/>
  <c r="M69" i="1"/>
  <c r="N69" i="1"/>
  <c r="O69" i="1"/>
  <c r="L75" i="1"/>
  <c r="M75" i="1"/>
  <c r="N75" i="1"/>
  <c r="O75" i="1"/>
  <c r="N39" i="1"/>
  <c r="O39" i="1"/>
  <c r="L39" i="1"/>
  <c r="M39" i="1"/>
  <c r="N54" i="1"/>
  <c r="O54" i="1"/>
  <c r="L54" i="1"/>
  <c r="M54" i="1"/>
  <c r="N8" i="1"/>
  <c r="O8" i="1"/>
  <c r="L8" i="1"/>
  <c r="M8" i="1"/>
  <c r="E19" i="128"/>
  <c r="G38" i="127"/>
  <c r="H38" i="127" s="1"/>
  <c r="I38" i="127" s="1"/>
  <c r="E38" i="127"/>
  <c r="F38" i="127" s="1"/>
  <c r="E46" i="130"/>
  <c r="F46" i="130" s="1"/>
  <c r="G46" i="130"/>
  <c r="I46" i="130" s="1"/>
  <c r="F153" i="10"/>
  <c r="F118" i="10"/>
  <c r="F168" i="10"/>
  <c r="F169" i="10"/>
  <c r="G37" i="130"/>
  <c r="H37" i="130" s="1"/>
  <c r="I37" i="130" s="1"/>
  <c r="E37" i="130"/>
  <c r="F37" i="130" s="1"/>
  <c r="I143" i="10"/>
  <c r="I129" i="10" s="1"/>
  <c r="H143" i="10"/>
  <c r="H129" i="10" s="1"/>
  <c r="I131" i="10"/>
  <c r="I123" i="10" s="1"/>
  <c r="F161" i="10"/>
  <c r="F140" i="10"/>
  <c r="E44" i="130"/>
  <c r="F44" i="130" s="1"/>
  <c r="G44" i="130"/>
  <c r="I44" i="130" s="1"/>
  <c r="F136" i="10"/>
  <c r="J137" i="10"/>
  <c r="F135" i="10"/>
  <c r="F148" i="10"/>
  <c r="F155" i="10"/>
  <c r="F152" i="10"/>
  <c r="H131" i="10"/>
  <c r="H123" i="10" s="1"/>
  <c r="F160" i="10"/>
  <c r="F133" i="10"/>
  <c r="I137" i="10"/>
  <c r="F126" i="10"/>
  <c r="F158" i="10"/>
  <c r="E45" i="130"/>
  <c r="F45" i="130" s="1"/>
  <c r="G45" i="130"/>
  <c r="H45" i="130" s="1"/>
  <c r="I45" i="130" s="1"/>
  <c r="F165" i="10"/>
  <c r="H163" i="10"/>
  <c r="F132" i="10"/>
  <c r="G131" i="10"/>
  <c r="F120" i="10"/>
  <c r="J131" i="10"/>
  <c r="J123" i="10" s="1"/>
  <c r="F125" i="10"/>
  <c r="J143" i="10"/>
  <c r="J129" i="10" s="1"/>
  <c r="F134" i="10"/>
  <c r="F122" i="10"/>
  <c r="H137" i="10"/>
  <c r="G143" i="10"/>
  <c r="F144" i="10"/>
  <c r="F142" i="10"/>
  <c r="F147" i="10"/>
  <c r="F139" i="10"/>
  <c r="F159" i="10"/>
  <c r="F146" i="10"/>
  <c r="G166" i="10"/>
  <c r="F166" i="10" s="1"/>
  <c r="F167" i="10"/>
  <c r="H166" i="10"/>
  <c r="F141" i="10"/>
  <c r="F156" i="10"/>
  <c r="G163" i="10"/>
  <c r="F163" i="10" s="1"/>
  <c r="F164" i="10"/>
  <c r="G137" i="10"/>
  <c r="F138" i="10"/>
  <c r="F150" i="10"/>
  <c r="F145" i="10"/>
  <c r="F162" i="10"/>
  <c r="F151" i="10"/>
  <c r="D41" i="107"/>
  <c r="H17" i="79"/>
  <c r="G39" i="107"/>
  <c r="G40" i="107" s="1"/>
  <c r="F39" i="107"/>
  <c r="F40" i="107" s="1"/>
  <c r="G13" i="54"/>
  <c r="G8" i="52"/>
  <c r="G10" i="54" s="1"/>
  <c r="S83" i="10"/>
  <c r="S67" i="10"/>
  <c r="H39" i="107"/>
  <c r="H40" i="107" s="1"/>
  <c r="E39" i="107"/>
  <c r="E40" i="107" s="1"/>
  <c r="E41" i="107" s="1"/>
  <c r="S112" i="10"/>
  <c r="S128" i="10"/>
  <c r="G20" i="126"/>
  <c r="H20" i="126" s="1"/>
  <c r="H21" i="126" s="1"/>
  <c r="F7" i="115"/>
  <c r="H39" i="79" l="1"/>
  <c r="G41" i="107"/>
  <c r="O78" i="1"/>
  <c r="N78" i="1"/>
  <c r="M78" i="1"/>
  <c r="L78" i="1"/>
  <c r="I76" i="2"/>
  <c r="J76" i="2" s="1"/>
  <c r="I77" i="2"/>
  <c r="J77" i="2" s="1"/>
  <c r="I74" i="2"/>
  <c r="J74" i="2" s="1"/>
  <c r="I75" i="2"/>
  <c r="J75" i="2" s="1"/>
  <c r="I73" i="2"/>
  <c r="I81" i="2"/>
  <c r="I78" i="2"/>
  <c r="I83" i="2"/>
  <c r="E33" i="3" s="1"/>
  <c r="G33" i="3" s="1"/>
  <c r="I33" i="2"/>
  <c r="J33" i="2" s="1"/>
  <c r="I32" i="2"/>
  <c r="J32" i="2" s="1"/>
  <c r="I40" i="2"/>
  <c r="I35" i="2"/>
  <c r="J35" i="2" s="1"/>
  <c r="I34" i="2"/>
  <c r="J34" i="2" s="1"/>
  <c r="I38" i="2"/>
  <c r="I100" i="2"/>
  <c r="E8" i="3" s="1"/>
  <c r="G8" i="3" s="1"/>
  <c r="I102" i="2"/>
  <c r="I99" i="2"/>
  <c r="I29" i="2"/>
  <c r="E38" i="3" s="1"/>
  <c r="G38" i="3" s="1"/>
  <c r="I23" i="2"/>
  <c r="I27" i="2"/>
  <c r="I24" i="2"/>
  <c r="I21" i="2"/>
  <c r="E15" i="3" s="1"/>
  <c r="G15" i="3" s="1"/>
  <c r="I22" i="2"/>
  <c r="I61" i="2"/>
  <c r="E11" i="3" s="1"/>
  <c r="G11" i="3" s="1"/>
  <c r="I68" i="2"/>
  <c r="E37" i="3" s="1"/>
  <c r="G37" i="3" s="1"/>
  <c r="I60" i="2"/>
  <c r="J60" i="2" s="1"/>
  <c r="I69" i="2"/>
  <c r="E35" i="3" s="1"/>
  <c r="G35" i="3" s="1"/>
  <c r="I63" i="2"/>
  <c r="J63" i="2" s="1"/>
  <c r="I62" i="2"/>
  <c r="E12" i="3" s="1"/>
  <c r="G12" i="3" s="1"/>
  <c r="I66" i="2"/>
  <c r="I43" i="2"/>
  <c r="E9" i="3" s="1"/>
  <c r="G9" i="3" s="1"/>
  <c r="I47" i="2"/>
  <c r="E36" i="3" s="1"/>
  <c r="G36" i="3" s="1"/>
  <c r="I45" i="2"/>
  <c r="E26" i="3" s="1"/>
  <c r="G26" i="3" s="1"/>
  <c r="I52" i="2"/>
  <c r="E13" i="3" s="1"/>
  <c r="G13" i="3" s="1"/>
  <c r="I54" i="2"/>
  <c r="I56" i="2"/>
  <c r="E34" i="3" s="1"/>
  <c r="G34" i="3" s="1"/>
  <c r="I51" i="2"/>
  <c r="E19" i="3" s="1"/>
  <c r="G19" i="3" s="1"/>
  <c r="I10" i="127"/>
  <c r="E9" i="30" s="1"/>
  <c r="I9" i="130"/>
  <c r="E8" i="74" s="1"/>
  <c r="F10" i="114"/>
  <c r="F9" i="114" s="1"/>
  <c r="F8" i="114" s="1"/>
  <c r="F13" i="114" s="1"/>
  <c r="F10" i="115"/>
  <c r="F9" i="115" s="1"/>
  <c r="F8" i="115" s="1"/>
  <c r="F14" i="115" s="1"/>
  <c r="S214" i="10"/>
  <c r="S229" i="10" s="1"/>
  <c r="S230" i="10"/>
  <c r="H41" i="107"/>
  <c r="I128" i="10"/>
  <c r="I125" i="10"/>
  <c r="S66" i="10"/>
  <c r="S82" i="10"/>
  <c r="F41" i="107"/>
  <c r="F143" i="10"/>
  <c r="G129" i="10"/>
  <c r="F129" i="10" s="1"/>
  <c r="F131" i="10"/>
  <c r="G123" i="10"/>
  <c r="F123" i="10" s="1"/>
  <c r="S127" i="10"/>
  <c r="S111" i="10"/>
  <c r="H125" i="10"/>
  <c r="H128" i="10"/>
  <c r="F137" i="10"/>
  <c r="G128" i="10"/>
  <c r="F128" i="10" s="1"/>
  <c r="G22" i="126"/>
  <c r="J125" i="10"/>
  <c r="J128" i="10"/>
  <c r="K35" i="127"/>
  <c r="K31" i="127"/>
  <c r="K31" i="130"/>
  <c r="K34" i="130"/>
  <c r="K32" i="127"/>
  <c r="K33" i="127"/>
  <c r="K30" i="130"/>
  <c r="K32" i="130"/>
  <c r="G32" i="130" l="1"/>
  <c r="H32" i="130" s="1"/>
  <c r="I32" i="130" s="1"/>
  <c r="E32" i="130"/>
  <c r="F32" i="130" s="1"/>
  <c r="G33" i="127"/>
  <c r="H33" i="127" s="1"/>
  <c r="I33" i="127" s="1"/>
  <c r="E33" i="127"/>
  <c r="F33" i="127" s="1"/>
  <c r="E32" i="127"/>
  <c r="F32" i="127" s="1"/>
  <c r="G32" i="127"/>
  <c r="G34" i="130"/>
  <c r="H34" i="130" s="1"/>
  <c r="I34" i="130" s="1"/>
  <c r="E34" i="130"/>
  <c r="F34" i="130" s="1"/>
  <c r="G31" i="130"/>
  <c r="E31" i="130"/>
  <c r="F31" i="130" s="1"/>
  <c r="E35" i="127"/>
  <c r="F35" i="127" s="1"/>
  <c r="G35" i="127"/>
  <c r="H35" i="127" s="1"/>
  <c r="I35" i="127" s="1"/>
  <c r="E10" i="3"/>
  <c r="G10" i="3" s="1"/>
  <c r="E28" i="3"/>
  <c r="G28" i="3" s="1"/>
  <c r="E16" i="3"/>
  <c r="G16" i="3" s="1"/>
  <c r="J73" i="2"/>
  <c r="H14" i="3" s="1"/>
  <c r="I14" i="3" s="1"/>
  <c r="E14" i="3"/>
  <c r="G14" i="3" s="1"/>
  <c r="E27" i="3"/>
  <c r="G27" i="3" s="1"/>
  <c r="G31" i="3" s="1"/>
  <c r="F14" i="26" s="1"/>
  <c r="F20" i="26" s="1"/>
  <c r="E20" i="3"/>
  <c r="G20" i="3" s="1"/>
  <c r="J78" i="2"/>
  <c r="H21" i="3" s="1"/>
  <c r="I21" i="3" s="1"/>
  <c r="E21" i="3"/>
  <c r="G21" i="3" s="1"/>
  <c r="J22" i="2"/>
  <c r="H20" i="3" s="1"/>
  <c r="I20" i="3" s="1"/>
  <c r="J23" i="2"/>
  <c r="H10" i="3" s="1"/>
  <c r="I10" i="3" s="1"/>
  <c r="J56" i="2"/>
  <c r="H34" i="3" s="1"/>
  <c r="I34" i="3" s="1"/>
  <c r="J47" i="2"/>
  <c r="H36" i="3" s="1"/>
  <c r="I36" i="3" s="1"/>
  <c r="J62" i="2"/>
  <c r="H12" i="3" s="1"/>
  <c r="I12" i="3" s="1"/>
  <c r="J21" i="2"/>
  <c r="H15" i="3" s="1"/>
  <c r="I15" i="3" s="1"/>
  <c r="J61" i="2"/>
  <c r="H11" i="3" s="1"/>
  <c r="I11" i="3" s="1"/>
  <c r="J24" i="2"/>
  <c r="H16" i="3" s="1"/>
  <c r="I16" i="3" s="1"/>
  <c r="S126" i="10"/>
  <c r="S110" i="10"/>
  <c r="S125" i="10" s="1"/>
  <c r="S65" i="10"/>
  <c r="S80" i="10" s="1"/>
  <c r="S81" i="10"/>
  <c r="H32" i="127" l="1"/>
  <c r="G31" i="127"/>
  <c r="H31" i="130"/>
  <c r="G30" i="130"/>
  <c r="I39" i="3"/>
  <c r="G39" i="3" s="1"/>
  <c r="G40" i="3" s="1"/>
  <c r="F16" i="26" s="1"/>
  <c r="F21" i="26" s="1"/>
  <c r="I23" i="3"/>
  <c r="G23" i="3" s="1"/>
  <c r="G24" i="3" s="1"/>
  <c r="F12" i="26" s="1"/>
  <c r="F19" i="26" s="1"/>
  <c r="F23" i="26" s="1"/>
  <c r="E18" i="127"/>
  <c r="F18" i="127" s="1"/>
  <c r="E26" i="127"/>
  <c r="F26" i="127" s="1"/>
  <c r="E20" i="127"/>
  <c r="F20" i="127" s="1"/>
  <c r="E21" i="127"/>
  <c r="F21" i="127" s="1"/>
  <c r="E19" i="127"/>
  <c r="F19" i="127" s="1"/>
  <c r="E18" i="130"/>
  <c r="F18" i="130" s="1"/>
  <c r="E25" i="130"/>
  <c r="F25" i="130" s="1"/>
  <c r="E17" i="130"/>
  <c r="F17" i="130" s="1"/>
  <c r="E19" i="130"/>
  <c r="F19" i="130" s="1"/>
  <c r="E20" i="130"/>
  <c r="F20" i="130" s="1"/>
  <c r="G19" i="127"/>
  <c r="G20" i="127"/>
  <c r="H20" i="127" s="1"/>
  <c r="I20" i="127" s="1"/>
  <c r="G26" i="127"/>
  <c r="H26" i="127" s="1"/>
  <c r="I26" i="127" s="1"/>
  <c r="G48" i="127"/>
  <c r="I48" i="127" s="1"/>
  <c r="G27" i="127"/>
  <c r="H27" i="127" s="1"/>
  <c r="I27" i="127" s="1"/>
  <c r="E27" i="127"/>
  <c r="F27" i="127" s="1"/>
  <c r="G21" i="127"/>
  <c r="H21" i="127" s="1"/>
  <c r="I21" i="127" s="1"/>
  <c r="G49" i="127"/>
  <c r="I49" i="127" s="1"/>
  <c r="G18" i="130"/>
  <c r="H18" i="130" s="1"/>
  <c r="E26" i="130"/>
  <c r="F26" i="130" s="1"/>
  <c r="G48" i="130"/>
  <c r="I48" i="130" s="1"/>
  <c r="G47" i="130"/>
  <c r="I47" i="130" s="1"/>
  <c r="G20" i="130"/>
  <c r="H20" i="130" s="1"/>
  <c r="I20" i="130" s="1"/>
  <c r="G19" i="130"/>
  <c r="H19" i="130" s="1"/>
  <c r="I19" i="130" s="1"/>
  <c r="G26" i="130"/>
  <c r="H26" i="130" s="1"/>
  <c r="I26" i="130" s="1"/>
  <c r="G25" i="130"/>
  <c r="H25" i="130" s="1"/>
  <c r="I25" i="130" s="1"/>
  <c r="H30" i="130" l="1"/>
  <c r="I31" i="130"/>
  <c r="I30" i="130" s="1"/>
  <c r="I32" i="127"/>
  <c r="I31" i="127" s="1"/>
  <c r="H31" i="127"/>
  <c r="H19" i="127"/>
  <c r="I18" i="130"/>
  <c r="I19" i="127" l="1"/>
  <c r="H10" i="130" l="1"/>
  <c r="I10" i="130" s="1"/>
  <c r="E9" i="74" s="1"/>
  <c r="I60" i="130" l="1"/>
  <c r="K45" i="127"/>
  <c r="E45" i="127" l="1"/>
  <c r="F45" i="127" s="1"/>
  <c r="G45" i="127"/>
  <c r="K46" i="127"/>
  <c r="E46" i="127" l="1"/>
  <c r="F46" i="127" s="1"/>
  <c r="G46" i="127"/>
  <c r="H46" i="127" s="1"/>
  <c r="I45" i="127"/>
  <c r="K47" i="127"/>
  <c r="G47" i="127" l="1"/>
  <c r="E47" i="127"/>
  <c r="F47" i="127" s="1"/>
  <c r="I46" i="127"/>
  <c r="I47" i="127" l="1"/>
  <c r="C31" i="81"/>
  <c r="C30" i="128"/>
  <c r="C42" i="82"/>
  <c r="D13" i="10"/>
  <c r="B63" i="130"/>
  <c r="C32" i="26"/>
  <c r="C42" i="129"/>
  <c r="B64" i="127"/>
  <c r="E16" i="105" l="1"/>
  <c r="L13" i="10"/>
  <c r="G18" i="128"/>
  <c r="G19" i="128" s="1"/>
  <c r="G20" i="128" s="1"/>
  <c r="F29" i="82"/>
  <c r="F30" i="82" s="1"/>
  <c r="F31" i="82" s="1"/>
  <c r="E22" i="116"/>
  <c r="F22" i="116"/>
  <c r="E18" i="128"/>
  <c r="F30" i="6"/>
  <c r="J13" i="10"/>
  <c r="G18" i="81"/>
  <c r="G19" i="81" s="1"/>
  <c r="G20" i="81" s="1"/>
  <c r="F24" i="26"/>
  <c r="F23" i="106"/>
  <c r="E18" i="81"/>
  <c r="M13" i="10"/>
  <c r="F9" i="6"/>
  <c r="K13" i="10"/>
  <c r="H13" i="10"/>
  <c r="F8" i="106"/>
  <c r="F8" i="129"/>
  <c r="F13" i="10"/>
  <c r="F18" i="81"/>
  <c r="F22" i="126"/>
  <c r="H22" i="126" s="1"/>
  <c r="F30" i="129"/>
  <c r="F31" i="129" s="1"/>
  <c r="F32" i="129" s="1"/>
  <c r="E24" i="26"/>
  <c r="G13" i="10"/>
  <c r="E22" i="126"/>
  <c r="E13" i="10"/>
  <c r="F16" i="105"/>
  <c r="I13" i="10"/>
  <c r="F8" i="82"/>
  <c r="F18" i="128"/>
  <c r="F17" i="105" l="1"/>
  <c r="F18" i="105"/>
  <c r="F19" i="105" s="1"/>
  <c r="F21" i="105" s="1"/>
  <c r="H23" i="126"/>
  <c r="G24" i="126"/>
  <c r="H24" i="126" s="1"/>
  <c r="H25" i="126" s="1"/>
  <c r="G26" i="126" s="1"/>
  <c r="H26" i="126" s="1"/>
  <c r="H27" i="126" s="1"/>
  <c r="F24" i="106"/>
  <c r="F25" i="106"/>
  <c r="F26" i="106" s="1"/>
  <c r="F28" i="106" s="1"/>
  <c r="G24" i="81"/>
  <c r="G23" i="81"/>
  <c r="G25" i="81"/>
  <c r="F32" i="6"/>
  <c r="F33" i="6" s="1"/>
  <c r="F34" i="6" s="1"/>
  <c r="F35" i="6" s="1"/>
  <c r="F37" i="6" s="1"/>
  <c r="F31" i="6"/>
  <c r="F24" i="116"/>
  <c r="F25" i="116" s="1"/>
  <c r="F26" i="116" s="1"/>
  <c r="F27" i="116" s="1"/>
  <c r="F29" i="116" s="1"/>
  <c r="F23" i="116"/>
  <c r="F36" i="82"/>
  <c r="F34" i="82"/>
  <c r="F35" i="82"/>
  <c r="F35" i="129"/>
  <c r="F33" i="129"/>
  <c r="F37" i="129" s="1"/>
  <c r="F38" i="129" s="1"/>
  <c r="F39" i="129" s="1"/>
  <c r="F40" i="129" s="1"/>
  <c r="F41" i="129" s="1"/>
  <c r="F34" i="129"/>
  <c r="F25" i="26"/>
  <c r="F26" i="26"/>
  <c r="F27" i="26" s="1"/>
  <c r="G23" i="128"/>
  <c r="G22" i="128"/>
  <c r="G25" i="128"/>
  <c r="G26" i="128" s="1"/>
  <c r="G27" i="128" s="1"/>
  <c r="G28" i="128" s="1"/>
  <c r="G29" i="128" s="1"/>
  <c r="G21" i="128"/>
  <c r="G28" i="126" l="1"/>
  <c r="H28" i="126" s="1"/>
  <c r="H29" i="126" s="1"/>
  <c r="F28" i="26"/>
  <c r="F29" i="26" s="1"/>
  <c r="F31" i="26" s="1"/>
  <c r="E9" i="7"/>
  <c r="E8" i="7" s="1"/>
  <c r="F33" i="82"/>
  <c r="F32" i="82" s="1"/>
  <c r="F37" i="82" s="1"/>
  <c r="F38" i="82" s="1"/>
  <c r="F39" i="82" s="1"/>
  <c r="F40" i="82" s="1"/>
  <c r="F41" i="82" s="1"/>
  <c r="G22" i="81"/>
  <c r="G21" i="81" s="1"/>
  <c r="G26" i="81" s="1"/>
  <c r="G27" i="81" s="1"/>
  <c r="G28" i="81" s="1"/>
  <c r="G29" i="81" s="1"/>
  <c r="G30" i="81" s="1"/>
  <c r="G8" i="130" l="1"/>
  <c r="E6" i="54"/>
  <c r="F6" i="54" s="1"/>
  <c r="G6" i="54" s="1"/>
  <c r="G9" i="127"/>
  <c r="E10" i="7"/>
  <c r="E11" i="7" s="1"/>
  <c r="G15" i="11" s="1"/>
  <c r="E7" i="73" l="1"/>
  <c r="K30" i="127"/>
  <c r="E30" i="127" s="1"/>
  <c r="F30" i="127" s="1"/>
  <c r="K52" i="127"/>
  <c r="E52" i="127" s="1"/>
  <c r="K50" i="127"/>
  <c r="E50" i="127" s="1"/>
  <c r="G43" i="127"/>
  <c r="L51" i="127"/>
  <c r="K29" i="127"/>
  <c r="E29" i="127" s="1"/>
  <c r="F29" i="127" s="1"/>
  <c r="L52" i="127"/>
  <c r="F52" i="127" s="1"/>
  <c r="G44" i="127"/>
  <c r="H44" i="127" s="1"/>
  <c r="I44" i="127" s="1"/>
  <c r="L50" i="127"/>
  <c r="F50" i="127" s="1"/>
  <c r="H9" i="127"/>
  <c r="K51" i="127"/>
  <c r="E51" i="127" s="1"/>
  <c r="G30" i="127"/>
  <c r="H30" i="127" s="1"/>
  <c r="I30" i="127" s="1"/>
  <c r="G29" i="127"/>
  <c r="P50" i="130"/>
  <c r="Q49" i="130"/>
  <c r="K29" i="130"/>
  <c r="E29" i="130" s="1"/>
  <c r="F29" i="130" s="1"/>
  <c r="K49" i="130"/>
  <c r="E49" i="130" s="1"/>
  <c r="E6" i="52"/>
  <c r="G29" i="130"/>
  <c r="H29" i="130" s="1"/>
  <c r="I29" i="130" s="1"/>
  <c r="L49" i="130"/>
  <c r="F49" i="130" s="1"/>
  <c r="H8" i="130"/>
  <c r="I8" i="130" s="1"/>
  <c r="E7" i="74" s="1"/>
  <c r="G43" i="130"/>
  <c r="H43" i="130" s="1"/>
  <c r="I43" i="130" s="1"/>
  <c r="Q51" i="130"/>
  <c r="E7" i="52"/>
  <c r="G42" i="130"/>
  <c r="K51" i="130"/>
  <c r="E51" i="130" s="1"/>
  <c r="I8" i="52"/>
  <c r="P49" i="130"/>
  <c r="L50" i="130"/>
  <c r="K28" i="130"/>
  <c r="E28" i="130" s="1"/>
  <c r="F28" i="130" s="1"/>
  <c r="L51" i="130"/>
  <c r="K50" i="130"/>
  <c r="E50" i="130" s="1"/>
  <c r="P51" i="130"/>
  <c r="Q50" i="130"/>
  <c r="K34" i="127"/>
  <c r="K21" i="127"/>
  <c r="K28" i="127"/>
  <c r="K15" i="127"/>
  <c r="K25" i="127"/>
  <c r="K19" i="127"/>
  <c r="K49" i="127"/>
  <c r="K18" i="127"/>
  <c r="K17" i="127"/>
  <c r="K48" i="127"/>
  <c r="K20" i="130"/>
  <c r="P48" i="130"/>
  <c r="K33" i="130"/>
  <c r="P47" i="130"/>
  <c r="K16" i="130"/>
  <c r="K15" i="130"/>
  <c r="K10" i="130"/>
  <c r="K21" i="130"/>
  <c r="K48" i="130"/>
  <c r="K47" i="130"/>
  <c r="Q48" i="130"/>
  <c r="K11" i="127"/>
  <c r="K16" i="127"/>
  <c r="K26" i="127"/>
  <c r="K27" i="127"/>
  <c r="K20" i="127"/>
  <c r="K13" i="127"/>
  <c r="K24" i="127"/>
  <c r="K22" i="127"/>
  <c r="K27" i="130"/>
  <c r="K14" i="130"/>
  <c r="K12" i="130"/>
  <c r="K17" i="130"/>
  <c r="K26" i="130"/>
  <c r="Q47" i="130"/>
  <c r="K23" i="130"/>
  <c r="K19" i="130"/>
  <c r="K25" i="130"/>
  <c r="K18" i="130"/>
  <c r="K24" i="130"/>
  <c r="G16" i="127" l="1"/>
  <c r="E16" i="127"/>
  <c r="E15" i="130"/>
  <c r="G15" i="130"/>
  <c r="F51" i="127"/>
  <c r="F51" i="130"/>
  <c r="F50" i="130"/>
  <c r="E12" i="130"/>
  <c r="G12" i="130"/>
  <c r="E14" i="130"/>
  <c r="G14" i="130"/>
  <c r="E13" i="127"/>
  <c r="G13" i="127"/>
  <c r="E11" i="127"/>
  <c r="F11" i="127" s="1"/>
  <c r="G11" i="127"/>
  <c r="E47" i="130"/>
  <c r="F47" i="130" s="1"/>
  <c r="E48" i="130"/>
  <c r="F48" i="130" s="1"/>
  <c r="E10" i="130"/>
  <c r="F10" i="130" s="1"/>
  <c r="E33" i="130"/>
  <c r="F33" i="130" s="1"/>
  <c r="G33" i="130"/>
  <c r="H33" i="130" s="1"/>
  <c r="I33" i="130" s="1"/>
  <c r="E48" i="127"/>
  <c r="F48" i="127" s="1"/>
  <c r="E49" i="127"/>
  <c r="F49" i="127" s="1"/>
  <c r="E15" i="127"/>
  <c r="G15" i="127"/>
  <c r="E34" i="127"/>
  <c r="F34" i="127" s="1"/>
  <c r="G34" i="127"/>
  <c r="H34" i="127" s="1"/>
  <c r="I34" i="127" s="1"/>
  <c r="F15" i="130"/>
  <c r="H15" i="130"/>
  <c r="I15" i="130" s="1"/>
  <c r="H42" i="130"/>
  <c r="G28" i="130"/>
  <c r="E14" i="52"/>
  <c r="E8" i="54"/>
  <c r="F6" i="52"/>
  <c r="I9" i="127"/>
  <c r="H16" i="127"/>
  <c r="I16" i="127" s="1"/>
  <c r="F16" i="127"/>
  <c r="E9" i="54"/>
  <c r="F7" i="52"/>
  <c r="F9" i="54" s="1"/>
  <c r="G7" i="52"/>
  <c r="G9" i="54" s="1"/>
  <c r="G28" i="127"/>
  <c r="H29" i="127"/>
  <c r="H43" i="127"/>
  <c r="I29" i="127" l="1"/>
  <c r="I28" i="127" s="1"/>
  <c r="H28" i="127"/>
  <c r="I43" i="127"/>
  <c r="F14" i="52"/>
  <c r="F8" i="54"/>
  <c r="G6" i="52"/>
  <c r="G27" i="130"/>
  <c r="H28" i="130"/>
  <c r="I42" i="130"/>
  <c r="H11" i="127"/>
  <c r="F13" i="127"/>
  <c r="H13" i="127"/>
  <c r="I13" i="127" s="1"/>
  <c r="H14" i="130"/>
  <c r="F14" i="130"/>
  <c r="G11" i="130"/>
  <c r="G13" i="130"/>
  <c r="H12" i="130"/>
  <c r="I12" i="130" s="1"/>
  <c r="F12" i="130"/>
  <c r="E8" i="30"/>
  <c r="G56" i="127"/>
  <c r="E7" i="54"/>
  <c r="G55" i="130"/>
  <c r="G14" i="127"/>
  <c r="H15" i="127"/>
  <c r="G12" i="127"/>
  <c r="F15" i="127"/>
  <c r="I15" i="127" l="1"/>
  <c r="H14" i="127"/>
  <c r="H13" i="130"/>
  <c r="H11" i="130" s="1"/>
  <c r="I14" i="130"/>
  <c r="I11" i="127"/>
  <c r="H12" i="127"/>
  <c r="I28" i="130"/>
  <c r="I27" i="130" s="1"/>
  <c r="H27" i="130"/>
  <c r="G8" i="54"/>
  <c r="G14" i="52"/>
  <c r="H55" i="130"/>
  <c r="I55" i="130" s="1"/>
  <c r="H56" i="127"/>
  <c r="I56" i="127" s="1"/>
  <c r="F7" i="54"/>
  <c r="F19" i="54" s="1"/>
  <c r="G7" i="54" l="1"/>
  <c r="J6" i="52"/>
  <c r="K6" i="52" s="1"/>
  <c r="J7" i="52"/>
  <c r="K7" i="52" s="1"/>
  <c r="J8" i="52"/>
  <c r="K8" i="52" s="1"/>
  <c r="G52" i="127"/>
  <c r="H52" i="127" s="1"/>
  <c r="I52" i="127" s="1"/>
  <c r="G50" i="127"/>
  <c r="G49" i="130"/>
  <c r="G51" i="130"/>
  <c r="H51" i="130" s="1"/>
  <c r="I51" i="130" s="1"/>
  <c r="G51" i="127"/>
  <c r="H51" i="127" s="1"/>
  <c r="I51" i="127" s="1"/>
  <c r="G50" i="130"/>
  <c r="H50" i="130" s="1"/>
  <c r="I50" i="130" s="1"/>
  <c r="E10" i="30"/>
  <c r="I14" i="127"/>
  <c r="I12" i="127"/>
  <c r="E11" i="30" s="1"/>
  <c r="I13" i="130"/>
  <c r="I11" i="130"/>
  <c r="E10" i="74" s="1"/>
  <c r="H50" i="127" l="1"/>
  <c r="G41" i="127"/>
  <c r="H49" i="130"/>
  <c r="G40" i="130"/>
  <c r="E8" i="73"/>
  <c r="E9" i="73" s="1"/>
  <c r="I7" i="54"/>
  <c r="J7" i="54" s="1"/>
  <c r="E17" i="54"/>
  <c r="I49" i="130" l="1"/>
  <c r="I40" i="130" s="1"/>
  <c r="E11" i="74" s="1"/>
  <c r="E12" i="74" s="1"/>
  <c r="H40" i="130"/>
  <c r="H62" i="130" s="1"/>
  <c r="I50" i="127"/>
  <c r="I41" i="127" s="1"/>
  <c r="H41" i="127"/>
  <c r="H63" i="127" s="1"/>
  <c r="G17" i="54"/>
  <c r="H38" i="73"/>
  <c r="H39" i="73" s="1"/>
  <c r="F38" i="73"/>
  <c r="F39" i="73" s="1"/>
  <c r="D38" i="73"/>
  <c r="D39" i="73" s="1"/>
  <c r="E38" i="73"/>
  <c r="E39" i="73" s="1"/>
  <c r="G38" i="73"/>
  <c r="G39" i="73" s="1"/>
  <c r="E12" i="30" l="1"/>
  <c r="E13" i="30" s="1"/>
  <c r="G61" i="127"/>
  <c r="D43" i="74"/>
  <c r="D45" i="74" s="1"/>
  <c r="D46" i="74" s="1"/>
  <c r="E43" i="74"/>
  <c r="E45" i="74" s="1"/>
  <c r="E46" i="74" s="1"/>
  <c r="H43" i="74"/>
  <c r="H45" i="74" s="1"/>
  <c r="H46" i="74" s="1"/>
  <c r="G43" i="74"/>
  <c r="G45" i="74" s="1"/>
  <c r="G46" i="74" s="1"/>
  <c r="F43" i="74"/>
  <c r="F45" i="74" s="1"/>
  <c r="F46" i="74" s="1"/>
  <c r="G40" i="73"/>
  <c r="H40" i="73"/>
  <c r="F40" i="73"/>
  <c r="D40" i="73"/>
  <c r="E40" i="73"/>
  <c r="I61" i="127" l="1"/>
  <c r="F47" i="74"/>
  <c r="H47" i="74"/>
  <c r="G61" i="130" s="1"/>
  <c r="D47" i="74"/>
  <c r="G47" i="74"/>
  <c r="E47" i="74"/>
  <c r="H44" i="30"/>
  <c r="H46" i="30" s="1"/>
  <c r="H47" i="30" s="1"/>
  <c r="D44" i="30"/>
  <c r="D46" i="30" s="1"/>
  <c r="D47" i="30" s="1"/>
  <c r="F44" i="30"/>
  <c r="F46" i="30" s="1"/>
  <c r="F47" i="30" s="1"/>
  <c r="G44" i="30"/>
  <c r="G46" i="30" s="1"/>
  <c r="G47" i="30" s="1"/>
  <c r="E44" i="30"/>
  <c r="E46" i="30" s="1"/>
  <c r="E47" i="30" s="1"/>
  <c r="C15" i="55"/>
  <c r="E18" i="54"/>
  <c r="I61" i="130" l="1"/>
  <c r="K61" i="130"/>
  <c r="G59" i="130"/>
  <c r="G18" i="54"/>
  <c r="G16" i="54" s="1"/>
  <c r="G19" i="54" s="1"/>
  <c r="I18" i="54"/>
  <c r="J18" i="54" s="1"/>
  <c r="E16" i="54"/>
  <c r="E19" i="54" s="1"/>
  <c r="D48" i="30"/>
  <c r="H48" i="30"/>
  <c r="G62" i="127" s="1"/>
  <c r="F48" i="30"/>
  <c r="G48" i="30"/>
  <c r="E48" i="30"/>
  <c r="E15" i="55"/>
  <c r="E13" i="55" s="1"/>
  <c r="E16" i="55" s="1"/>
  <c r="C13" i="55"/>
  <c r="C16" i="55" s="1"/>
  <c r="I62" i="127" l="1"/>
  <c r="G60" i="127"/>
  <c r="K62" i="127"/>
  <c r="E62" i="127" s="1"/>
  <c r="G62" i="130"/>
  <c r="I59" i="130"/>
  <c r="I62" i="130" s="1"/>
  <c r="I60" i="127" l="1"/>
  <c r="I63" i="127" s="1"/>
  <c r="G63" i="127"/>
</calcChain>
</file>

<file path=xl/comments1.xml><?xml version="1.0" encoding="utf-8"?>
<comments xmlns="http://schemas.openxmlformats.org/spreadsheetml/2006/main">
  <authors>
    <author>Tan Nhuong</author>
  </authors>
  <commentList>
    <comment ref="A1" authorId="0">
      <text>
        <r>
          <rPr>
            <sz val="9"/>
            <color indexed="81"/>
            <rFont val="Tahoma"/>
            <family val="2"/>
          </rPr>
          <t>Dien giai</t>
        </r>
      </text>
    </comment>
  </commentList>
</comments>
</file>

<file path=xl/comments2.xml><?xml version="1.0" encoding="utf-8"?>
<comments xmlns="http://schemas.openxmlformats.org/spreadsheetml/2006/main">
  <authors>
    <author>Tan Nhuong</author>
  </authors>
  <commentList>
    <comment ref="A1" authorId="0">
      <text>
        <r>
          <rPr>
            <sz val="9"/>
            <color indexed="81"/>
            <rFont val="Tahoma"/>
            <family val="2"/>
          </rPr>
          <t>Dien giai</t>
        </r>
      </text>
    </comment>
  </commentList>
</comments>
</file>

<file path=xl/comments3.xml><?xml version="1.0" encoding="utf-8"?>
<comments xmlns="http://schemas.openxmlformats.org/spreadsheetml/2006/main">
  <authors>
    <author>Tấn Nhượng Võ</author>
  </authors>
  <commentList>
    <comment ref="I17" authorId="0">
      <text>
        <r>
          <rPr>
            <b/>
            <sz val="9"/>
            <color indexed="81"/>
            <rFont val="Tahoma"/>
            <family val="2"/>
          </rPr>
          <t>Ghi chú:</t>
        </r>
        <r>
          <rPr>
            <sz val="9"/>
            <color indexed="81"/>
            <rFont val="Tahoma"/>
            <family val="2"/>
          </rPr>
          <t xml:space="preserve">
Không vượt quá 5%</t>
        </r>
      </text>
    </comment>
    <comment ref="I18" authorId="0">
      <text>
        <r>
          <rPr>
            <b/>
            <sz val="9"/>
            <color indexed="81"/>
            <rFont val="Tahoma"/>
            <family val="2"/>
          </rPr>
          <t xml:space="preserve">Tỷ lệ trượt giá cho gói thầu: </t>
        </r>
        <r>
          <rPr>
            <sz val="9"/>
            <color indexed="81"/>
            <rFont val="Tahoma"/>
            <family val="2"/>
          </rPr>
          <t xml:space="preserve">Tỷ lệ này được tính bằng tỷ lệ giữa chi phí dự phòng do yếu tố trượt giá và tổng giữa chi phí xây dựng của gói thầu và chi phí hạng mục chung
</t>
        </r>
      </text>
    </comment>
  </commentList>
</comments>
</file>

<file path=xl/comments4.xml><?xml version="1.0" encoding="utf-8"?>
<comments xmlns="http://schemas.openxmlformats.org/spreadsheetml/2006/main">
  <authors>
    <author>Tấn Nhượng Võ</author>
  </authors>
  <commentList>
    <comment ref="A1" authorId="0">
      <text>
        <r>
          <rPr>
            <b/>
            <sz val="9"/>
            <color indexed="81"/>
            <rFont val="Tahoma"/>
            <family val="2"/>
          </rPr>
          <t>Theo mẫu Bảng 2.3 - Phụ lục thông tư số 06/2016/TT-BXD</t>
        </r>
      </text>
    </comment>
    <comment ref="C6" authorId="0">
      <text>
        <r>
          <rPr>
            <b/>
            <sz val="9"/>
            <color indexed="81"/>
            <rFont val="Tahoma"/>
            <family val="2"/>
          </rPr>
          <t>Phương pháp tính chi phí:</t>
        </r>
        <r>
          <rPr>
            <sz val="9"/>
            <color indexed="81"/>
            <rFont val="Tahoma"/>
            <family val="2"/>
          </rPr>
          <t xml:space="preserve">
</t>
        </r>
        <r>
          <rPr>
            <b/>
            <sz val="9"/>
            <color indexed="81"/>
            <rFont val="Tahoma"/>
            <family val="2"/>
          </rPr>
          <t>1. Đối với các công trình đi theo tuyến như đường dây tải điện, đường dây thông tin bưu điện, đường giao thông, kênh mương, đường ống, các công trình thi công dạng tuyến khác:</t>
        </r>
        <r>
          <rPr>
            <i/>
            <sz val="9"/>
            <color indexed="81"/>
            <rFont val="Tahoma"/>
            <family val="2"/>
          </rPr>
          <t xml:space="preserve"> </t>
        </r>
        <r>
          <rPr>
            <sz val="9"/>
            <color indexed="81"/>
            <rFont val="Tahoma"/>
            <family val="2"/>
          </rPr>
          <t xml:space="preserve">  Chi phí nhà tạm tại hiện trường để ở và Điều hành thi công được tính bằng tỷ lệ 2% trên chi phí xây dựng và chi phí lắp đặt, thí nghiệm hiệu chỉnh thiết bị trước thuế giá trị gia tăng.
</t>
        </r>
        <r>
          <rPr>
            <b/>
            <sz val="9"/>
            <color indexed="81"/>
            <rFont val="Tahoma"/>
            <family val="2"/>
          </rPr>
          <t>2. Đối với các công trình còn lại:</t>
        </r>
        <r>
          <rPr>
            <sz val="9"/>
            <color indexed="81"/>
            <rFont val="Tahoma"/>
            <family val="2"/>
          </rPr>
          <t xml:space="preserve"> bằng tỷ lệ 1% trên chi phí xây dựng và chi phí lắp đặt, thí nghiệm hiệu chỉnh thiết bị trước thuế giá trị gia tăng.
</t>
        </r>
        <r>
          <rPr>
            <b/>
            <sz val="9"/>
            <color indexed="81"/>
            <rFont val="Tahoma"/>
            <family val="2"/>
          </rPr>
          <t>3. Trường hợp đặc biệt khác:</t>
        </r>
        <r>
          <rPr>
            <sz val="9"/>
            <color indexed="81"/>
            <rFont val="Tahoma"/>
            <family val="2"/>
          </rPr>
          <t xml:space="preserve">
Đối với các công trình đặc biệt khác (</t>
        </r>
        <r>
          <rPr>
            <i/>
            <sz val="9"/>
            <color indexed="81"/>
            <rFont val="Tahoma"/>
            <family val="2"/>
          </rPr>
          <t>Công trình có quy mô lớn, phức tạp, các công trình trên biển, ngoài hải đảo, các công trình sử dụng vốn ODA lựa chọn nhà thầu theo hình thức đấu thầu quốc tế)</t>
        </r>
        <r>
          <rPr>
            <sz val="9"/>
            <color indexed="81"/>
            <rFont val="Tahoma"/>
            <family val="2"/>
          </rPr>
          <t xml:space="preserve"> nếu Khoản Mục chi phí nhà tạm tại hiện trường để ở và Điều hành thi công tính theo tỷ lệ (%) trên không phù hợp thì chủ đầu tư căn cứ Điều kiện thực tế tổ chức lập và phê duyệt dự toán chi phí này</t>
        </r>
      </text>
    </comment>
    <comment ref="I6" authorId="0">
      <text>
        <r>
          <rPr>
            <b/>
            <sz val="9"/>
            <color indexed="81"/>
            <rFont val="Tahoma"/>
            <family val="2"/>
          </rPr>
          <t xml:space="preserve">1% </t>
        </r>
        <r>
          <rPr>
            <sz val="9"/>
            <color indexed="81"/>
            <rFont val="Tahoma"/>
            <family val="2"/>
          </rPr>
          <t xml:space="preserve">đối với công trình bình thường. 
</t>
        </r>
        <r>
          <rPr>
            <b/>
            <sz val="9"/>
            <color indexed="81"/>
            <rFont val="Tahoma"/>
            <family val="2"/>
          </rPr>
          <t>2%</t>
        </r>
        <r>
          <rPr>
            <sz val="9"/>
            <color indexed="81"/>
            <rFont val="Tahoma"/>
            <family val="2"/>
          </rPr>
          <t xml:space="preserve"> đối với công trình trải dài trên tuyến</t>
        </r>
      </text>
    </comment>
    <comment ref="C7" authorId="0">
      <text>
        <r>
          <rPr>
            <b/>
            <sz val="9"/>
            <color indexed="81"/>
            <rFont val="Tahoma"/>
            <family val="2"/>
          </rPr>
          <t>Gồm các loại chi phí:</t>
        </r>
        <r>
          <rPr>
            <sz val="9"/>
            <color indexed="81"/>
            <rFont val="Tahoma"/>
            <family val="2"/>
          </rPr>
          <t xml:space="preserve">
1. Chi phí an toàn lao động và bảo vệ môi trường cho người lao động trên công trường và môi trường xung quanh
2. Chi phí thí nghiệm vật liệu của nhà thầu
3. Chi phí di chuyển lực lượng lao động trong nội bộ công trường.
4. Chi phí bơm nước, vét bùn không thường xuyên
</t>
        </r>
        <r>
          <rPr>
            <u/>
            <sz val="9"/>
            <color indexed="81"/>
            <rFont val="Tahoma"/>
            <family val="2"/>
          </rPr>
          <t xml:space="preserve">Cách tính:
</t>
        </r>
        <r>
          <rPr>
            <sz val="9"/>
            <color indexed="81"/>
            <rFont val="Tahoma"/>
            <family val="2"/>
          </rPr>
          <t xml:space="preserve">Được tính bằng tỷ lệ phần trăm (%) trên chi phí xây dựng và chi phí lắp đặt, thí nghiệm hiệu chỉnh thiết bị trước thuế giá trị gia tăng quy định tại bảng 2.4 của Phụ lục kèm theo </t>
        </r>
        <r>
          <rPr>
            <b/>
            <sz val="9"/>
            <color indexed="81"/>
            <rFont val="Tahoma"/>
            <family val="2"/>
          </rPr>
          <t xml:space="preserve">Thông tư số 06/2016/TT-BXD ngày 10/3/2016. </t>
        </r>
      </text>
    </comment>
    <comment ref="I7" authorId="0">
      <text>
        <r>
          <rPr>
            <b/>
            <sz val="9"/>
            <color indexed="81"/>
            <rFont val="Tahoma"/>
            <family val="2"/>
          </rPr>
          <t xml:space="preserve">Bảng quy định tỷ lệ chi phí đối với các loại công trình: </t>
        </r>
        <r>
          <rPr>
            <sz val="9"/>
            <color indexed="81"/>
            <rFont val="Tahoma"/>
            <family val="2"/>
          </rPr>
          <t xml:space="preserve">
1. Công trình dân dụng (2,5)
2. Công trình công nghiệp (2,0)
Riêng công tác xây dựng trong đường hầm thủy điện, hầm lò (6,5)
3. Công trình giao thông (2,0)
Riêng công tác xây dựng trong đường hầm giao thông (6,5)
4. Công trình nông nghiệp và phát triển nông thôn (2,0)
5. Công trình hạ tầng kỹ thuật (2,0)</t>
        </r>
      </text>
    </comment>
  </commentList>
</comments>
</file>

<file path=xl/comments5.xml><?xml version="1.0" encoding="utf-8"?>
<comments xmlns="http://schemas.openxmlformats.org/spreadsheetml/2006/main">
  <authors>
    <author>Tấn Nhượng Võ</author>
  </authors>
  <commentList>
    <comment ref="D11" authorId="0">
      <text>
        <r>
          <rPr>
            <b/>
            <sz val="9"/>
            <color indexed="81"/>
            <rFont val="Tahoma"/>
            <family val="2"/>
          </rPr>
          <t>Là số năm người sử dụng thu thập số liệu chỉ số giá xây dựng của công trình tương tự. (Tối thiểu là 3 năm)</t>
        </r>
        <r>
          <rPr>
            <sz val="9"/>
            <color indexed="81"/>
            <rFont val="Tahoma"/>
            <family val="2"/>
          </rPr>
          <t xml:space="preserve">
</t>
        </r>
      </text>
    </comment>
    <comment ref="D12" authorId="0">
      <text>
        <r>
          <rPr>
            <b/>
            <sz val="9"/>
            <color indexed="81"/>
            <rFont val="Tahoma"/>
            <family val="2"/>
          </rPr>
          <t>Thời gian thực hiện dự án</t>
        </r>
      </text>
    </comment>
  </commentList>
</comments>
</file>

<file path=xl/comments6.xml><?xml version="1.0" encoding="utf-8"?>
<comments xmlns="http://schemas.openxmlformats.org/spreadsheetml/2006/main">
  <authors>
    <author>User</author>
    <author>Tấn Nhượng Võ</author>
  </authors>
  <commentList>
    <comment ref="I7" authorId="0">
      <text>
        <r>
          <rPr>
            <b/>
            <sz val="9"/>
            <color indexed="81"/>
            <rFont val="Tahoma"/>
            <family val="2"/>
          </rPr>
          <t xml:space="preserve">Lưu ý: Để Excel không báo vòng lặp khi liên kết đến dòng Tổng mức đầu tư, người sử dụng làm như sau: 
</t>
        </r>
        <r>
          <rPr>
            <sz val="9"/>
            <color indexed="81"/>
            <rFont val="Tahoma"/>
            <family val="2"/>
          </rPr>
          <t xml:space="preserve">- Vào Excel Option/Caculation/Đánh dấu kiểm vào hộp thoại Enable Interactive  Caculation. 
- Trước khi gửi file cho đối tác, vui lòng copy và paste value giá trị tại vị trí tổng mức đầu tư đã duyệt. 
</t>
        </r>
      </text>
    </comment>
    <comment ref="K61" authorId="1">
      <text>
        <r>
          <rPr>
            <b/>
            <sz val="9"/>
            <color indexed="81"/>
            <rFont val="Tahoma"/>
            <family val="2"/>
          </rPr>
          <t>Hướng dẫn:</t>
        </r>
        <r>
          <rPr>
            <sz val="9"/>
            <color indexed="81"/>
            <rFont val="Tahoma"/>
            <family val="2"/>
          </rPr>
          <t xml:space="preserve">
Đối với lập dự án đầu tư: kps ≤ 5%
Công trình còn lại:  kps ≤ 10%.</t>
        </r>
      </text>
    </comment>
  </commentList>
</comments>
</file>

<file path=xl/comments7.xml><?xml version="1.0" encoding="utf-8"?>
<comments xmlns="http://schemas.openxmlformats.org/spreadsheetml/2006/main">
  <authors>
    <author>User</author>
    <author>Tấn Nhượng Võ</author>
  </authors>
  <commentList>
    <comment ref="I7" authorId="0">
      <text>
        <r>
          <rPr>
            <b/>
            <sz val="9"/>
            <color indexed="81"/>
            <rFont val="Tahoma"/>
            <family val="2"/>
          </rPr>
          <t xml:space="preserve">Lưu ý: Để Excel không báo vòng lặp khi liên kết đến dòng Tổng mức đầu tư, người sử dụng làm như sau: 
</t>
        </r>
        <r>
          <rPr>
            <sz val="9"/>
            <color indexed="81"/>
            <rFont val="Tahoma"/>
            <family val="2"/>
          </rPr>
          <t xml:space="preserve">- Vào Excel Option/Caculation/Đánh dấu kiểm vào hộp thoại Enable Interactive  Caculation. 
- Trước khi gửi file cho đối tác, vui lòng copy và paste value giá trị tại vị trí tổng mức đầu tư đã duyệt. 
</t>
        </r>
      </text>
    </comment>
    <comment ref="K60" authorId="1">
      <text>
        <r>
          <rPr>
            <b/>
            <sz val="9"/>
            <color indexed="81"/>
            <rFont val="Tahoma"/>
            <family val="2"/>
          </rPr>
          <t xml:space="preserve">Lưu ý: 
</t>
        </r>
        <r>
          <rPr>
            <sz val="9"/>
            <color indexed="81"/>
            <rFont val="Tahoma"/>
            <family val="2"/>
          </rPr>
          <t>Không vượt quá 5%. Tỷ lệ này đang khác biệt so với trường hợplập TMĐT</t>
        </r>
      </text>
    </comment>
    <comment ref="P60" authorId="1">
      <text>
        <r>
          <rPr>
            <b/>
            <sz val="9"/>
            <color indexed="81"/>
            <rFont val="Tahoma"/>
            <family val="2"/>
          </rPr>
          <t xml:space="preserve">Lưu ý: 
</t>
        </r>
        <r>
          <rPr>
            <sz val="9"/>
            <color indexed="81"/>
            <rFont val="Tahoma"/>
            <family val="2"/>
          </rPr>
          <t>Không vượt quá 5%. Tỷ lệ này đang khác biệt so với trường hợplập TMĐT</t>
        </r>
      </text>
    </comment>
    <comment ref="Q60" authorId="1">
      <text>
        <r>
          <rPr>
            <b/>
            <sz val="9"/>
            <color indexed="81"/>
            <rFont val="Tahoma"/>
            <family val="2"/>
          </rPr>
          <t xml:space="preserve">Lưu ý: 
</t>
        </r>
        <r>
          <rPr>
            <sz val="9"/>
            <color indexed="81"/>
            <rFont val="Tahoma"/>
            <family val="2"/>
          </rPr>
          <t>Không vượt quá 5%. Tỷ lệ này đang khác biệt so với trường hợplập TMĐT</t>
        </r>
      </text>
    </comment>
  </commentList>
</comments>
</file>

<file path=xl/comments8.xml><?xml version="1.0" encoding="utf-8"?>
<comments xmlns="http://schemas.openxmlformats.org/spreadsheetml/2006/main">
  <authors>
    <author>Tấn Nhượng Võ</author>
  </authors>
  <commentList>
    <comment ref="D14" authorId="0">
      <text>
        <r>
          <rPr>
            <b/>
            <sz val="9"/>
            <color indexed="81"/>
            <rFont val="Tahoma"/>
            <family val="2"/>
          </rPr>
          <t>Là số năm người sử dụng thu thập số liệu chỉ số giá xây dựng của công trình tương tự. (Tối thiểu là 3 năm)</t>
        </r>
        <r>
          <rPr>
            <sz val="9"/>
            <color indexed="81"/>
            <rFont val="Tahoma"/>
            <family val="2"/>
          </rPr>
          <t xml:space="preserve">
</t>
        </r>
      </text>
    </comment>
    <comment ref="D15" authorId="0">
      <text>
        <r>
          <rPr>
            <b/>
            <sz val="9"/>
            <color indexed="81"/>
            <rFont val="Tahoma"/>
            <family val="2"/>
          </rPr>
          <t>Thời gian thực hiện dự án</t>
        </r>
      </text>
    </comment>
  </commentList>
</comments>
</file>

<file path=xl/comments9.xml><?xml version="1.0" encoding="utf-8"?>
<comments xmlns="http://schemas.openxmlformats.org/spreadsheetml/2006/main">
  <authors>
    <author>Tấn Nhượng Võ</author>
  </authors>
  <commentList>
    <comment ref="A1" authorId="0">
      <text>
        <r>
          <rPr>
            <sz val="9"/>
            <color indexed="81"/>
            <rFont val="Tahoma"/>
            <family val="2"/>
          </rPr>
          <t xml:space="preserve">Theo mẫu Bảng 2.1 - Phụ lục thông tư số 06/2016/TT-BXD
</t>
        </r>
      </text>
    </comment>
  </commentList>
</comments>
</file>

<file path=xl/comments10.xml><?xml version="1.0" encoding="utf-8"?>
<comments xmlns="http://schemas.openxmlformats.org/spreadsheetml/2006/main">
  <authors>
    <author>Tấn Nhượng Võ</author>
  </authors>
  <commentList>
    <comment ref="D12" authorId="0">
      <text>
        <r>
          <rPr>
            <b/>
            <sz val="9"/>
            <color indexed="81"/>
            <rFont val="Tahoma"/>
            <family val="2"/>
          </rPr>
          <t>Là số năm người sử dụng thu thập số liệu chỉ số giá xây dựng của công trình tương tự. (Tối thiểu là 3 năm)</t>
        </r>
        <r>
          <rPr>
            <sz val="9"/>
            <color indexed="81"/>
            <rFont val="Tahoma"/>
            <family val="2"/>
          </rPr>
          <t xml:space="preserve">
</t>
        </r>
      </text>
    </comment>
    <comment ref="D13" authorId="0">
      <text>
        <r>
          <rPr>
            <b/>
            <sz val="9"/>
            <color indexed="81"/>
            <rFont val="Tahoma"/>
            <family val="2"/>
          </rPr>
          <t>Thời gian thực hiện dự án</t>
        </r>
      </text>
    </comment>
  </commentList>
</comments>
</file>

<file path=xl/comments11.xml><?xml version="1.0" encoding="utf-8"?>
<comments xmlns="http://schemas.openxmlformats.org/spreadsheetml/2006/main">
  <authors>
    <author>Tấn Nhượng Võ</author>
  </authors>
  <commentList>
    <comment ref="A1" authorId="0">
      <text>
        <r>
          <rPr>
            <sz val="9"/>
            <color indexed="81"/>
            <rFont val="Tahoma"/>
            <family val="2"/>
          </rPr>
          <t xml:space="preserve">Theo mẫu bảng 2.6 - Phụ lục của Thông tư số 06/2016/TT-BXD
</t>
        </r>
      </text>
    </comment>
    <comment ref="B12" authorId="0">
      <text>
        <r>
          <rPr>
            <b/>
            <sz val="9"/>
            <color indexed="81"/>
            <rFont val="Tahoma"/>
            <family val="2"/>
          </rPr>
          <t>Theo mẫu thì không có dòng chi phí này, nhưng theo công thức tính dự phòng yếu tố khối lượng phát sinh thì có nên phải đưa vào</t>
        </r>
        <r>
          <rPr>
            <sz val="9"/>
            <color indexed="81"/>
            <rFont val="Tahoma"/>
            <family val="2"/>
          </rPr>
          <t xml:space="preserve">
</t>
        </r>
      </text>
    </comment>
    <comment ref="B14" authorId="0">
      <text>
        <r>
          <rPr>
            <b/>
            <sz val="9"/>
            <color indexed="81"/>
            <rFont val="Tahoma"/>
            <family val="2"/>
          </rPr>
          <t>GDPTB1 = (GMS + GĐT + GLĐ + GK) x kps</t>
        </r>
        <r>
          <rPr>
            <sz val="9"/>
            <color indexed="81"/>
            <rFont val="Tahoma"/>
            <family val="2"/>
          </rPr>
          <t xml:space="preserve">
kps: &lt;= 5%</t>
        </r>
      </text>
    </comment>
    <comment ref="G14" authorId="0">
      <text>
        <r>
          <rPr>
            <b/>
            <sz val="9"/>
            <color indexed="81"/>
            <rFont val="Tahoma"/>
            <family val="2"/>
          </rPr>
          <t>&lt;= 5%</t>
        </r>
        <r>
          <rPr>
            <sz val="9"/>
            <color indexed="81"/>
            <rFont val="Tahoma"/>
            <family val="2"/>
          </rPr>
          <t xml:space="preserve">
</t>
        </r>
      </text>
    </comment>
    <comment ref="B15" authorId="0">
      <text>
        <r>
          <rPr>
            <b/>
            <sz val="9"/>
            <color indexed="81"/>
            <rFont val="Tahoma"/>
            <family val="2"/>
          </rPr>
          <t>Hướng dẫn:</t>
        </r>
        <r>
          <rPr>
            <sz val="9"/>
            <color indexed="81"/>
            <rFont val="Tahoma"/>
            <family val="2"/>
          </rPr>
          <t xml:space="preserve">
Chi phí dự phòng yếu tố trượt giá được tính như phần Xây dựng. </t>
        </r>
      </text>
    </comment>
  </commentList>
</comments>
</file>

<file path=xl/comments12.xml><?xml version="1.0" encoding="utf-8"?>
<comments xmlns="http://schemas.openxmlformats.org/spreadsheetml/2006/main">
  <authors>
    <author>Tấn Nhượng Võ</author>
  </authors>
  <commentList>
    <comment ref="D15" authorId="0">
      <text>
        <r>
          <rPr>
            <b/>
            <sz val="9"/>
            <color indexed="81"/>
            <rFont val="Tahoma"/>
            <family val="2"/>
          </rPr>
          <t>Là số năm người sử dụng thu thập số liệu chỉ số giá xây dựng của công trình tương tự. (Tối thiểu là 3 năm)</t>
        </r>
        <r>
          <rPr>
            <sz val="9"/>
            <color indexed="81"/>
            <rFont val="Tahoma"/>
            <family val="2"/>
          </rPr>
          <t xml:space="preserve">
</t>
        </r>
      </text>
    </comment>
    <comment ref="D16" authorId="0">
      <text>
        <r>
          <rPr>
            <b/>
            <sz val="9"/>
            <color indexed="81"/>
            <rFont val="Tahoma"/>
            <family val="2"/>
          </rPr>
          <t>Thời gian thực hiện dự án</t>
        </r>
      </text>
    </comment>
  </commentList>
</comments>
</file>

<file path=xl/comments13.xml><?xml version="1.0" encoding="utf-8"?>
<comments xmlns="http://schemas.openxmlformats.org/spreadsheetml/2006/main">
  <authors>
    <author>Tấn Nhượng Võ</author>
  </authors>
  <commentList>
    <comment ref="B1" authorId="0">
      <text>
        <r>
          <rPr>
            <sz val="9"/>
            <color indexed="81"/>
            <rFont val="Tahoma"/>
            <family val="2"/>
          </rPr>
          <t xml:space="preserve">Mẫu số 21: Thông tư số 03/2015/TT-BKHĐT
</t>
        </r>
      </text>
    </comment>
  </commentList>
</comments>
</file>

<file path=xl/comments14.xml><?xml version="1.0" encoding="utf-8"?>
<comments xmlns="http://schemas.openxmlformats.org/spreadsheetml/2006/main">
  <authors>
    <author>Tấn Nhượng Võ</author>
  </authors>
  <commentList>
    <comment ref="B1" authorId="0">
      <text>
        <r>
          <rPr>
            <b/>
            <sz val="9"/>
            <color indexed="81"/>
            <rFont val="Tahoma"/>
            <family val="2"/>
          </rPr>
          <t xml:space="preserve">Ghi chú:
</t>
        </r>
        <r>
          <rPr>
            <sz val="9"/>
            <color indexed="81"/>
            <rFont val="Tahoma"/>
            <family val="2"/>
          </rPr>
          <t>Bảng này áp dụng đối với hợp đồng đơn giá cố định và đơn giá điều chỉnh.</t>
        </r>
      </text>
    </comment>
    <comment ref="B26" authorId="0">
      <text>
        <r>
          <rPr>
            <b/>
            <sz val="9"/>
            <color indexed="81"/>
            <rFont val="Tahoma"/>
            <family val="2"/>
          </rPr>
          <t xml:space="preserve">Ghi chú:
</t>
        </r>
        <r>
          <rPr>
            <sz val="9"/>
            <color indexed="81"/>
            <rFont val="Tahoma"/>
            <family val="2"/>
          </rPr>
          <t>Bảng này áp dụng đối với hợp đồng đơn giá cố định và đơn giá điều chỉnh.</t>
        </r>
      </text>
    </comment>
    <comment ref="B50" authorId="0">
      <text>
        <r>
          <rPr>
            <b/>
            <sz val="9"/>
            <color indexed="81"/>
            <rFont val="Tahoma"/>
            <family val="2"/>
          </rPr>
          <t xml:space="preserve">Ghi chú:
</t>
        </r>
        <r>
          <rPr>
            <sz val="9"/>
            <color indexed="81"/>
            <rFont val="Tahoma"/>
            <family val="2"/>
          </rPr>
          <t>Bảng này áp dụng đối với hợp đồng đơn giá cố định và đơn giá điều chỉnh.</t>
        </r>
      </text>
    </comment>
    <comment ref="B72" authorId="0">
      <text>
        <r>
          <rPr>
            <b/>
            <sz val="9"/>
            <color indexed="81"/>
            <rFont val="Tahoma"/>
            <family val="2"/>
          </rPr>
          <t xml:space="preserve">Ghi chú:
</t>
        </r>
        <r>
          <rPr>
            <sz val="9"/>
            <color indexed="81"/>
            <rFont val="Tahoma"/>
            <family val="2"/>
          </rPr>
          <t>Bảng này áp dụng đối với hợp đồng đơn giá cố định và đơn giá điều chỉnh.</t>
        </r>
      </text>
    </comment>
  </commentList>
</comments>
</file>

<file path=xl/comments15.xml><?xml version="1.0" encoding="utf-8"?>
<comments xmlns="http://schemas.openxmlformats.org/spreadsheetml/2006/main">
  <authors>
    <author>Tấn Nhượng Võ</author>
  </authors>
  <commentList>
    <comment ref="B1" authorId="0">
      <text>
        <r>
          <rPr>
            <b/>
            <sz val="9"/>
            <color indexed="81"/>
            <rFont val="Tahoma"/>
            <family val="2"/>
          </rPr>
          <t xml:space="preserve">Ghi chú:
</t>
        </r>
        <r>
          <rPr>
            <sz val="9"/>
            <color indexed="81"/>
            <rFont val="Tahoma"/>
            <family val="2"/>
          </rPr>
          <t>Bảng này áp dụng đối với hợp đồng đơn giá cố định và đơn giá điều chỉnh.</t>
        </r>
      </text>
    </comment>
  </commentList>
</comments>
</file>

<file path=xl/comments16.xml><?xml version="1.0" encoding="utf-8"?>
<comments xmlns="http://schemas.openxmlformats.org/spreadsheetml/2006/main">
  <authors>
    <author>Tấn Nhượng Võ</author>
  </authors>
  <commentList>
    <comment ref="I12" authorId="0">
      <text>
        <r>
          <rPr>
            <b/>
            <sz val="9"/>
            <color indexed="81"/>
            <rFont val="Tahoma"/>
            <family val="2"/>
          </rPr>
          <t xml:space="preserve">Ghi chú
</t>
        </r>
        <r>
          <rPr>
            <sz val="9"/>
            <color indexed="81"/>
            <rFont val="Tahoma"/>
            <family val="2"/>
          </rPr>
          <t xml:space="preserve">Người sử dụng nhập vào định mức tỷ lệ chi phí dự phòng cho khối lượng phát sinh
</t>
        </r>
      </text>
    </comment>
    <comment ref="I13" authorId="0">
      <text>
        <r>
          <rPr>
            <b/>
            <sz val="9"/>
            <color indexed="81"/>
            <rFont val="Tahoma"/>
            <family val="2"/>
          </rPr>
          <t xml:space="preserve">Ghi chú
</t>
        </r>
        <r>
          <rPr>
            <sz val="9"/>
            <color indexed="81"/>
            <rFont val="Tahoma"/>
            <family val="2"/>
          </rPr>
          <t>Người sử dụng nhập vào định mức tỷ lệ chi phí dự phòng cho yếu tố trượt giá</t>
        </r>
      </text>
    </comment>
  </commentList>
</comments>
</file>

<file path=xl/comments17.xml><?xml version="1.0" encoding="utf-8"?>
<comments xmlns="http://schemas.openxmlformats.org/spreadsheetml/2006/main">
  <authors>
    <author>Tấn Nhượng Võ</author>
  </authors>
  <commentList>
    <comment ref="F12" authorId="0">
      <text>
        <r>
          <rPr>
            <b/>
            <sz val="9"/>
            <color indexed="81"/>
            <rFont val="Tahoma"/>
            <family val="2"/>
          </rPr>
          <t>Lấy tổng khối lượng thực hiện đến hết kỳ trước</t>
        </r>
        <r>
          <rPr>
            <sz val="9"/>
            <color indexed="81"/>
            <rFont val="Tahoma"/>
            <family val="2"/>
          </rPr>
          <t xml:space="preserve">
</t>
        </r>
      </text>
    </comment>
  </commentList>
</comments>
</file>

<file path=xl/comments18.xml><?xml version="1.0" encoding="utf-8"?>
<comments xmlns="http://schemas.openxmlformats.org/spreadsheetml/2006/main">
  <authors>
    <author>Tấn Nhượng Võ</author>
  </authors>
  <commentList>
    <comment ref="F13" authorId="0">
      <text>
        <r>
          <rPr>
            <b/>
            <sz val="9"/>
            <color indexed="81"/>
            <rFont val="Tahoma"/>
            <family val="2"/>
          </rPr>
          <t>Lấy tổng khối lượng thực hiện đến hết kỳ trước</t>
        </r>
        <r>
          <rPr>
            <sz val="9"/>
            <color indexed="81"/>
            <rFont val="Tahoma"/>
            <family val="2"/>
          </rPr>
          <t xml:space="preserve">
</t>
        </r>
      </text>
    </comment>
    <comment ref="F17" authorId="0">
      <text>
        <r>
          <rPr>
            <b/>
            <sz val="9"/>
            <color indexed="81"/>
            <rFont val="Tahoma"/>
            <family val="2"/>
          </rPr>
          <t>Lấy tổng khối lượng thực hiện đến hết kỳ trước</t>
        </r>
        <r>
          <rPr>
            <sz val="9"/>
            <color indexed="81"/>
            <rFont val="Tahoma"/>
            <family val="2"/>
          </rPr>
          <t xml:space="preserve">
</t>
        </r>
      </text>
    </comment>
  </commentList>
</comments>
</file>

<file path=xl/sharedStrings.xml><?xml version="1.0" encoding="utf-8"?>
<sst xmlns="http://schemas.openxmlformats.org/spreadsheetml/2006/main" count="16432" uniqueCount="4056">
  <si>
    <t>Phan tich vat tu</t>
  </si>
  <si>
    <t>Gia tri vat tu</t>
  </si>
  <si>
    <t>Don gia chi tiet</t>
  </si>
  <si>
    <t>Du thau</t>
  </si>
  <si>
    <t>Tong hop kinh phi</t>
  </si>
  <si>
    <t>Chi phi van chuyen</t>
  </si>
  <si>
    <t>CuocVC</t>
  </si>
  <si>
    <t>LuongCN_XD</t>
  </si>
  <si>
    <t>Phan tich ca may</t>
  </si>
  <si>
    <t>Chiet tinh don gia may</t>
  </si>
  <si>
    <t>Bu gia may</t>
  </si>
  <si>
    <t>Bu NL_TL</t>
  </si>
  <si>
    <t>TH_CPXD</t>
  </si>
  <si>
    <t>TH_CPTB</t>
  </si>
  <si>
    <t>Bia du toan</t>
  </si>
  <si>
    <t>STT</t>
  </si>
  <si>
    <t>Function</t>
  </si>
  <si>
    <t>Description</t>
  </si>
  <si>
    <t>ArgumentDescriptions</t>
  </si>
  <si>
    <t>Mô tả cách tính</t>
  </si>
  <si>
    <t>Sheet gốc</t>
  </si>
  <si>
    <t>QLDA</t>
  </si>
  <si>
    <t>Địa chỉ nội suy (Kiểu chuổi)</t>
  </si>
  <si>
    <t>Chi phí Xây dựng trước thuế (đồng)</t>
  </si>
  <si>
    <t>Du toan</t>
  </si>
  <si>
    <t>LapDADT</t>
  </si>
  <si>
    <t>BCKTKT</t>
  </si>
  <si>
    <t>TK</t>
  </si>
  <si>
    <t>TTDT</t>
  </si>
  <si>
    <t>TTTK</t>
  </si>
  <si>
    <t>TTHQKTDA</t>
  </si>
  <si>
    <t>MT_XD</t>
  </si>
  <si>
    <t>DGHST_XD</t>
  </si>
  <si>
    <t>MT_TB</t>
  </si>
  <si>
    <t>Chi phí Thiết bị trước thuế (đồng)</t>
  </si>
  <si>
    <t>DGHST_TB</t>
  </si>
  <si>
    <t>LuongCN_LaiMay</t>
  </si>
  <si>
    <t>GS_XD</t>
  </si>
  <si>
    <t>GS_TB</t>
  </si>
  <si>
    <t>KIEMTOAN</t>
  </si>
  <si>
    <t>Tổng mức đầu tư xây dựng công trình (đồng)</t>
  </si>
  <si>
    <t>QUYETTOAN</t>
  </si>
  <si>
    <t>Dau vao ca may</t>
  </si>
  <si>
    <t>DiachiVung</t>
  </si>
  <si>
    <t>Chọn vùng cần lấy (Range)</t>
  </si>
  <si>
    <t>Tong du toan</t>
  </si>
  <si>
    <t>Config</t>
  </si>
  <si>
    <t>CỘNG HÒA XÃ HỘI CHỦ NGHĨA VIỆT NAM</t>
  </si>
  <si>
    <t>Độc lập - Tự do - Hạnh phúc</t>
  </si>
  <si>
    <t xml:space="preserve"> --------o0o--------</t>
  </si>
  <si>
    <t>Ngày</t>
  </si>
  <si>
    <t>tháng</t>
  </si>
  <si>
    <t>năm</t>
  </si>
  <si>
    <t>DỰ TOÁN THIẾT KẾ</t>
  </si>
  <si>
    <t xml:space="preserve">          CHỦ TRÌ CÔNG TRÌNH</t>
  </si>
  <si>
    <t>LẬP DỰ TOÁN</t>
  </si>
  <si>
    <t>KIỂM TRA</t>
  </si>
  <si>
    <t>CÔNG TY THIẾT KẾ</t>
  </si>
  <si>
    <t>BẢNG TỔNG HỢP THÔNG TIN</t>
  </si>
  <si>
    <t>I</t>
  </si>
  <si>
    <t>THÔNG TIN CHUNG CỦA DỰ ÁN</t>
  </si>
  <si>
    <t>Tên công trình :</t>
  </si>
  <si>
    <t>Tên hạng mục :</t>
  </si>
  <si>
    <t xml:space="preserve">Địa điểm: </t>
  </si>
  <si>
    <t>II</t>
  </si>
  <si>
    <t>CÁC HỆ SỐ ÁP DỤNG</t>
  </si>
  <si>
    <t>B</t>
  </si>
  <si>
    <t>Hệ số áp dụng</t>
  </si>
  <si>
    <t>ĐVT</t>
  </si>
  <si>
    <t>Hạng mục</t>
  </si>
  <si>
    <t>Hệ số vật liệu</t>
  </si>
  <si>
    <t>Hệ số nhân công</t>
  </si>
  <si>
    <t>Hệ số máy thi công</t>
  </si>
  <si>
    <t>Chi phí trực tiếp khác</t>
  </si>
  <si>
    <t>%</t>
  </si>
  <si>
    <t>Chi phí chung</t>
  </si>
  <si>
    <t>Thu nhập chịu thuế tính trước</t>
  </si>
  <si>
    <t>Thuế giá trị gia tăng</t>
  </si>
  <si>
    <t>Chi phí xây nhà tạm tại hiện trường</t>
  </si>
  <si>
    <t>III</t>
  </si>
  <si>
    <t>CÁC THÔNG TIN CÀI ĐẶT CHO CHƯƠNG TRÌNH</t>
  </si>
  <si>
    <t>III-1</t>
  </si>
  <si>
    <t>Kiểu font</t>
  </si>
  <si>
    <t>UNI</t>
  </si>
  <si>
    <t>III-2</t>
  </si>
  <si>
    <t>Danh sách thành phần chi phí tại bảng Đơn giá chi tiết</t>
  </si>
  <si>
    <t>Chi phí vật liệu</t>
  </si>
  <si>
    <t>VL</t>
  </si>
  <si>
    <t>Chi phí nhân công</t>
  </si>
  <si>
    <t>NC</t>
  </si>
  <si>
    <t>Chi phí máy thi công</t>
  </si>
  <si>
    <t>MTC</t>
  </si>
  <si>
    <t>Trực tiếp phí khác</t>
  </si>
  <si>
    <t>TT</t>
  </si>
  <si>
    <t>Công chi phí trực tiếp</t>
  </si>
  <si>
    <t>T</t>
  </si>
  <si>
    <t>C</t>
  </si>
  <si>
    <t>Z</t>
  </si>
  <si>
    <t>TL</t>
  </si>
  <si>
    <t>G</t>
  </si>
  <si>
    <t>Thuế giá trị gia tăng đầu ra</t>
  </si>
  <si>
    <t>GTGT</t>
  </si>
  <si>
    <t>GXDCPT</t>
  </si>
  <si>
    <t>Chi phí xây dựng láng trại, nhà tạm</t>
  </si>
  <si>
    <t>GXDLT</t>
  </si>
  <si>
    <t>TỔNG CỘNG</t>
  </si>
  <si>
    <t>TC</t>
  </si>
  <si>
    <t>III-3</t>
  </si>
  <si>
    <t>Danh sách dữ liệu (Định mức, đơn giá, Giá vật tư..)</t>
  </si>
  <si>
    <t>III-4</t>
  </si>
  <si>
    <t>Thông số nội suy các hệ số trong bảng Tổng dự toán</t>
  </si>
  <si>
    <t>Loại công trình</t>
  </si>
  <si>
    <t>Công trình dân dụng</t>
  </si>
  <si>
    <t>Công trình công nghiệp</t>
  </si>
  <si>
    <t>Công trình giao thông</t>
  </si>
  <si>
    <t>Công trình thuỷ lợi</t>
  </si>
  <si>
    <t>Công trình hạ tầng kỹ thuật</t>
  </si>
  <si>
    <t>Cấp công trình</t>
  </si>
  <si>
    <t>Cấp đặc biệt</t>
  </si>
  <si>
    <t>Cấp 1</t>
  </si>
  <si>
    <t>Cấp 2</t>
  </si>
  <si>
    <t>Cấp 3</t>
  </si>
  <si>
    <t>Cấp 4</t>
  </si>
  <si>
    <t>Bước thiết kế</t>
  </si>
  <si>
    <t xml:space="preserve">Thiết kế các công trình thuộc loại khác </t>
  </si>
  <si>
    <t>Văn bản áp dụng:</t>
  </si>
  <si>
    <t>QĐ 10/2005/QĐ-BXD và 11/2005/QĐ-BXD</t>
  </si>
  <si>
    <t>Các loại công trình khác</t>
  </si>
  <si>
    <t>Không thuộc công trình khác</t>
  </si>
  <si>
    <t>Công trình Cáp ngầm</t>
  </si>
  <si>
    <t>Công trình khai khoán, hoá chất, SX xi măng, CT Công nghiệp khác</t>
  </si>
  <si>
    <t>Công trình bưu chính viễn thông</t>
  </si>
  <si>
    <t>Công trình Máy thông tin</t>
  </si>
  <si>
    <t>Kiểm toán, Quyết toán</t>
  </si>
  <si>
    <t>TT33/2007/TT-BTC</t>
  </si>
  <si>
    <t>TT19/2011/TT-BTC</t>
  </si>
  <si>
    <t>Tính lương nhân công theo</t>
  </si>
  <si>
    <t>Lương gốc</t>
  </si>
  <si>
    <t>Lương thực tế</t>
  </si>
  <si>
    <t>III-5</t>
  </si>
  <si>
    <t xml:space="preserve">Danh mục chi phí </t>
  </si>
  <si>
    <t>Vùng nội suy</t>
  </si>
  <si>
    <t>Mức tối thiểu</t>
  </si>
  <si>
    <t>Chi phí quản lý dự án</t>
  </si>
  <si>
    <t>Chi phí lập báo cáo kinh tế kỹ thuật</t>
  </si>
  <si>
    <t>Chi phí giám sát thi công xây dựng</t>
  </si>
  <si>
    <t>Chi phí giám sát lắp đặt thiết bị</t>
  </si>
  <si>
    <t>Kiểm toán - Quyết toán</t>
  </si>
  <si>
    <t>BẢNG DỮ LIỆU  NỘI SUY CÁC THÀNH PHẦN CHI PHÍ TƯ VẤN</t>
  </si>
  <si>
    <t>BẢNG DỮ LIỆU  NỘI SUY CÁC THÀNH PHẦN CHI PHÍ KHÁC</t>
  </si>
  <si>
    <t>(Theo Công văn số 1751/BXD-VP)</t>
  </si>
  <si>
    <t xml:space="preserve">(Theo Quyết định số 10/2005/QĐ-BXD  và Quyết định số 11/2005/QĐ-BXD  ngày 15/4/2005)Quyết 11/2005/QĐ-BXD </t>
  </si>
  <si>
    <t>A. ĐỊNH MỨC CHI PHÍ QUẢN LÝ DỰ ÁN</t>
  </si>
  <si>
    <t>A. ĐỊNH MỨC CHI PHÍ QUẢN LÝ DỰ ÁN (QĐ 10/2005)</t>
  </si>
  <si>
    <t>Chi phí xây dựng và thiết bị (chưa có thuế GTGT) (tỷ đồng)</t>
  </si>
  <si>
    <t>B. ĐỊNH MỨC CHI PHÍ LẬP DỰ ÁN ĐẦU TƯ</t>
  </si>
  <si>
    <t>B. ĐỊNH MỨC CHI PHÍ LẬP DỰ ÁN ĐẦU TƯ - QĐ 11/2005</t>
  </si>
  <si>
    <t>Chi phí xây dựng và thiết bị (chưa có thuế GTGT) trong tổng mức đầu tư được duyệt (tỷ đồng)</t>
  </si>
  <si>
    <t>C. ĐỊNH MỨC CHI PHÍ LẬP BÁO CÁO KINH TẾ KỸ THUẬT</t>
  </si>
  <si>
    <t>C. ĐỊNH MỨC CHI PHÍ LẬP BÁO CÁO KINH TẾ KỸ THUẬT (LẬP DA ĐT) - QĐ11</t>
  </si>
  <si>
    <t>Chi phí xây dựng và thiết bị (chưa có thuế GTGT) tỷ đồng</t>
  </si>
  <si>
    <t>D1-A. ĐỊNH MỨC CHI PHÍ THIẾT KẾ KỸ THUẬT, CÔNG TRÌNH DÂN DỤNG, THIẾT KẾ 3 BƯỚC</t>
  </si>
  <si>
    <t>Chi phí xây dựng (chưa có thuế ) Tỷ đổng</t>
  </si>
  <si>
    <t>Cấp I</t>
  </si>
  <si>
    <t>Cấp II</t>
  </si>
  <si>
    <t>Cấp III</t>
  </si>
  <si>
    <t>Cấp IV</t>
  </si>
  <si>
    <t>D1-B. ĐỊNH MỨC CHI PHÍ THIẾT KẾ BẢN VẼ THI CÔNG, CÔNG TRÌNH DÂN DỤNG, THIẾT KẾ 3 BƯỚC</t>
  </si>
  <si>
    <t>D1-C. ĐỊNH MỨC CHI PHÍ THIẾT KẾ BẢN VẼ THI CÔNG, CÔNG TRÌNH DÂN DỤNG, THIẾT KẾ 2 BƯỚC</t>
  </si>
  <si>
    <t>D2-A. ĐỊNH MỨC CHI PHÍ THIẾT KẾ KỸ THUẬT, CÔNG TRÌNH CÔNG NGHIỆP, THIẾT KẾ 3 BƯỚC</t>
  </si>
  <si>
    <t>D2-B. ĐỊNH MỨC CHI PHÍ THIẾT KẾ BẢN VẼ THI CÔNG, CÔNG TRÌNH CÔNG NGHIỆP, THIẾT KẾ 3 BƯỚC</t>
  </si>
  <si>
    <t>D2-C. ĐỊNH MỨC CHI PHÍ THIẾT KẾ BẢN VẼ THI CÔNG, CÔNG TRÌNH CÔNG NGHIỆP, THIẾT KẾ 2 BƯỚC</t>
  </si>
  <si>
    <t>-</t>
  </si>
  <si>
    <t xml:space="preserve">D2-D. ĐỊNH MỨC CHI PHÍ THIẾT KẾ CÔNG TRÌNH CÁP NGẦM </t>
  </si>
  <si>
    <t>Chi phí XD(tỷ đồng)</t>
  </si>
  <si>
    <t>Cấp điện áp</t>
  </si>
  <si>
    <t>Cấp ngầm điện áp &lt;6 6KV</t>
  </si>
  <si>
    <t>Cáp ngầm điện áp 220KV</t>
  </si>
  <si>
    <t>D2-E. ĐỊNH MỨC CHI PHÍ THIẾT KẾ CÔNG TRÌNH HÓA CHẤT, KHAI THÁC THAN, QUẶNG, XI MĂNG, CÔNG TRÌNH CÔNG NGHIỆP KHÁC</t>
  </si>
  <si>
    <t>Công trình hoá chất</t>
  </si>
  <si>
    <t>Công trình khai thác than, qụăng (mỏ vật liệu) - Mỏ lộ thiên</t>
  </si>
  <si>
    <t>Công trình khai thác than, qụăng (mỏ vật liệu) - Mỏ hầm lò</t>
  </si>
  <si>
    <t>Công trình SX xi măng</t>
  </si>
  <si>
    <t>Công trình công nghiệp khác (bao gồm cả công trình đường dây và trạm biến áp)</t>
  </si>
  <si>
    <t>D3-A. ĐỊNH MỨC CHI PHÍ THIẾT KẾ KỸ THUẬT, CÔNG TRÌNH GIAO THÔNG, THIẾT KẾ 3 BƯỚC</t>
  </si>
  <si>
    <t>D3-B. ĐỊNH MỨC CHI PHÍ THIẾT KẾ BẢN VẼ THI CÔNG, CÔNG TRÌNH GIAO THÔNG, THIẾT KẾ 3 BƯỚC</t>
  </si>
  <si>
    <t>D3-C. ĐỊNH MỨC CHI PHÍ THIẾT KẾ BẢN VẼ THI CÔNG, CÔNG TRÌNH GIAO THÔNG, THIẾT KẾ 2 BƯỚC</t>
  </si>
  <si>
    <t>D4-A. ĐỊNH MỨC CHI PHÍ THIẾT KẾ KỸ THUẬT, CÔNG TRÌNH THUỶ LỢI , THIẾT KẾ 3 BƯỚC</t>
  </si>
  <si>
    <t>D4-B. ĐỊNH MỨC CHI PHÍ THIẾT KẾ BẢN VẼ THI CÔNG, CÔNG TRÌNH THUỶ LỢI, THIẾT KẾ 3 BƯỚC</t>
  </si>
  <si>
    <t>D4-C. ĐỊNH MỨC CHI PHÍ THIẾT KẾ BẢN VẼ THI CÔNG, CÔNG TRÌNH THUỶ LỢI, THIẾT KẾ 2 BƯỚC</t>
  </si>
  <si>
    <t>D4-C. ĐỊNH MỨC CHI PHÍ THIẾT KẾ BẢN VẼ THI CÔNG, CÔNG TRÌNH THUỶ LỢI, THIẾT KẾ 2 BƯỚC - QĐ 11</t>
  </si>
  <si>
    <t>D5-A. ĐỊNH MỨC CHI PHÍ THIẾT KẾ KỸ THUẬT, CÔNG TRÌNH HẠ TẦNG KỸ THUẬT , THIẾT KẾ 3 BƯỚC</t>
  </si>
  <si>
    <t>D5-A. ĐỊNH MỨC CHI PHÍ THIẾT KẾ KỸ THUẬT, CÔNG TRÌNH HẠ TẦNG KỸ THUẬT , THIẾT KẾ 3 BƯỚC - QĐ 11</t>
  </si>
  <si>
    <t>D5-B. ĐỊNH MỨC CHI PHÍ THIẾT KẾ BẢN VẼ THI CÔNG, CÔNG TRÌNH HẠ TẦNG KỸ THUẬT, THIẾT KẾ 3 BƯỚC</t>
  </si>
  <si>
    <t>D5-B. ĐỊNH MỨC CHI PHÍ THIẾT KẾ BẢN VẼ THI CÔNG, CÔNG TRÌNH HẠ TẦNG KỸ THUẬT, THIẾT KẾ 3 BƯỚC - QĐ 11</t>
  </si>
  <si>
    <t>D5-C. ĐỊNH MỨC CHI PHÍ THIẾT KẾ BẢN VẼ THI CÔNG, CÔNG TRÌNH HẠ TẦNG KỸ THUẬT, THIẾT KẾ 2 BƯỚC</t>
  </si>
  <si>
    <t>D5-C. ĐỊNH MỨC CHI PHÍ THIẾT KẾ BẢN VẼ THI CÔNG, CÔNG TRÌNH HẠ TẦNG KỸ THUẬT, THIẾT KẾ 2 BƯỚC - QĐ 11</t>
  </si>
  <si>
    <t>D5-D. ĐỊNH MỨC CHI PHÍ THIẾT KẾ BẢN VẼ THI CÔNG, CÔNG TRÌNH BƯU CHÍNH VIỄN THÔNG</t>
  </si>
  <si>
    <t>D5-D. ĐỊNH MỨC CHI PHÍ THIẾT KẾ BẢN VẼ THI CÔNG, CÔNG TRÌNH BƯU CHÍNH VIỄN THÔNG - QĐ 11</t>
  </si>
  <si>
    <t>Chi phí xây dựng và thiết bị (chưa có thuế GTGT) trong dự toán công trình (tỷ đồng)</t>
  </si>
  <si>
    <t>Công trình cáp chôn trực tiếp</t>
  </si>
  <si>
    <t>Công trình tuyến cáp chôn qua sông</t>
  </si>
  <si>
    <t>Công trình cống bể cáp và kéo cáp, công trình tuyến cáp treo</t>
  </si>
  <si>
    <t>D5-e. ĐỊNH MỨC CHI PHÍ THIẾT KẾ BẢN VẼ THI CÔNG, CÔNG TRÌNH MÁY THÔNG TIN</t>
  </si>
  <si>
    <t>D5-e. ĐỊNH MỨC CHI PHÍ THIẾT KẾ BẢN VẼ THI CÔNG, CÔNG TRÌNH MÁY THÔNG TIN - QĐ 11</t>
  </si>
  <si>
    <t>Các loại tổng đài host, vệ tinh, độc lập</t>
  </si>
  <si>
    <t>Các loại tổng đài MSC, BSC, truy nhập thuê bao, nhắn tin</t>
  </si>
  <si>
    <t>Hệ thống thiết bị truyền dẫn quang</t>
  </si>
  <si>
    <t>Hệ thống truyền dẫn vi ba</t>
  </si>
  <si>
    <t>Mạng viễn thông nông thôn</t>
  </si>
  <si>
    <t>Mạng Internet, voip, thiết bị mạng NGN</t>
  </si>
  <si>
    <t>Hệ thống tiếp đất chống sét (cả thiết bị)</t>
  </si>
  <si>
    <t>Trạm thông tin vệ tinh Vsat</t>
  </si>
  <si>
    <t>Thiết bị trạm BTS, CS, điện thoại thẻ</t>
  </si>
  <si>
    <t>E. ĐỊNH MỨC CHI PHÍ THẨM TRA TÍNH HIỆU QUẢ VÀ KHẢ THI CỦA DỰ ÁN ĐẦU TƯ</t>
  </si>
  <si>
    <t>E. ĐỊNH MỨC CHI PHÍ THẨM TRA TÍNH HIỆU QUẢ VÀ KHẢ THI CỦA DỰ ÁN ĐẦU TƯ (QĐ 957)</t>
  </si>
  <si>
    <t>Chi phí xây dựng và thiết bị (chưa có thuế GTGT) trong tổng mức đầu tư được duyệt (Tỷ đồng)</t>
  </si>
  <si>
    <t>F. ĐỊNH MỨC CHI PHÍ THẨM TRA THIẾT KẾ KỸ THUẬT CÔNG TRÌNH THIẾT KẾ 3 BƯỚC, THIẾT KẾ BVTC CÔNG TRÌNH 1 BƯỚC VÀ 2 BƯỚC</t>
  </si>
  <si>
    <t>F. ĐỊNH MỨC CHI PHÍ THẨM TRA THIẾT KẾ KỸ THUẬT CÔNG TRÌNH THIẾT KẾ 3 BƯỚC, THIẾT KẾ BVTC CÔNG TRÌNH 1 BƯỚC VÀ 2 BƯỚC - QĐ10</t>
  </si>
  <si>
    <t>Chi phí xây dựng (chưa có thuế GTGT) trong dự toán gói thầu được duyệt (Tỷ đồng)</t>
  </si>
  <si>
    <t>G. ĐỊNH MỨC CHI PHÍ THẨM TRA DỰ TOÁN</t>
  </si>
  <si>
    <t>G. ĐỊNH MỨC CHI PHÍ THẨM TRA DỰ TOÁN - QĐ 10</t>
  </si>
  <si>
    <t>G. ĐỊNH MỨC CHI PHÍ LẬP HỒ SƠ MỜI THẦU XÂY LẮP</t>
  </si>
  <si>
    <t>G. ĐỊNH MỨC CHI PHÍ LẬP HỒ SƠ MỜI THẦU XÂY LẮP - QĐ 10</t>
  </si>
  <si>
    <t>H. ĐỊNH MỨC CHI PHÍ ĐÁNH GIÁ HỒ SƠ DỰ THẦU XÂY LẮP</t>
  </si>
  <si>
    <t>H. ĐỊNH MỨC CHI PHÍ ĐÁNH GIÁ HỒ SƠ DỰ THẦU XÂY LẮP - QĐ 10</t>
  </si>
  <si>
    <t>I. ĐỊNH MỨC CHI PHÍ LẬP HỒ SƠ MỜI THẦU MUA SẮM THIẾT BỊ</t>
  </si>
  <si>
    <t>I. ĐỊNH MỨC CHI PHÍ LẬP HỒ SƠ MỜI THẦU MUA SẮM THIẾT BỊ - QĐ 10</t>
  </si>
  <si>
    <t>Chi phí thiết bị (chưa có thuế GTGT) trong dự toán gói thầu được duyệt (Tỷ đồng)</t>
  </si>
  <si>
    <t>J. ĐỊNH MỨC CHI PHÍ ĐÁNH GIÁ HỒ SƠ DỰ THẦU MUA SẮM THIẾT BỊ</t>
  </si>
  <si>
    <t>K. ĐỊNH MỨC CHI PHÍ GIÁM SÁT THI CÔNG XÂY DỰNG</t>
  </si>
  <si>
    <t>L. ĐỊNH MỨC CHI PHÍ GIÁM SÁT LẮP ĐẶT THIẾT BỊ</t>
  </si>
  <si>
    <t>VỮA</t>
  </si>
  <si>
    <t>ĐỊNH MỨC</t>
  </si>
  <si>
    <t>MÃ HIỆU 
ĐƠN GIÁ</t>
  </si>
  <si>
    <t>NỘI DUNG CÔNG VIỆC</t>
  </si>
  <si>
    <t>ĐƠN VỊ</t>
  </si>
  <si>
    <t>KHỐI LƯỢNG</t>
  </si>
  <si>
    <t>ĐƠN GIÁ</t>
  </si>
  <si>
    <t>THÀNH TIỀN</t>
  </si>
  <si>
    <t>KÍCH THƯỚC</t>
  </si>
  <si>
    <t>HỆ SỐ</t>
  </si>
  <si>
    <t>TỪNG PHẦN</t>
  </si>
  <si>
    <t>HẠNG MỤC</t>
  </si>
  <si>
    <t>LOẠI CV</t>
  </si>
  <si>
    <t>VẬT LIỆU</t>
  </si>
  <si>
    <t>VẬT LIỆU P</t>
  </si>
  <si>
    <t>NHÂN CÔNG</t>
  </si>
  <si>
    <t>MÁY</t>
  </si>
  <si>
    <t>DÀI</t>
  </si>
  <si>
    <t>RỘNG</t>
  </si>
  <si>
    <t>CAO</t>
  </si>
  <si>
    <t>MÃ ĐM</t>
  </si>
  <si>
    <t>MÃ VỮA</t>
  </si>
  <si>
    <t/>
  </si>
  <si>
    <t>END</t>
  </si>
  <si>
    <t>MSVT</t>
  </si>
  <si>
    <t>THÀNH PHẦN HAO PHÍ</t>
  </si>
  <si>
    <t>ĐỊNH</t>
  </si>
  <si>
    <t>PHỤ LỤC</t>
  </si>
  <si>
    <t>ĐỊNH MỨC BỔ SUNG</t>
  </si>
  <si>
    <t>THI CÔNG</t>
  </si>
  <si>
    <t>KHÁC</t>
  </si>
  <si>
    <t>MỨC</t>
  </si>
  <si>
    <t>ĐM</t>
  </si>
  <si>
    <t xml:space="preserve">LOẠI </t>
  </si>
  <si>
    <t>MÃ HIỆU</t>
  </si>
  <si>
    <t>TÊN VẬT TƯ</t>
  </si>
  <si>
    <t>BẢNG PHÂN TÍCH VẬT TƯ</t>
  </si>
  <si>
    <t>BẢNG GIÁ TRỊ VẬT TƯ</t>
  </si>
  <si>
    <t>CÁCH TÍNH</t>
  </si>
  <si>
    <t>CỘT PHỤ</t>
  </si>
  <si>
    <t>KÝ HIỆU</t>
  </si>
  <si>
    <t>ĐG VL</t>
  </si>
  <si>
    <t>ĐG VLP</t>
  </si>
  <si>
    <t>ĐG NC</t>
  </si>
  <si>
    <t>ĐG MTC</t>
  </si>
  <si>
    <t>TTPK</t>
  </si>
  <si>
    <t>CỘNG CPTT</t>
  </si>
  <si>
    <t>CHI PHÍ CHUNG</t>
  </si>
  <si>
    <t>GT DT DTXL</t>
  </si>
  <si>
    <t>TNCTTT</t>
  </si>
  <si>
    <t>GT DTXL TT</t>
  </si>
  <si>
    <t>VAT</t>
  </si>
  <si>
    <t>GTDTXLST</t>
  </si>
  <si>
    <t>NHÀ TẠM</t>
  </si>
  <si>
    <t>TỔNG</t>
  </si>
  <si>
    <t>ĐƠN GIÁ VL,NC,MTC</t>
  </si>
  <si>
    <t>THÀNH PHẦN CP KHÁC</t>
  </si>
  <si>
    <t>ĐƠN GIÁ TỔNG HỢP</t>
  </si>
  <si>
    <t xml:space="preserve">THÀNH TIỀN </t>
  </si>
  <si>
    <t>MÃ ĐỊNH MỨC</t>
  </si>
  <si>
    <t>BẢNG DỰ TOÁN DỰ THẦU</t>
  </si>
  <si>
    <t>MÃ CHI PHÍ</t>
  </si>
  <si>
    <t>CHI PHÍ</t>
  </si>
  <si>
    <t>CHI PHÍ THEO ĐƠN GIÁ</t>
  </si>
  <si>
    <t>A1</t>
  </si>
  <si>
    <t>CLVL</t>
  </si>
  <si>
    <t>Chênh lệch vật liệu</t>
  </si>
  <si>
    <t>B1</t>
  </si>
  <si>
    <t>C1</t>
  </si>
  <si>
    <t>Chi phí máy xây dựng</t>
  </si>
  <si>
    <t>CHI PHÍ TRỰC TIẾP</t>
  </si>
  <si>
    <t>M</t>
  </si>
  <si>
    <t>Giá thành dự toán xây dựng</t>
  </si>
  <si>
    <t>T+C</t>
  </si>
  <si>
    <t>Chi phí xây dựng trước thuế</t>
  </si>
  <si>
    <t>T+C+TL</t>
  </si>
  <si>
    <t>IV</t>
  </si>
  <si>
    <t>Chi phí xây dựng sau thuế</t>
  </si>
  <si>
    <t>G + GTGT</t>
  </si>
  <si>
    <t>NGƯỜI LẬP</t>
  </si>
  <si>
    <t>NGƯỜI CHỦ TRÌ</t>
  </si>
  <si>
    <t>(Ký, họ tên)</t>
  </si>
  <si>
    <t>Chứng chỉ KS định giá XD hạng……..., số………..</t>
  </si>
  <si>
    <t>BẢNG TỔNG HỢP KINH PHÍ</t>
  </si>
  <si>
    <t>Tỷ trọng
(Tấn/đvt)</t>
  </si>
  <si>
    <t>Tổng KL
(tấn)</t>
  </si>
  <si>
    <t>Nguồn mua</t>
  </si>
  <si>
    <t>Tổng cự ly (km)</t>
  </si>
  <si>
    <t>Cự ly từng đoạn</t>
  </si>
  <si>
    <t>Loại đường</t>
  </si>
  <si>
    <t>Cấp 
đường</t>
  </si>
  <si>
    <t xml:space="preserve">Đơn giá
vận chuyển </t>
  </si>
  <si>
    <t>Phụ phí đường sông</t>
  </si>
  <si>
    <t>Phụ phí đường bộ</t>
  </si>
  <si>
    <t>Tổng
phụ phí</t>
  </si>
  <si>
    <t>Giá mua</t>
  </si>
  <si>
    <t>Giá đến
chân CT</t>
  </si>
  <si>
    <t>Đường bộ</t>
  </si>
  <si>
    <t>Đường thủy</t>
  </si>
  <si>
    <t>Cự ly (Km)</t>
  </si>
  <si>
    <t>Chèn, lót, chằn, buộc hàng hóa</t>
  </si>
  <si>
    <t>Vệ sinh phương tiện</t>
  </si>
  <si>
    <t>Huy động phương tiện</t>
  </si>
  <si>
    <t>Mã hiệu</t>
  </si>
  <si>
    <t>Tên vật liệu</t>
  </si>
  <si>
    <t>BẢNG CƯỚC VẬN CHUYỂN HÀNG HÓA ĐƯỜNG BỘ</t>
  </si>
  <si>
    <t>BẢNG CƯỚC VẬN CHUYỂN HÀNG HÓA ĐƯỜNG THỦY</t>
  </si>
  <si>
    <t>(Ban hành kèm theo quyết định số ………../UBND/….. Ngày ………)</t>
  </si>
  <si>
    <t xml:space="preserve">Đường </t>
  </si>
  <si>
    <t>Loại 1</t>
  </si>
  <si>
    <t>Loại 2</t>
  </si>
  <si>
    <t>Loại 3</t>
  </si>
  <si>
    <t>Loại 4</t>
  </si>
  <si>
    <t>Loại 5</t>
  </si>
  <si>
    <t>Loại 6</t>
  </si>
  <si>
    <t>Trong đó:</t>
  </si>
  <si>
    <t>Hệ số quy đổi từ các loại sông về sông loại 1:</t>
  </si>
  <si>
    <t>Loại sông</t>
  </si>
  <si>
    <t>Hệ số</t>
  </si>
  <si>
    <t>&gt;100</t>
  </si>
  <si>
    <t>BẢNG TÍNH LƯƠNG, PHỤ CẤP CHO CÔNG NHÂN XÂY DỰNG</t>
  </si>
  <si>
    <t>Loại công Nhân</t>
  </si>
  <si>
    <t>Hệ số lương</t>
  </si>
  <si>
    <t>Lương CB
(tháng)</t>
  </si>
  <si>
    <t>Phụ cấp</t>
  </si>
  <si>
    <t>Lương + PC
(Tháng)</t>
  </si>
  <si>
    <t>Lương + PC
(Ngày)</t>
  </si>
  <si>
    <t>Lưu động</t>
  </si>
  <si>
    <t xml:space="preserve">Khu vực </t>
  </si>
  <si>
    <t>Trách nhiệm</t>
  </si>
  <si>
    <t>Độc hại</t>
  </si>
  <si>
    <t>Thu hút</t>
  </si>
  <si>
    <t>Không ổn định SX</t>
  </si>
  <si>
    <t>Các khoản lương phụ</t>
  </si>
  <si>
    <t>Các khoản chi phí khoán TT</t>
  </si>
  <si>
    <t>MHCM</t>
  </si>
  <si>
    <t>MVT</t>
  </si>
  <si>
    <t>THÀNH PHẦN GIÁ CA MÁY</t>
  </si>
  <si>
    <t>LƯỢNG</t>
  </si>
  <si>
    <t>KL</t>
  </si>
  <si>
    <t>BẢNG PHÂN TÍCH  THÀNH PHẦN CA MÁY</t>
  </si>
  <si>
    <t>BẢNG TÍNH LƯƠNG, PHỤ CẤP CHO CÔNG NHÂN LÁI MÁY</t>
  </si>
  <si>
    <t>THÀNH
 TIỀN</t>
  </si>
  <si>
    <t>SỐ</t>
  </si>
  <si>
    <t>BẢNG CHIẾT TÍNH  ĐƠN GIÁ CA MÁY THEO CÁCH TRỰC TIẾP</t>
  </si>
  <si>
    <t>GIÁ CA MÁY</t>
  </si>
  <si>
    <t>GỐC</t>
  </si>
  <si>
    <t>THỰC TẾ</t>
  </si>
  <si>
    <t>CHÊNH LỆCH</t>
  </si>
  <si>
    <t>CHÊNH LỆCH
NL - LTDK</t>
  </si>
  <si>
    <t>BẢNG TÍNH GIÁ CA MÁY BÙ NHIÊN LIỆU, TIỀN LƯƠNG THỢ ĐIỀU KHIỂN</t>
  </si>
  <si>
    <t>THÀNH</t>
  </si>
  <si>
    <t>LỆCH</t>
  </si>
  <si>
    <t>TIỀN</t>
  </si>
  <si>
    <t xml:space="preserve">BẢNG TỔNG HỢP CHI PHÍ BÙ NHIÊN LIỆU, TIỀN LƯƠNG </t>
  </si>
  <si>
    <t>Nhóm I</t>
  </si>
  <si>
    <t>Nhóm II</t>
  </si>
  <si>
    <t>Nhóm III</t>
  </si>
  <si>
    <t>B. Công nhân lái xe - Bảng lương B12</t>
  </si>
  <si>
    <t>Nhóm IV</t>
  </si>
  <si>
    <t>Nhóm V</t>
  </si>
  <si>
    <t>Nhóm VI</t>
  </si>
  <si>
    <t>C. Thuyển trưởng (Bảng B2)</t>
  </si>
  <si>
    <t>D</t>
  </si>
  <si>
    <t>D. Đại phó, Máy trưởng  (Bảng B2)</t>
  </si>
  <si>
    <t>E</t>
  </si>
  <si>
    <t>E. Thuyền phó 2, Máy 2  (Bảng B2)</t>
  </si>
  <si>
    <t>F</t>
  </si>
  <si>
    <t>F. Thủy thủ tàu vận tải biển</t>
  </si>
  <si>
    <t>G. Thợ máy kiêm cơ khí, thợ bơm - Tàu biển</t>
  </si>
  <si>
    <t>H</t>
  </si>
  <si>
    <t>H. Thợ máy, điện, vô tuyến điện - Tàu biển</t>
  </si>
  <si>
    <t>I. Phục vụ viên - Tàu biển</t>
  </si>
  <si>
    <t>J</t>
  </si>
  <si>
    <t>J. Cấp dưỡng - Tàu biển</t>
  </si>
  <si>
    <t>K</t>
  </si>
  <si>
    <t>K. Thủy thủ tàu vận tải sông</t>
  </si>
  <si>
    <t>L</t>
  </si>
  <si>
    <t>L. Thợ máy, thợ điện tàu vận tải sông</t>
  </si>
  <si>
    <t xml:space="preserve">M. Phục vụ viên </t>
  </si>
  <si>
    <t>N</t>
  </si>
  <si>
    <t>N. Thợ lặn</t>
  </si>
  <si>
    <t>O</t>
  </si>
  <si>
    <t>O. Tàu hút bụng (Bảng B5)</t>
  </si>
  <si>
    <t>Thuyển trưởng</t>
  </si>
  <si>
    <t>Máy trưởng</t>
  </si>
  <si>
    <t>Đại phó, máy 2</t>
  </si>
  <si>
    <t>Thuyền phó 2</t>
  </si>
  <si>
    <t>Thuyền phó 3</t>
  </si>
  <si>
    <t>P</t>
  </si>
  <si>
    <t>P. Thuyển trưởng tàu nạo vét sông</t>
  </si>
  <si>
    <t>Điện trưởng</t>
  </si>
  <si>
    <t>Q.  Thuyền viên và công nhân viên tàu công trình</t>
  </si>
  <si>
    <t>Nhân công 3,0/4 (phục vụ tàu nạo vét biển)</t>
  </si>
  <si>
    <t>Nhân công 3,0/4 (phục vụ tàu nạo vét sông)</t>
  </si>
  <si>
    <t>Nhân công 2,7/4 (phục vụ tàu nạo vét biển)</t>
  </si>
  <si>
    <t>Nhân công 2,7/4 (phục vụ tàu nạo vét sông)</t>
  </si>
  <si>
    <t xml:space="preserve">BẢNG DỮ LIỆU ĐẦU VÀO </t>
  </si>
  <si>
    <t>DỮ LIỆU ĐẦU VÀO</t>
  </si>
  <si>
    <t>TÍNH THEO</t>
  </si>
  <si>
    <t>HS PHỤ</t>
  </si>
  <si>
    <t>NL0001</t>
  </si>
  <si>
    <t>Xăng</t>
  </si>
  <si>
    <t>NL0002</t>
  </si>
  <si>
    <t>Dầu Diezen</t>
  </si>
  <si>
    <t>NL0003</t>
  </si>
  <si>
    <t>Điện</t>
  </si>
  <si>
    <t>NL0004</t>
  </si>
  <si>
    <t>Dầu Mazut</t>
  </si>
  <si>
    <t>LTTC</t>
  </si>
  <si>
    <t>Mức lương tối thiểu chung</t>
  </si>
  <si>
    <t>đồng</t>
  </si>
  <si>
    <t>LTTV</t>
  </si>
  <si>
    <t>Mức lương tối thiểu vùng</t>
  </si>
  <si>
    <t>PCLD</t>
  </si>
  <si>
    <t>Phụ cấp lưu động</t>
  </si>
  <si>
    <t>PCKV</t>
  </si>
  <si>
    <t>Phụ cấp khu vực</t>
  </si>
  <si>
    <t>PCTN</t>
  </si>
  <si>
    <t>Phụ cấp trách nhiệm</t>
  </si>
  <si>
    <t>PCDH</t>
  </si>
  <si>
    <t>Phụ cấp độc hại</t>
  </si>
  <si>
    <t>PCTH</t>
  </si>
  <si>
    <t>Phụ cấp thu hút</t>
  </si>
  <si>
    <t>LCB</t>
  </si>
  <si>
    <t>PCOD</t>
  </si>
  <si>
    <t>Phụ cấp không ổn định SX</t>
  </si>
  <si>
    <t>LP</t>
  </si>
  <si>
    <t>CPK</t>
  </si>
  <si>
    <t>Các khoản chi phí khoán</t>
  </si>
  <si>
    <t xml:space="preserve">BẢNG TỔNG HỢP CHI PHÍ XÂY DỰNG </t>
  </si>
  <si>
    <t>Ngày…....tháng……năm………</t>
  </si>
  <si>
    <t>Đơn vị tính: đồng</t>
  </si>
  <si>
    <t>KHOẢN MỤC CHI PHÍ</t>
  </si>
  <si>
    <t>GIÁ TRỊ</t>
  </si>
  <si>
    <t>G1</t>
  </si>
  <si>
    <t>GXD</t>
  </si>
  <si>
    <t>BẢNG TỔNG HỢP CHI PHÍ THIẾT BỊ</t>
  </si>
  <si>
    <t>NỘI DUNG CHI PHÍ</t>
  </si>
  <si>
    <t>GIÁ TRỊ TRƯỚC THUẾ</t>
  </si>
  <si>
    <t>THUẾ GTGT</t>
  </si>
  <si>
    <t>GIÁ TRỊ SAU THUẾ</t>
  </si>
  <si>
    <t>Chi phí mua sắm thiết bị</t>
  </si>
  <si>
    <t>…..</t>
  </si>
  <si>
    <t>Chi phí đào tạo và chuyển giao công nghệ</t>
  </si>
  <si>
    <t>Chi phí lắp đặt thiết bị và thí nghiệm, hiệu chỉnh</t>
  </si>
  <si>
    <t>GTB</t>
  </si>
  <si>
    <t>Chi phí thẩm tra, phê duyệt quyết toán</t>
  </si>
  <si>
    <t>Chi phí kiểm toán</t>
  </si>
  <si>
    <t>Chi phí thẩm định kết quả lựa chọn nhà thầu</t>
  </si>
  <si>
    <t>BẢNG TÍNH CHI PHÍ VẬN CHUYỂN</t>
  </si>
  <si>
    <t>VẬT TƯ</t>
  </si>
  <si>
    <t>CPC</t>
  </si>
  <si>
    <t>Thành tiền</t>
  </si>
  <si>
    <t>HS đổ ben</t>
  </si>
  <si>
    <t>HS
lương</t>
  </si>
  <si>
    <t>MÃ MÁY</t>
  </si>
  <si>
    <t>MÃ VT</t>
  </si>
  <si>
    <t>ĐƠN GIÁ NL-TL</t>
  </si>
  <si>
    <t>MÃ HP</t>
  </si>
  <si>
    <t>Chi phí lập hồ sơ mời thầu và phân tích đánh giá  hồ sơ dự thầu thi công xây dựng</t>
  </si>
  <si>
    <t>G. ĐỊNH MỨC CHI PHÍ LẬP HỒ SƠ MỜI THẦU VÀ ĐÁNH GIÁ HS DỰ THẦU</t>
  </si>
  <si>
    <t>I. ĐỊNH MỨC CHI PHÍ LẬP HỒ SƠ MỜI THẦU VÀ ĐÁNH GIÁ HỒ SƠ DỰ THẦU THIẾT BỊ</t>
  </si>
  <si>
    <t>G. ĐỊNH MỨC CHI PHÍ LẬP HỒ SƠ MỜI THẦU XÂY LẮP - ĐÁNH GIÁ HSDT - QĐ 10</t>
  </si>
  <si>
    <t>(Theo TT33/TT-BTC ngày 9/4/2007)</t>
  </si>
  <si>
    <t>Tổng mức đầu tư  (Tỷ đồng)</t>
  </si>
  <si>
    <t>Thẩm tra -phê duyệt (%)</t>
  </si>
  <si>
    <t>Kiểm toán ( %)</t>
  </si>
  <si>
    <t>(Theo TT19/2011/TT-BTC ngày 14/2/2011)</t>
  </si>
  <si>
    <t>Thẩm tra, phê duyệt (%)</t>
  </si>
  <si>
    <t>SL</t>
  </si>
  <si>
    <t>N24.00041</t>
  </si>
  <si>
    <t>N24.00042</t>
  </si>
  <si>
    <t>N24.00031</t>
  </si>
  <si>
    <t>N24.00032</t>
  </si>
  <si>
    <t>CHÊNH
LỆCH</t>
  </si>
  <si>
    <t>ĐƠN GIÁ THẨM TRA</t>
  </si>
  <si>
    <t>Ghi chú: Trong phạm vi cước cố định sẽ không được tính cước theo chiều dài vận chuyển</t>
  </si>
  <si>
    <t xml:space="preserve">Cước cố định </t>
  </si>
  <si>
    <t>Hàng bậc</t>
  </si>
  <si>
    <t>CPXD1</t>
  </si>
  <si>
    <t>CPXD2</t>
  </si>
  <si>
    <t>CPMS</t>
  </si>
  <si>
    <t>CPCG</t>
  </si>
  <si>
    <t>CPLD</t>
  </si>
  <si>
    <t>GQLDA</t>
  </si>
  <si>
    <t>GTV</t>
  </si>
  <si>
    <t>TV1</t>
  </si>
  <si>
    <t>GK</t>
  </si>
  <si>
    <t>GDP</t>
  </si>
  <si>
    <t>TV2</t>
  </si>
  <si>
    <t>TV3</t>
  </si>
  <si>
    <t>TV4</t>
  </si>
  <si>
    <t>TV5</t>
  </si>
  <si>
    <t>TV6</t>
  </si>
  <si>
    <t>TV7</t>
  </si>
  <si>
    <t>TV8</t>
  </si>
  <si>
    <t>TV9</t>
  </si>
  <si>
    <t>K1</t>
  </si>
  <si>
    <t>K2</t>
  </si>
  <si>
    <t>K3</t>
  </si>
  <si>
    <t>K4</t>
  </si>
  <si>
    <t>DP1</t>
  </si>
  <si>
    <t>DP2</t>
  </si>
  <si>
    <t>Sheet thực tế</t>
  </si>
  <si>
    <t>Hàm nội suy chuy phí quản lý dự án</t>
  </si>
  <si>
    <t>Hàm nội suy chi phí lập dự án đầu tư</t>
  </si>
  <si>
    <t>Hàm nội suy chi phí lập báo cáo kinh tế kỹ thuật</t>
  </si>
  <si>
    <t>Hàm nội suy chi phí thiết kế</t>
  </si>
  <si>
    <t>Hàm nội suy chi phí thẩm tra dự toán</t>
  </si>
  <si>
    <t>Hàm nội suy chi phí thẩm tra thiết kế</t>
  </si>
  <si>
    <t>Hàm nội suy chi phí thẩm tra tính hiệu quả và khả thi của dự án đầu tư</t>
  </si>
  <si>
    <t>Hàm nội suy chi phí lập hồ sơ mời thầu phần xây dựng</t>
  </si>
  <si>
    <t>Hàm nội suy chi phí đánh giá hồ sơ dự thầu phần xây dựng</t>
  </si>
  <si>
    <t>Hàm nội suy chi phí lập hồ sơ mời thầu phần thiết bị</t>
  </si>
  <si>
    <t>Hàm nội suy chi phí đánh giá hồ sơ dự thầu phần thiết bị</t>
  </si>
  <si>
    <t>Hàm nội suy chi phí giám sát phần xây dựng</t>
  </si>
  <si>
    <t>Hàm nội suy chi phí giám sát phần lắp đặt thiết bị xây dựng</t>
  </si>
  <si>
    <t>Hàm nội suy chi phí kiểm toán</t>
  </si>
  <si>
    <t>Hàm nội suy chi phí quyết toán</t>
  </si>
  <si>
    <t>Hàm lấy địa chỉ của vùng nội suy</t>
  </si>
  <si>
    <t>Tên chi phí (Thông tin sẽ hiển thị trong bảng ĐGCT)</t>
  </si>
  <si>
    <t>Cách tính</t>
  </si>
  <si>
    <t>Định mức</t>
  </si>
  <si>
    <t>a</t>
  </si>
  <si>
    <t>BẢNG PHÂN TÍCH BÙ GIÁ MÁY CHO CÔNG TÁC</t>
  </si>
  <si>
    <t>BÙ</t>
  </si>
  <si>
    <t>NL-TL</t>
  </si>
  <si>
    <t>Tổng cước vận chuyển</t>
  </si>
  <si>
    <t>Bậc hàng</t>
  </si>
  <si>
    <t>Phương tiện</t>
  </si>
  <si>
    <t>BẢNG QUY ĐỊNH HỆ SỐ BẬC HÀNG</t>
  </si>
  <si>
    <t>Hệ số bậc hàng</t>
  </si>
  <si>
    <t>CÁC THÔNG TIN KHÁC</t>
  </si>
  <si>
    <t>1. Righclick Contents</t>
  </si>
  <si>
    <t>Đvt</t>
  </si>
  <si>
    <t>HS bậc hàng</t>
  </si>
  <si>
    <t>TỔNG KHỐI LƯỢNG</t>
  </si>
  <si>
    <t>ĐỊA ĐIỂM XD:</t>
  </si>
  <si>
    <t>HẠNG MỤC:</t>
  </si>
  <si>
    <t>CÔNG TRÌNH:</t>
  </si>
  <si>
    <t>GIÁ TRỊ DỰ TOÁN:</t>
  </si>
  <si>
    <t>Ghi chú:</t>
  </si>
  <si>
    <r>
      <t>A1 * HS</t>
    </r>
    <r>
      <rPr>
        <vertAlign val="subscript"/>
        <sz val="12"/>
        <rFont val="Times New Roman"/>
        <family val="1"/>
      </rPr>
      <t>VL</t>
    </r>
  </si>
  <si>
    <t>hsvl</t>
  </si>
  <si>
    <t>hsnc</t>
  </si>
  <si>
    <t>hsmtc</t>
  </si>
  <si>
    <t>hscpc</t>
  </si>
  <si>
    <t>hstncttt</t>
  </si>
  <si>
    <t>2. Version_Hiện tại</t>
  </si>
  <si>
    <r>
      <t>B1 * HS</t>
    </r>
    <r>
      <rPr>
        <vertAlign val="subscript"/>
        <sz val="12"/>
        <rFont val="Times New Roman"/>
        <family val="1"/>
      </rPr>
      <t>NC</t>
    </r>
  </si>
  <si>
    <r>
      <t>C1 * HS</t>
    </r>
    <r>
      <rPr>
        <vertAlign val="subscript"/>
        <sz val="12"/>
        <rFont val="Times New Roman"/>
        <family val="1"/>
      </rPr>
      <t>MTC</t>
    </r>
  </si>
  <si>
    <t>GIÁ TRỊ (đ)</t>
  </si>
  <si>
    <t>THKP</t>
  </si>
  <si>
    <t>Phan tich bu ca may</t>
  </si>
  <si>
    <t>Giá trị dự toán xây lắp sau thuế</t>
  </si>
  <si>
    <t>Giá trị dự toán xây lắp trước thuế</t>
  </si>
  <si>
    <t>Giá thành dự toán xây lắp</t>
  </si>
  <si>
    <t>KẾT QUẢ THẨM TRA</t>
  </si>
  <si>
    <t>KHỐI LƯỢNG
THẨM TRA</t>
  </si>
  <si>
    <t>CHI TIẾT</t>
  </si>
  <si>
    <t>3.1. Chính thức</t>
  </si>
  <si>
    <t>Book4</t>
  </si>
  <si>
    <t>DG</t>
  </si>
  <si>
    <t>DM</t>
  </si>
  <si>
    <t>TDVT</t>
  </si>
  <si>
    <t>GVT</t>
  </si>
  <si>
    <t>PLV</t>
  </si>
  <si>
    <t>CVC</t>
  </si>
  <si>
    <t>TDCM</t>
  </si>
  <si>
    <t>SD</t>
  </si>
  <si>
    <t>CHUNG</t>
  </si>
  <si>
    <t>FILE</t>
  </si>
  <si>
    <t>3.2. Dùng chung 1</t>
  </si>
  <si>
    <t>3.3. Dùng chung 2</t>
  </si>
  <si>
    <t>3.4. Dùng chung 3</t>
  </si>
  <si>
    <t>3.5. Dùng chung 4</t>
  </si>
  <si>
    <t>3.6. Người dùng</t>
  </si>
  <si>
    <t>DG_User.xls</t>
  </si>
  <si>
    <t>Mẫu tiêu đề bảng Giá trị vật tư/Chênh lệch vật tư</t>
  </si>
  <si>
    <t>KHỐI</t>
  </si>
  <si>
    <t>TB</t>
  </si>
  <si>
    <t>CHÊNH</t>
  </si>
  <si>
    <t>1. Tính chênh lệch:</t>
  </si>
  <si>
    <t>2. Tính thực tế:</t>
  </si>
  <si>
    <t>ĐƠN</t>
  </si>
  <si>
    <t>GIÁ</t>
  </si>
  <si>
    <t>Điều chỉnh nhân công lái máy theo hệ số</t>
  </si>
  <si>
    <t>VẬT LIỆU THIẾU</t>
  </si>
  <si>
    <t>NHÂN CÔNG THIẾU</t>
  </si>
  <si>
    <t>MÁY THI CÔNG THIẾU</t>
  </si>
  <si>
    <t>Vận chuyển bằng gánh vác bộ</t>
  </si>
  <si>
    <t>Vận chuyển bằng phương tiện thô sơ</t>
  </si>
  <si>
    <t>Đơn vị tính</t>
  </si>
  <si>
    <t>Loại vật liệu</t>
  </si>
  <si>
    <t>Bốc xếp thủ công
 (Gồm bốc lênh và xuống)</t>
  </si>
  <si>
    <t>Cát các loại, than xỉ, gạch vỡ</t>
  </si>
  <si>
    <t>Đất sét, đất dính</t>
  </si>
  <si>
    <t>Sỏi, đá dăm các loại</t>
  </si>
  <si>
    <t>Đá hộc, đá ba, đá chẻ, đá xanh miếng</t>
  </si>
  <si>
    <t>Các loại bột (bột đá, bột thạch anh, xi măng..)</t>
  </si>
  <si>
    <t>Gạch silicat</t>
  </si>
  <si>
    <t>Gạch chỉ, gạch thẻ</t>
  </si>
  <si>
    <t>Gạch rỗng đất nung các loại</t>
  </si>
  <si>
    <t>Gạch bê tông</t>
  </si>
  <si>
    <t>Gạch lát các loại</t>
  </si>
  <si>
    <t>Gạch men kính các loại</t>
  </si>
  <si>
    <t>Đá ốp lát các loại</t>
  </si>
  <si>
    <t>Ngói các loại</t>
  </si>
  <si>
    <t>Vôi các loại</t>
  </si>
  <si>
    <t>Tấm lợp các loại</t>
  </si>
  <si>
    <t>Xi măng đóng bao các loại</t>
  </si>
  <si>
    <t>tấn</t>
  </si>
  <si>
    <t>Sắt thép các loại</t>
  </si>
  <si>
    <t>Gỗ các loại</t>
  </si>
  <si>
    <t>m3</t>
  </si>
  <si>
    <t>Tre cây, cừ tràm  (dài từ 4-5m)</t>
  </si>
  <si>
    <t>100 cây</t>
  </si>
  <si>
    <t>Kính các loại</t>
  </si>
  <si>
    <t>m2</t>
  </si>
  <si>
    <t>Cấu kiện bê tông đúc sẳn</t>
  </si>
  <si>
    <t xml:space="preserve">Vận chuyển các loại phế thải </t>
  </si>
  <si>
    <t>1000v</t>
  </si>
  <si>
    <t>100m2</t>
  </si>
  <si>
    <t>3. Mẫu biểu thẩm tra tại bảng Phân tích vật tư:</t>
  </si>
  <si>
    <t>Gốc</t>
  </si>
  <si>
    <t>Thẩm tra</t>
  </si>
  <si>
    <t>Chênh</t>
  </si>
  <si>
    <t xml:space="preserve">Ghi </t>
  </si>
  <si>
    <t>Tên</t>
  </si>
  <si>
    <t>Hao phí</t>
  </si>
  <si>
    <t>Lệch</t>
  </si>
  <si>
    <t>Chú</t>
  </si>
  <si>
    <t xml:space="preserve">I. Các chi phí dự kiến thực hiện </t>
  </si>
  <si>
    <t>Nội dung chi phí</t>
  </si>
  <si>
    <t>Ký hiệu</t>
  </si>
  <si>
    <t>Giá trị</t>
  </si>
  <si>
    <t>Tổng chi phí đầu tư</t>
  </si>
  <si>
    <r>
      <t>G</t>
    </r>
    <r>
      <rPr>
        <vertAlign val="subscript"/>
        <sz val="11"/>
        <rFont val="Times New Roman"/>
        <family val="1"/>
      </rPr>
      <t>XD</t>
    </r>
  </si>
  <si>
    <r>
      <t>G</t>
    </r>
    <r>
      <rPr>
        <vertAlign val="subscript"/>
        <sz val="11"/>
        <rFont val="Times New Roman"/>
        <family val="1"/>
      </rPr>
      <t>TB</t>
    </r>
  </si>
  <si>
    <r>
      <t>G</t>
    </r>
    <r>
      <rPr>
        <vertAlign val="subscript"/>
        <sz val="11"/>
        <rFont val="Times New Roman"/>
        <family val="1"/>
      </rPr>
      <t>QLDA</t>
    </r>
  </si>
  <si>
    <r>
      <t>G</t>
    </r>
    <r>
      <rPr>
        <vertAlign val="subscript"/>
        <sz val="11"/>
        <rFont val="Times New Roman"/>
        <family val="1"/>
      </rPr>
      <t>TV</t>
    </r>
  </si>
  <si>
    <r>
      <t>G</t>
    </r>
    <r>
      <rPr>
        <vertAlign val="subscript"/>
        <sz val="11"/>
        <rFont val="Times New Roman"/>
        <family val="1"/>
      </rPr>
      <t>K</t>
    </r>
  </si>
  <si>
    <t>Chi phí khác</t>
  </si>
  <si>
    <t>Chi phí tư vấn đầu tư xây dựng</t>
  </si>
  <si>
    <t>Chi phí thiết bị</t>
  </si>
  <si>
    <t>Chi phí xây dựng</t>
  </si>
  <si>
    <r>
      <t>II. Dự phòng do yếu tố trượt giá:</t>
    </r>
    <r>
      <rPr>
        <b/>
        <sz val="11"/>
        <rFont val="Times New Roman"/>
        <family val="1"/>
      </rPr>
      <t xml:space="preserve"> (G</t>
    </r>
    <r>
      <rPr>
        <b/>
        <vertAlign val="subscript"/>
        <sz val="11"/>
        <rFont val="Times New Roman"/>
        <family val="1"/>
      </rPr>
      <t>DP2</t>
    </r>
    <r>
      <rPr>
        <b/>
        <sz val="11"/>
        <rFont val="Times New Roman"/>
        <family val="1"/>
      </rPr>
      <t>)</t>
    </r>
  </si>
  <si>
    <t>Chỉ tiêu</t>
  </si>
  <si>
    <t>Tiến độ thực hiện (năm)</t>
  </si>
  <si>
    <t>2. Bảng tính chi phí dự phòng do yếu tố trượt giá:</t>
  </si>
  <si>
    <t>Nội dung</t>
  </si>
  <si>
    <t>Mức phân bổ vốn từng năm (%)</t>
  </si>
  <si>
    <t>Chi phí thực hiện dự án theo tiến độ đã có trượt giá</t>
  </si>
  <si>
    <t>Trượt giá từng năm</t>
  </si>
  <si>
    <r>
      <t>Trượt giá tích luỹ (G</t>
    </r>
    <r>
      <rPr>
        <vertAlign val="subscript"/>
        <sz val="12"/>
        <rFont val="Times New Roman"/>
        <family val="1"/>
        <charset val="163"/>
      </rPr>
      <t>DP2</t>
    </r>
    <r>
      <rPr>
        <sz val="12"/>
        <rFont val="Times New Roman"/>
        <family val="1"/>
      </rPr>
      <t>)</t>
    </r>
  </si>
  <si>
    <t>THÀNH
TIỀN</t>
  </si>
  <si>
    <t>TỔNG
KL</t>
  </si>
  <si>
    <t>KHỐI 
LƯỢNG</t>
  </si>
  <si>
    <t>Phụ lục 1: Phí thẩm tra thiết kế xây dựng công trình sử dụng vốn ngân sách nhà nước do cơ quan quản lý nhà nước thực hiện toàn bộ công việc thẩm tra</t>
  </si>
  <si>
    <t>1. Phí thẩm tra thiết kế</t>
  </si>
  <si>
    <t>Đơn vị tính: Tỷ lệ %</t>
  </si>
  <si>
    <t>Chi phí xây dựng (chưa có thuế GTGT) trong dự toán công trình
hoặc dự toán gói thầu được duyệt (tỷ đồng)</t>
  </si>
  <si>
    <t>2. Phí thẩm tra dự toán</t>
  </si>
  <si>
    <t>M. ĐỊNH MỨC PHÍ THẨM TRA THIẾT KẾ CÔNG TRÌNH XÂY DỰNG</t>
  </si>
  <si>
    <t>Công trình nông nghiệp và phát triển nông thôn</t>
  </si>
  <si>
    <t>Phụ lục 2: Phí thẩm tra thiết kế xây dựng công trình sử dụng vốn ngân sách nhà nước khi cơ quan quản lý nhà nước thuê tổ chức tư vấn, cá nhân cùng thẩm tra</t>
  </si>
  <si>
    <t>Phụ lục 3: Phí thẩm tra thiết kế xây dựng công trình sử dụng nguồn vốn khác</t>
  </si>
  <si>
    <t>1. Phí thẩm tra thiết kế + Dự toán</t>
  </si>
  <si>
    <t>M. ĐỊNH MỨC CHI PHÍ KIỂM TOÁN, QUYẾT TOÁN</t>
  </si>
  <si>
    <t>K5</t>
  </si>
  <si>
    <t>Công trình thuỷ lợi/Nông nghiệp, phát triển nông thôn</t>
  </si>
  <si>
    <t>Thamtra_Dutoan</t>
  </si>
  <si>
    <t>Thamtra_Phantichvattu</t>
  </si>
  <si>
    <t>HỒ SƠ DỰ TOÁN</t>
  </si>
  <si>
    <t>GHI CHÚ</t>
  </si>
  <si>
    <t>TV11</t>
  </si>
  <si>
    <t>BẢNG ĐƠN GIÁ CHI TIẾT THU GỌN</t>
  </si>
  <si>
    <t>K7</t>
  </si>
  <si>
    <t>M. BIỂU MỨC THU PHÍ THẨM ĐỊNH DỰ ÁN ĐẦU TƯ XÂY DỰNG</t>
  </si>
  <si>
    <t>Tỷ lệ</t>
  </si>
  <si>
    <t>Quản lý vùng nội suy của các loại chi phí</t>
  </si>
  <si>
    <t>KL
ĐỊNH MỨC</t>
  </si>
  <si>
    <t>KL
THI CÔNG</t>
  </si>
  <si>
    <t>KẾT QUẢ THẨM ĐỊNH</t>
  </si>
  <si>
    <t>BÁO CÁO KẾT QUẢ THẨM ĐỊNH BẢNG PHÂN TÍCH VẬT TƯ</t>
  </si>
  <si>
    <t>Thamtra_GTVT</t>
  </si>
  <si>
    <t>BÁO CÁO KẾT QUẢ THẨM ĐỊNH BẢNG GIÁ TRỊ VẬT TƯ</t>
  </si>
  <si>
    <t>Lương ngày công</t>
  </si>
  <si>
    <t>Lương tối thiểu</t>
  </si>
  <si>
    <t>BẢNG TÍNH LƯƠNG CÔNG NHÂN XÂY DỰNG</t>
  </si>
  <si>
    <t>LuongCN_XD1</t>
  </si>
  <si>
    <t>LuongCN_LaiMay1</t>
  </si>
  <si>
    <t>Nhân công xây dựng cơ bản Nhóm I, bậc 1/7</t>
  </si>
  <si>
    <t>N101.10.07</t>
  </si>
  <si>
    <t>Nhân công xây dựng cơ bản Nhóm I, bậc 2/7</t>
  </si>
  <si>
    <t>N101.20.07</t>
  </si>
  <si>
    <t>Nhân công xây dựng cơ bản Nhóm I, bậc 2,5/7</t>
  </si>
  <si>
    <t>N101.25.07</t>
  </si>
  <si>
    <t>Nhân công xây dựng cơ bản Nhóm I, bậc 2,7/7</t>
  </si>
  <si>
    <t>N101.27.07</t>
  </si>
  <si>
    <t>Nhân công xây dựng cơ bản Nhóm I, bậc 3/7</t>
  </si>
  <si>
    <t>N101.30.07</t>
  </si>
  <si>
    <t>Nhân công xây dựng cơ bản Nhóm I, bậc 3,2/7</t>
  </si>
  <si>
    <t>N101.32.07</t>
  </si>
  <si>
    <t>Nhân công xây dựng cơ bản Nhóm I, bậc 3,3/7</t>
  </si>
  <si>
    <t>N101.33.07</t>
  </si>
  <si>
    <t>Nhân công xây dựng cơ bản Nhóm I, bậc 3,5/7</t>
  </si>
  <si>
    <t>N101.35.07</t>
  </si>
  <si>
    <t>Nhân công xây dựng cơ bản Nhóm I, bậc 3,7/7</t>
  </si>
  <si>
    <t>N101.37.07</t>
  </si>
  <si>
    <t>Nhân công xây dựng cơ bản Nhóm I, bậc 4/7</t>
  </si>
  <si>
    <t>N101.40.07</t>
  </si>
  <si>
    <t>Nhân công xây dựng cơ bản Nhóm I, bậc 4,2/7</t>
  </si>
  <si>
    <t>N101.42.07</t>
  </si>
  <si>
    <t>Nhân công xây dựng cơ bản Nhóm I, bậc 4,3/7</t>
  </si>
  <si>
    <t>N101.43.07</t>
  </si>
  <si>
    <t>Nhân công xây dựng cơ bản Nhóm I, bậc 4,5/7</t>
  </si>
  <si>
    <t>N101.45.07</t>
  </si>
  <si>
    <t>Nhân công xây dựng cơ bản Nhóm I, bậc 4,7/7</t>
  </si>
  <si>
    <t>N101.47.07</t>
  </si>
  <si>
    <t>Nhân công xây dựng cơ bản Nhóm I, bậc 5/7</t>
  </si>
  <si>
    <t>N101.50.07</t>
  </si>
  <si>
    <t>Nhân công xây dựng cơ bản Nhóm I, bậc 5,2/7</t>
  </si>
  <si>
    <t>N101.52.07</t>
  </si>
  <si>
    <t>Nhân công xây dựng cơ bản Nhóm I, bậc 5,5/7</t>
  </si>
  <si>
    <t>N101.55.07</t>
  </si>
  <si>
    <t>Nhân công xây dựng cơ bản Nhóm I, bậc 6/7</t>
  </si>
  <si>
    <t>N101.60.07</t>
  </si>
  <si>
    <t>Nhân công xây dựng cơ bản Nhóm I, bậc 7/7</t>
  </si>
  <si>
    <t>N101.70.07</t>
  </si>
  <si>
    <t>Nhân công xây dựng cơ bản Nhóm II, bậc 1/7</t>
  </si>
  <si>
    <t>N102.10.07</t>
  </si>
  <si>
    <t>Nhân công xây dựng cơ bản Nhóm II, bậc 2/7</t>
  </si>
  <si>
    <t>N102.20.07</t>
  </si>
  <si>
    <t>Nhân công xây dựng cơ bản Nhóm II, bậc 2,5/7</t>
  </si>
  <si>
    <t>N102.25.07</t>
  </si>
  <si>
    <t>Nhân công xây dựng cơ bản Nhóm II, bậc 2,7/7</t>
  </si>
  <si>
    <t>N102.27.07</t>
  </si>
  <si>
    <t>Nhân công xây dựng cơ bản Nhóm II, bậc 3/7</t>
  </si>
  <si>
    <t>N102.30.07</t>
  </si>
  <si>
    <t>Nhân công xây dựng cơ bản Nhóm II, bậc 3,2/7</t>
  </si>
  <si>
    <t>N102.32.07</t>
  </si>
  <si>
    <t>Nhân công xây dựng cơ bản Nhóm II, bậc 3,5/7</t>
  </si>
  <si>
    <t>N102.35.07</t>
  </si>
  <si>
    <t>Nhân công xây dựng cơ bản Nhóm II, bậc 3,7/7</t>
  </si>
  <si>
    <t>N102.37.07</t>
  </si>
  <si>
    <t>Nhân công xây dựng cơ bản Nhóm II, bậc 4/7</t>
  </si>
  <si>
    <t>N102.40.07</t>
  </si>
  <si>
    <t>Nhân công xây dựng cơ bản Nhóm II, bậc 4,2/7</t>
  </si>
  <si>
    <t>N102.42.07</t>
  </si>
  <si>
    <t>Nhân công xây dựng cơ bản Nhóm II, bậc 4,5/7</t>
  </si>
  <si>
    <t>N102.45.07</t>
  </si>
  <si>
    <t>Nhân công xây dựng cơ bản Nhóm II, bậc 4,7/7</t>
  </si>
  <si>
    <t>N102.47.07</t>
  </si>
  <si>
    <t>Nhân công xây dựng cơ bản Nhóm II, bậc 5/7</t>
  </si>
  <si>
    <t>N102.50.07</t>
  </si>
  <si>
    <t>Nhân công xây dựng cơ bản Nhóm II, bậc 5,2/7</t>
  </si>
  <si>
    <t>N102.52.07</t>
  </si>
  <si>
    <t>Nhân công xây dựng cơ bản Nhóm II, bậc 5,5/7</t>
  </si>
  <si>
    <t>N102.55.07</t>
  </si>
  <si>
    <t>Nhân công xây dựng cơ bản Nhóm II, bậc 6/7</t>
  </si>
  <si>
    <t>N102.60.07</t>
  </si>
  <si>
    <t>Nhân công xây dựng cơ bản Nhóm II, bậc 7/7</t>
  </si>
  <si>
    <t>N102.70.07</t>
  </si>
  <si>
    <t>Nhân công xây dựng cơ bản Nhóm III, bậc 1/7</t>
  </si>
  <si>
    <t>Nhân công xây dựng cơ bản Nhóm III, bậc 2/7</t>
  </si>
  <si>
    <t>Nhân công xây dựng cơ bản Nhóm III, bậc 2,5/7</t>
  </si>
  <si>
    <t>Nhân công xây dựng cơ bản Nhóm III, bậc 2,7/7</t>
  </si>
  <si>
    <t>Nhân công xây dựng cơ bản Nhóm III, bậc 3/7</t>
  </si>
  <si>
    <t>Nhân công xây dựng cơ bản Nhóm III, bậc 3,2/7</t>
  </si>
  <si>
    <t>Nhân công xây dựng cơ bản Nhóm III, bậc 3,5/7</t>
  </si>
  <si>
    <t>Nhân công xây dựng cơ bản Nhóm III, bậc 3,7/7</t>
  </si>
  <si>
    <t>Nhân công xây dựng cơ bản Nhóm III, bậc 4/7</t>
  </si>
  <si>
    <t>Nhân công xây dựng cơ bản Nhóm III, bậc 4,2/7</t>
  </si>
  <si>
    <t>Nhân công xây dựng cơ bản Nhóm III, bậc 4,3/7</t>
  </si>
  <si>
    <t>N102.43.07</t>
  </si>
  <si>
    <t>Nhân công xây dựng cơ bản Nhóm III, bậc 4,5/7</t>
  </si>
  <si>
    <t>Nhân công xây dựng cơ bản Nhóm III, bậc 4,7/7</t>
  </si>
  <si>
    <t>Nhân công xây dựng cơ bản Nhóm III, bậc 5/7</t>
  </si>
  <si>
    <t>Nhân công xây dựng cơ bản Nhóm III, bậc 5,2/7</t>
  </si>
  <si>
    <t>Nhân công xây dựng cơ bản Nhóm III, bậc 5,5/7</t>
  </si>
  <si>
    <t>Nhân công xây dựng cơ bản Nhóm III, bậc 6/7</t>
  </si>
  <si>
    <t>Nhân công xây dựng cơ bản Nhóm III, bậc 7/7</t>
  </si>
  <si>
    <t>Nhân công lái xe cẩu, xe tải dưới 3,5 tấn, xe khách dưới 20 ghế, bậc 1/4</t>
  </si>
  <si>
    <t>N401.10.04</t>
  </si>
  <si>
    <t>Nhân công lái xe cẩu, xe tải dưới 3,5 tấn, xe khách dưới 20 ghế, bậc 2/4</t>
  </si>
  <si>
    <t>N401.20.04</t>
  </si>
  <si>
    <t>Nhân công lái xe cẩu, xe tải dưới 3,5 tấn, xe khách dưới 20 ghế, bậc 3/4</t>
  </si>
  <si>
    <t>N401.30.04</t>
  </si>
  <si>
    <t>Nhân công lái xe cẩu, xe tải dưới 3,5 tấn, xe khách dưới 20 ghế, bậc 4/4</t>
  </si>
  <si>
    <t>N401.40.04</t>
  </si>
  <si>
    <t>Nhân công lái xe, xe từ 3,5 tấn đến 7,5 tấn, bậc 1/4</t>
  </si>
  <si>
    <t>Nhân công lái xe, xe từ 3,5 tấn đến 7,5 tấn, bậc 2/4</t>
  </si>
  <si>
    <t>Nhân công lái xe, xe từ 3,5 tấn đến 7,5 tấn, bậc 3/4</t>
  </si>
  <si>
    <t>Nhân công lái xe, xe từ 3,5 tấn đến 7,5 tấn, bậc 4/4</t>
  </si>
  <si>
    <t>Nhân công lái xe, xe từ 7,5 tấn đến 16,5 tấn, bậc 1/4</t>
  </si>
  <si>
    <t>N402.10.04</t>
  </si>
  <si>
    <t>Nhân công lái xe, xe từ 7,5 tấn đến 16,5 tấn, bậc 2/4</t>
  </si>
  <si>
    <t>N402.20.04</t>
  </si>
  <si>
    <t>Nhân công lái xe, xe từ 7,5 tấn đến 16,5 tấn, bậc 3/4</t>
  </si>
  <si>
    <t>N402.30.04</t>
  </si>
  <si>
    <t>Nhân công lái xe, xe từ 7,5 tấn đến 16,5 tấn, bậc 4/4</t>
  </si>
  <si>
    <t>N402.40.04</t>
  </si>
  <si>
    <t>Nhân công lái xe, xe từ 16,5 tấn đến 25 tấn, bậc 1/4</t>
  </si>
  <si>
    <t>Nhân công lái xe, xe từ 16,5 tấn đến 25 tấn, bậc 2/4</t>
  </si>
  <si>
    <t>Nhân công lái xe, xe từ 16,5 tấn đến 25 tấn, bậc 3/4</t>
  </si>
  <si>
    <t>Nhân công lái xe, xe từ 16,5 tấn đến 25 tấn, bậc 4/4</t>
  </si>
  <si>
    <t>Nhân công lái xe, xe từ 25 tấn đến 40 tấn, bậc 1/4</t>
  </si>
  <si>
    <t>N403.10.04</t>
  </si>
  <si>
    <t>Nhân công lái xe, xe từ 25 tấn đến 40 tấn, bậc 2/4</t>
  </si>
  <si>
    <t>N403.20.04</t>
  </si>
  <si>
    <t>Nhân công lái xe, xe từ 25 tấn đến 40 tấn, bậc 3/4</t>
  </si>
  <si>
    <t>N403.30.04</t>
  </si>
  <si>
    <t>Nhân công lái xe, xe từ 25 tấn đến 40 tấn, bậc 4/4</t>
  </si>
  <si>
    <t>N403.40.04</t>
  </si>
  <si>
    <t>Nhân công lái xe, xe từ 40 tấn, bậc 1/4</t>
  </si>
  <si>
    <t>Nhân công lái xe, xe từ 40 tấn, bậc 2/4</t>
  </si>
  <si>
    <t>Nhân công lái xe, xe từ 40 tấn, bậc 3/4</t>
  </si>
  <si>
    <t>Nhân công lái xe, xe từ 40 tấn, bậc 4/4</t>
  </si>
  <si>
    <t>Nhóm I, 5-15 Cv</t>
  </si>
  <si>
    <t>Thuyền trưởng Nhóm I, bậc 1/2</t>
  </si>
  <si>
    <t>N501.10.02</t>
  </si>
  <si>
    <t>Thuyền trưởng  (Tàu, ca nô có công suất máy chính từ 5CV đến 150CV), bậc 1/2</t>
  </si>
  <si>
    <t>Thuyền trưởng Nhóm I, bậc 2/2</t>
  </si>
  <si>
    <t>N501.20.02</t>
  </si>
  <si>
    <t>Thuyền trưởng  (Tàu, ca nô có công suất máy chính từ 5CV đến 150CV), bậc 2/2</t>
  </si>
  <si>
    <t>Nhóm II; 15-150 cv</t>
  </si>
  <si>
    <t>Thuyền trưởng Nhóm II, bậc 1/2</t>
  </si>
  <si>
    <t>Thuyền trưởng Nhóm II, bậc 2/2</t>
  </si>
  <si>
    <t>Nhóm III, 150-400 cv</t>
  </si>
  <si>
    <t>Thuyền trưởng Nhóm III, bậc 1/2</t>
  </si>
  <si>
    <t>N502.10.02</t>
  </si>
  <si>
    <t>Thuyền trưởng  (Tàu, ca nô có công suất máy chính trên 150CV; cần cẩu nổi; tàu đóng cọc), bậc 1/2</t>
  </si>
  <si>
    <t>Thuyền trưởng Nhóm III, bậc 2/2</t>
  </si>
  <si>
    <t>N502.20.02</t>
  </si>
  <si>
    <t>Thuyền trưởng  (Tàu, ca nô có công suất máy chính trên 150CV; cần cẩu nổi; tàu đóng cọc), bậc 2/2</t>
  </si>
  <si>
    <t>Nhóm IV, &gt; 400cv</t>
  </si>
  <si>
    <t>Thuyền trưởng Nhóm IV, bậc 1/2</t>
  </si>
  <si>
    <t>Thuyền trưởng Nhóm IV, bậc 2/2</t>
  </si>
  <si>
    <t>Đại phó, Máy trưởng Nhóm I, bậc 1/2</t>
  </si>
  <si>
    <t>N503.10.02</t>
  </si>
  <si>
    <t>Thuyền phó 1, máy 1 (Tàu, ca nô có công suất máy chính từ 5CV đến 150CV) bậc 1/2</t>
  </si>
  <si>
    <t>Đại phó, Máy trưởng Nhóm I, bậc 2/2</t>
  </si>
  <si>
    <t>N503.20.02</t>
  </si>
  <si>
    <t>Thuyền phó 1, máy 1 (Tàu, ca nô có công suất máy chính từ 5CV đến 150CV) bậc 2/2</t>
  </si>
  <si>
    <t>Đại phó, Máy trưởng Nhóm II, bậc 1/2</t>
  </si>
  <si>
    <t>Đại phó, Máy trưởng Nhóm II, bậc 2/2</t>
  </si>
  <si>
    <t>Đại phó, Máy trưởng Nhóm III, bậc 1/2</t>
  </si>
  <si>
    <t>N504.10.02</t>
  </si>
  <si>
    <t>Thuyền phó 1, máy 1 (Tàu, ca nô có công suất máy chính trên 150CV; cần cẩu nổi; tàu đóng cọc) bậc 1/2</t>
  </si>
  <si>
    <t>Đại phó, Máy trưởng Nhóm III, bậc 2/2</t>
  </si>
  <si>
    <t>N504.20.02</t>
  </si>
  <si>
    <t>Thuyền phó 1, máy 1 (Tàu, ca nô có công suất máy chính trên 150CV; cần cẩu nổi; tàu đóng cọc) bậc 2/2</t>
  </si>
  <si>
    <t>Đại phó, Máy trưởng Nhóm IV, bậc 1/2</t>
  </si>
  <si>
    <t>Đại phó, Máy trưởng Nhóm IV, bậc 2/2</t>
  </si>
  <si>
    <t>Thuyền phó 2, Máy 2 Nhóm II, bậc 1/2</t>
  </si>
  <si>
    <t>N505.10.02</t>
  </si>
  <si>
    <t>Thuyền phó 2, máy 2 (Tàu, ca nô có công suất máy chính từ 5CV đến 150CV) bậc 1/2</t>
  </si>
  <si>
    <t>Thuyền phó 2, Máy 2 Nhóm II, bậc 2/2</t>
  </si>
  <si>
    <t>N505.20.02</t>
  </si>
  <si>
    <t>Thuyền phó 2, máy 2 (Tàu, ca nô có công suất máy chính từ 5CV đến 150CV) bậc 2/2</t>
  </si>
  <si>
    <t>Thuyền phó 2, Máy 2 Nhóm III, bậc 1/2</t>
  </si>
  <si>
    <t>N506.10.02</t>
  </si>
  <si>
    <t>Thuyền phó 2, máy 2 (Tàu, ca nô có công suất máy chính trên 150CV; cần cẩu nổi; tàu đóng cọc) bậc 1/2</t>
  </si>
  <si>
    <t>Thuyền phó 2, Máy 2 Nhóm III, bậc 2/2</t>
  </si>
  <si>
    <t>N506.20.02</t>
  </si>
  <si>
    <t>Thuyền phó 2, máy 2 (Tàu, ca nô có công suất máy chính trên 150CV; cần cẩu nổi; tàu đóng cọc) bậc 2/2</t>
  </si>
  <si>
    <t>Thuyền phó 2, Máy 2 Nhóm IV, bậc 1/2</t>
  </si>
  <si>
    <t>Thuyền phó 2, Máy 2 Nhóm IV, bậc 2/2</t>
  </si>
  <si>
    <t>Thủy thủ tàu vận tải biển, bậc 1/4</t>
  </si>
  <si>
    <t>N601.10.04</t>
  </si>
  <si>
    <t>Thủy thủ bậc 1/4</t>
  </si>
  <si>
    <t>Thủy thủ tàu vận tải biển, bậc 2/4</t>
  </si>
  <si>
    <t>N601.20.04</t>
  </si>
  <si>
    <t>Thủy thủ bậc 2/4</t>
  </si>
  <si>
    <t>Thủy thủ tàu vận tải biển, bậc 3/4</t>
  </si>
  <si>
    <t>N601.30.04</t>
  </si>
  <si>
    <t>Thủy thủ bậc 3/4</t>
  </si>
  <si>
    <t>Thủy thủ tàu vận tải biển, bậc 4/4</t>
  </si>
  <si>
    <t>N601.40.04</t>
  </si>
  <si>
    <t>Thủy thủ bậc 4/4</t>
  </si>
  <si>
    <t>Thợ máy kiêm cơ khí tàu biển, bậc 1/4</t>
  </si>
  <si>
    <t>N602.10.04</t>
  </si>
  <si>
    <t>Thợ máy, thợ điện bậc 1/4</t>
  </si>
  <si>
    <t>Thợ máy kiêm cơ khí tàu biển, bậc 2/4</t>
  </si>
  <si>
    <t>N602.20.04</t>
  </si>
  <si>
    <t>Thợ máy, thợ điện bậc 2/4</t>
  </si>
  <si>
    <t>Thợ máy kiêm cơ khí tàu biển, bậc 3/4</t>
  </si>
  <si>
    <t>N602.30.04</t>
  </si>
  <si>
    <t>Thợ máy, thợ điện bậc 3/4</t>
  </si>
  <si>
    <t>Thợ máy kiêm cơ khí tàu biển, bậc 4/4</t>
  </si>
  <si>
    <t>N602.40.04</t>
  </si>
  <si>
    <t>Thợ máy, thợ điện bậc 4/4</t>
  </si>
  <si>
    <t>Thợ máy điện, vô tuyến điện tàu biển, bậc 1/4</t>
  </si>
  <si>
    <t>Thợ máy điện, vô tuyến điện tàu biển, bậc 2/4</t>
  </si>
  <si>
    <t>Thợ máy điện, vô tuyến điện tàu biển, bậc 3/4</t>
  </si>
  <si>
    <t>Thợ máy điện, vô tuyến điện tàu biển, bậc 4/4</t>
  </si>
  <si>
    <t>Phục vụ viên tàu biển, bậc 1/4</t>
  </si>
  <si>
    <t>Phục vụ viên tàu biển, bậc 2/4</t>
  </si>
  <si>
    <t>Phục vụ viên tàu biển, bậc 3/4</t>
  </si>
  <si>
    <t>Phục vụ viên tàu biển, bậc 4/4</t>
  </si>
  <si>
    <t>Cấp dưỡng tảu biển, bậc 1/4</t>
  </si>
  <si>
    <t>Cấp dưỡng tảu biển, bậc 2/4</t>
  </si>
  <si>
    <t>Cấp dưỡng tảu biển, bậc 3/4</t>
  </si>
  <si>
    <t>Cấp dưỡng tảu biển, bậc 4/4</t>
  </si>
  <si>
    <t>Thủy thủ nhóm 1, tàu vận tải sông, bậc 1/4</t>
  </si>
  <si>
    <t>Thủy thủ nhóm 1, tàu vận tải sông, bậc 2/4</t>
  </si>
  <si>
    <t>Thủy thủ nhóm 1, tàu vận tải sông, bậc 3/4</t>
  </si>
  <si>
    <t>Thủy thủ nhóm 1, tàu vận tải sông, bậc 4/4</t>
  </si>
  <si>
    <t>Thủy thủ nhóm II, tàu vận tải sông, bậc 1/4</t>
  </si>
  <si>
    <t>Thủy thủ nhóm II, tàu vận tải sông, bậc 2/4</t>
  </si>
  <si>
    <t>Thủy thủ nhóm II, tàu vận tải sông, bậc 3/4</t>
  </si>
  <si>
    <t>Thủy thủ nhóm II, tàu vận tải sông, bậc 4/4</t>
  </si>
  <si>
    <t>Thợ máy, thợ điện nhóm 1, tàu vận tải sông, bậc 1/4</t>
  </si>
  <si>
    <t>Thợ máy, thợ điện nhóm 1, tàu vận tải sông, bậc 2/4</t>
  </si>
  <si>
    <t>Thợ máy, thợ điện nhóm 1, tàu vận tải sông, bậc 3/4</t>
  </si>
  <si>
    <t>Thợ máy, thợ điện nhóm 1, tàu vận tải sông, bậc 4/4</t>
  </si>
  <si>
    <t>Thợ máy, thợ điện nhóm II, tàu vận tải sông, bậc 1/4</t>
  </si>
  <si>
    <t>Thợ máy, thợ điện nhóm II, tàu vận tải sông, bậc 2/4</t>
  </si>
  <si>
    <t>Thợ máy, thợ điện nhóm II, tàu vận tải sông, bậc 3/4</t>
  </si>
  <si>
    <t>Thợ máy, thợ điện nhóm II, tàu vận tải sông, bậc 4/4</t>
  </si>
  <si>
    <t>Phục vụ viên, tàu vận tải sông, bậc 1/4</t>
  </si>
  <si>
    <t>Phục vụ viên, tàu vận tải sông, bậc 2/4</t>
  </si>
  <si>
    <t>Phục vụ viên, tàu vận tải sông, bậc 3/4</t>
  </si>
  <si>
    <t>Phục vụ viên, tàu vận tải sông, bậc 4/4</t>
  </si>
  <si>
    <t>N902.10.04</t>
  </si>
  <si>
    <t>N902.20.04</t>
  </si>
  <si>
    <t>Thuyển trưởng tàu hút từ 300-800m3/h, bậc 1/2</t>
  </si>
  <si>
    <t>N801.10.02</t>
  </si>
  <si>
    <t>Thuyền trưởng tàu biển, tàu hút bụng  (Từ 300m3/h  đến 800m3/h) bậc 1/2</t>
  </si>
  <si>
    <t>Thuyển trưởng tàu hút từ 300-800m3/h, bậc 2/2</t>
  </si>
  <si>
    <t>N801.20.02</t>
  </si>
  <si>
    <t>Thuyền trưởng tàu biển, tàu hút bụng  (Từ 300m3/h  đến 800m3/h) bậc 2/2</t>
  </si>
  <si>
    <t>Thuyển trưởng tàu hút từ 800m3/h, bậc 1/2</t>
  </si>
  <si>
    <t>N802.10.02</t>
  </si>
  <si>
    <t>Thuyền trưởng tàu biển, tàu hút bụng  (Từ 800m3/h trở lên) bậc 1/2</t>
  </si>
  <si>
    <t>Thuyển trưởng tàu hút từ 800m3/h, bậc 2/2</t>
  </si>
  <si>
    <t>N802.20.02</t>
  </si>
  <si>
    <t>Thuyền trưởng tàu biển, tàu hút bụng  (Từ 800m3/h trở lên) bậc 2/2</t>
  </si>
  <si>
    <t>Máy trưởng tàu hút từ 300-800m3/h, bậc 1/2</t>
  </si>
  <si>
    <t>N803.10.02</t>
  </si>
  <si>
    <t>Máy trưởng, thuyền trưởng tàu biển, tàu cuốc, tàu hút phun, tàu đào gầu ngoạm  (Từ 800m3/h trở lên) bậc 1/2</t>
  </si>
  <si>
    <t>Máy trưởng tàu hút từ 300-800m3/h, bậc 2/2</t>
  </si>
  <si>
    <t>N803.20.02</t>
  </si>
  <si>
    <t>Máy trưởng, thuyền trưởng tàu biển, tàu cuốc, tàu hút phun, tàu đào gầu ngoạm  (Từ 800m3/h trở lên) bậc 2/2</t>
  </si>
  <si>
    <t>Máy trưởng tàu hút từ 800m3/h, bậc 1/2</t>
  </si>
  <si>
    <t>N804.10.02</t>
  </si>
  <si>
    <t>Máy trưởng tàu hút từ 800m3/h, bậc 2/2</t>
  </si>
  <si>
    <t>N804.20.02</t>
  </si>
  <si>
    <t>Đại phó, điện trưởng tàu hút từ 300-800m3/h, bậc 1/2</t>
  </si>
  <si>
    <t>N807.10.02</t>
  </si>
  <si>
    <t>Máy 2; kỹ thuật viên cuốc 1 tàu cuốc, tàu hút phun, tàu đào gầu ngoạm (Từ 300m3/h  đến 800m3/h) bậc 1/2</t>
  </si>
  <si>
    <t>Đại phó, điện trưởng tàu hút từ 300-800m3/h, bậc 2/2</t>
  </si>
  <si>
    <t>N807.20.02</t>
  </si>
  <si>
    <t>Máy 2; kỹ thuật viên cuốc 1 tàu cuốc, tàu hút phun, tàu đào gầu ngoạm (Từ 300m3/h  đến 800m3/h) bậc 2/2</t>
  </si>
  <si>
    <t>Đại phó, điện trưởng tàu hút từ 800m3/h, bậc 1/2</t>
  </si>
  <si>
    <t>N80810.02</t>
  </si>
  <si>
    <t>Máy 2; kỹ thuật viên cuốc 1 tàu cuốc, tàu hút phun, tàu đào gầu ngoạm (Từ 800m3/h trở lên) bậc 1/2</t>
  </si>
  <si>
    <t>Đại phó, điện trưởng tàu hút từ 800m3/h, bậc 2/2</t>
  </si>
  <si>
    <t>N808.20.02</t>
  </si>
  <si>
    <t>Thuyền phó 2 tàu hút từ 300-800m3/h, bậc 1/2</t>
  </si>
  <si>
    <t>N805.10.02</t>
  </si>
  <si>
    <t>Điện trưởng tàu hút, tàu cuốc; kỹ thuật viên cuốc 1, thuyền phó 2 tàu hút bụng; kỹ thuật viên cuốc 2 tàu cuốc, tàu hút phun, tàu đào gầu ngoạm  (Từ 300m3/h  đến 800m3/h) bậc 1/2</t>
  </si>
  <si>
    <t>Thuyền phó 2 tàu hút từ 300-800m3/h, bậc 2/2</t>
  </si>
  <si>
    <t>N805.20.02</t>
  </si>
  <si>
    <t>Điện trưởng tàu hút, tàu cuốc; kỹ thuật viên cuốc 1, thuyền phó 2 tàu hút bụng; kỹ thuật viên cuốc 2 tàu cuốc, tàu hút phun, tàu đào gầu ngoạm  (Từ 300m3/h  đến 800m3/h) bậc 2/2</t>
  </si>
  <si>
    <t>Thuyền phó 2 tàu hút từ 800m3/h, bậc 1/2</t>
  </si>
  <si>
    <t>N806.10.02</t>
  </si>
  <si>
    <t>Điện trưởng tàu hút, tàu cuốc; kỹ thuật viên cuốc 1, thuyền phó 2 tàu hút bụng; kỹ thuật viên cuốc 2 tàu cuốc, tàu hút phun, tàu đào gầu ngoạm  (Từ 800m3/h trở lên) bậc 1/2</t>
  </si>
  <si>
    <t>Thuyền phó 2 tàu hút từ 800m3/h, bậc 2/2</t>
  </si>
  <si>
    <t>N806.20.02</t>
  </si>
  <si>
    <t>Điện trưởng tàu hút, tàu cuốc; kỹ thuật viên cuốc 1, thuyền phó 2 tàu hút bụng; kỹ thuật viên cuốc 2 tàu cuốc, tàu hút phun, tàu đào gầu ngoạm  (Từ 800m3/h trở lên) bậc 2/2</t>
  </si>
  <si>
    <t>Thuyền phó 3 tàu hút từ 300-800m3/h, bậc 1/2</t>
  </si>
  <si>
    <t>N809.10.02</t>
  </si>
  <si>
    <t xml:space="preserve">Thuyền phó  tàu cuốc, kỹ thuật viên cuốc 2 tàu hút (Từ 300m3/h  đến 800m3/h) bậc </t>
  </si>
  <si>
    <t>Thuyền phó 3 tàu hút từ 300-800m3/h, bậc 2/2</t>
  </si>
  <si>
    <t>N809.20.02</t>
  </si>
  <si>
    <t>Thuyển trưởng tàu hút dưới 150m3/h, bậc 1/2</t>
  </si>
  <si>
    <t>N701.10.02</t>
  </si>
  <si>
    <t>Thuyền trưởng  tàu sông (Tàu hút dưới 150m3/h) bậc 1/2</t>
  </si>
  <si>
    <t>Thuyển trưởng tàu hút dưới 150m3/h, bậc 2/2</t>
  </si>
  <si>
    <t>N701.20.02</t>
  </si>
  <si>
    <t>Thuyền trưởng  tàu sông (Tàu hút dưới 150m3/h) bậc 2/2</t>
  </si>
  <si>
    <t>Thuyển trưởng tàu hút từ 150-300m3/h, bậc 1/2</t>
  </si>
  <si>
    <t>N702.10.02</t>
  </si>
  <si>
    <t>Thuyền trưởng  tàu sông (Tàu hút từ 150m3/h  đến 300m3/h) bậc 1/2</t>
  </si>
  <si>
    <t>Thuyển trưởng tàu hút từ 150-300m3/h, bậc 2/2</t>
  </si>
  <si>
    <t>N702.20.02</t>
  </si>
  <si>
    <t>Thuyền trưởng  tàu sông (Tàu hút từ 150m3/h  đến 300m3/h) bậc 2/2</t>
  </si>
  <si>
    <t>Thuyển trưởng tàu hút từ  300m3/h, bậc 1/2</t>
  </si>
  <si>
    <t>N703.10.02</t>
  </si>
  <si>
    <t>Thuyền trưởng  tàu sông (Tàu hút trên 300m3/h, tàu cuốc dưới 300m3/h) bậc 1/2</t>
  </si>
  <si>
    <t>Thuyển trưởng tàu hút từ  300m3/h, bậc 2/2</t>
  </si>
  <si>
    <t>N703.20.02</t>
  </si>
  <si>
    <t>Thuyền trưởng  tàu sông (Tàu hút trên 300m3/h, tàu cuốc dưới 300m3/h) bậc 2/2</t>
  </si>
  <si>
    <t>Máy trưởng tàu hút dưới 150m3/h, bậc 1/2</t>
  </si>
  <si>
    <t>N704.10.02</t>
  </si>
  <si>
    <t>Máy trưởng tàu sông (Tàu hút dưới 150m3/h) bậc 1/2</t>
  </si>
  <si>
    <t>Máy trưởng tàu hút dưới 150m3/h, bậc 2/2</t>
  </si>
  <si>
    <t>N704.20.02</t>
  </si>
  <si>
    <t>Máy trưởng tàu sông (Tàu hút dưới 150m3/h) bậc 2/2</t>
  </si>
  <si>
    <t>Máy trưởng tàu hút từ 150-300m3/h, bậc 1/2</t>
  </si>
  <si>
    <t>N705.10.02</t>
  </si>
  <si>
    <t>Máy trưởng tàu sông (Tàu hút từ 150m3/h  đến 300m3/h) bậc 1/2</t>
  </si>
  <si>
    <t>Máy trưởng tàu hút từ 150-300m3/h, bậc 2/2</t>
  </si>
  <si>
    <t>N705.20.02</t>
  </si>
  <si>
    <t>Máy trưởng tàu sông (Tàu hút từ 150m3/h  đến 300m3/h) bậc 2/2</t>
  </si>
  <si>
    <t>Máy trưởng tàu hút từ  300m3/h, bậc 1/2</t>
  </si>
  <si>
    <t>N706.10.02</t>
  </si>
  <si>
    <t>Máy trưởng tàu sông (Tàu hút trên 300m3/h, tàu cuốc dưới 300m3/h) bậc 1/2</t>
  </si>
  <si>
    <t>Máy trưởng tàu hút từ  300m3/h, bậc 2/2</t>
  </si>
  <si>
    <t>N706.20.02</t>
  </si>
  <si>
    <t>Máy trưởng tàu sông (Tàu hút trên 300m3/h, tàu cuốc dưới 300m3/h) bậc 2/2</t>
  </si>
  <si>
    <t>Điện trưởng tàu hút từ  300m3/h, bậc 1/2</t>
  </si>
  <si>
    <t>N707.10.02</t>
  </si>
  <si>
    <t>Điện trưởng tàu hút từ  300m3/h, bậc 2/2</t>
  </si>
  <si>
    <t>N707.20.02</t>
  </si>
  <si>
    <t>LOẠI VẬN CHUYỂN</t>
  </si>
  <si>
    <t>BẢNG PHÂN TÍCH VẬT TƯ BỐC XẾP</t>
  </si>
  <si>
    <t>BẢNG TỔNG HỢP VẬT TƯ BỐC XẾP</t>
  </si>
  <si>
    <t>BẢNG PHÂN TÍCH VẬT TƯ VẬN CHUYỂN NGANG</t>
  </si>
  <si>
    <t>BẢNG TỔNG HỢP VẬT TƯ VẬN CHUYỂN NGANG</t>
  </si>
  <si>
    <t>PTVT_VCLC</t>
  </si>
  <si>
    <t>THVT_VCLC</t>
  </si>
  <si>
    <t>PTVT_BX</t>
  </si>
  <si>
    <t>THVT_BX</t>
  </si>
  <si>
    <t>PTVT_VC</t>
  </si>
  <si>
    <t>THVT_VC</t>
  </si>
  <si>
    <t>Chi phí bồi thường, hỗ trợ và tái định cư</t>
  </si>
  <si>
    <r>
      <t>G</t>
    </r>
    <r>
      <rPr>
        <b/>
        <vertAlign val="subscript"/>
        <sz val="12"/>
        <rFont val="Times New Roman"/>
        <family val="1"/>
      </rPr>
      <t>BT,TĐC</t>
    </r>
  </si>
  <si>
    <r>
      <t>G</t>
    </r>
    <r>
      <rPr>
        <b/>
        <vertAlign val="subscript"/>
        <sz val="12"/>
        <rFont val="Times New Roman"/>
        <family val="1"/>
      </rPr>
      <t>XD</t>
    </r>
  </si>
  <si>
    <r>
      <t>G</t>
    </r>
    <r>
      <rPr>
        <b/>
        <vertAlign val="subscript"/>
        <sz val="12"/>
        <rFont val="Times New Roman"/>
        <family val="1"/>
      </rPr>
      <t>TB</t>
    </r>
  </si>
  <si>
    <r>
      <t>G</t>
    </r>
    <r>
      <rPr>
        <b/>
        <vertAlign val="subscript"/>
        <sz val="12"/>
        <rFont val="Times New Roman"/>
        <family val="1"/>
      </rPr>
      <t>QLDA</t>
    </r>
  </si>
  <si>
    <r>
      <t>G</t>
    </r>
    <r>
      <rPr>
        <b/>
        <vertAlign val="subscript"/>
        <sz val="12"/>
        <rFont val="Times New Roman"/>
        <family val="1"/>
      </rPr>
      <t>TV</t>
    </r>
  </si>
  <si>
    <r>
      <t>G</t>
    </r>
    <r>
      <rPr>
        <b/>
        <vertAlign val="subscript"/>
        <sz val="12"/>
        <rFont val="Times New Roman"/>
        <family val="1"/>
      </rPr>
      <t>K</t>
    </r>
  </si>
  <si>
    <t>Chi phí hạng mục chung</t>
  </si>
  <si>
    <t>Chi phí rà phá bom mìn, vật nổ</t>
  </si>
  <si>
    <r>
      <t>G</t>
    </r>
    <r>
      <rPr>
        <b/>
        <vertAlign val="subscript"/>
        <sz val="12"/>
        <rFont val="Times New Roman"/>
        <family val="1"/>
      </rPr>
      <t>DP</t>
    </r>
  </si>
  <si>
    <r>
      <t>G</t>
    </r>
    <r>
      <rPr>
        <b/>
        <vertAlign val="subscript"/>
        <sz val="12"/>
        <rFont val="Times New Roman"/>
        <family val="1"/>
      </rPr>
      <t>DP1</t>
    </r>
  </si>
  <si>
    <t>Chi phí dự phòng cho yếu tố trượt giá</t>
  </si>
  <si>
    <r>
      <t>G</t>
    </r>
    <r>
      <rPr>
        <b/>
        <vertAlign val="subscript"/>
        <sz val="12"/>
        <rFont val="Times New Roman"/>
        <family val="1"/>
      </rPr>
      <t>DP2</t>
    </r>
  </si>
  <si>
    <t>TỔNG CỘNG (1+2+3+4+5+6+7)</t>
  </si>
  <si>
    <t>DP</t>
  </si>
  <si>
    <t>XD</t>
  </si>
  <si>
    <t>CÔNG TRÌNH</t>
  </si>
  <si>
    <t xml:space="preserve">Chi phí khác </t>
  </si>
  <si>
    <t>Chi phí dự phòng</t>
  </si>
  <si>
    <r>
      <t>V</t>
    </r>
    <r>
      <rPr>
        <b/>
        <vertAlign val="superscript"/>
        <sz val="12"/>
        <rFont val="Times New Roman"/>
        <family val="1"/>
      </rPr>
      <t>Sb</t>
    </r>
  </si>
  <si>
    <t>BẢNG TỔNG HỢP SƠ BỘ TỔNG MỨC ĐẦU TƯ XÂY DỰNG</t>
  </si>
  <si>
    <t xml:space="preserve">Chi phí xây dựng nhà tạm tại hiện trường để ở và điều hành thi công </t>
  </si>
  <si>
    <t>Chi phí một số công tác không xác định được khối lượng từ thiết kế</t>
  </si>
  <si>
    <t>Các chi phí hạng mục chung còn lại</t>
  </si>
  <si>
    <t>BẢNG TỔNG HỢP DỰ TOÁN CHI PHÍ HẠNG MỤC CHUNG</t>
  </si>
  <si>
    <t>GÓI THẦU:</t>
  </si>
  <si>
    <t>BẢNG TỔNG HỢP DỰ TOÁN GÓI THẦU THI CÔNG XÂY DỰNG</t>
  </si>
  <si>
    <t>HMC</t>
  </si>
  <si>
    <t>Chi phí xây dựng của gói thầu</t>
  </si>
  <si>
    <t xml:space="preserve">Chi phí dự phòng cho yếu tố khối lượng phát sinh </t>
  </si>
  <si>
    <t>Thuế GTGT</t>
  </si>
  <si>
    <t>GGTXD</t>
  </si>
  <si>
    <t xml:space="preserve">Chi phí mua sắm thiết bị </t>
  </si>
  <si>
    <t>Chi phí mua sắm thiết bị công nghệ</t>
  </si>
  <si>
    <t>Chi phí mua sắm thiết bị công trình</t>
  </si>
  <si>
    <t xml:space="preserve">Chi phí đào tạo và chuyển giao công nghệ </t>
  </si>
  <si>
    <t xml:space="preserve">Chi phí lắp đặt, thí nghiệm, hiệu chỉnh </t>
  </si>
  <si>
    <t>Tổng cộng (1+2+3+4+5)</t>
  </si>
  <si>
    <t>1+2+3</t>
  </si>
  <si>
    <t>BIỂU ĐỊNH MỨC CHI PHÍ CHUNG TÍNH TRÊN CHI PHÍ TRỰC TIẾP</t>
  </si>
  <si>
    <t>Riêng công trình hầm giao thông</t>
  </si>
  <si>
    <t>Công trình dân dụng(tu bổ, phục hồi di tích lịch sử, văn hoá)</t>
  </si>
  <si>
    <t>Công trình công nghiệp (đường hầm thủy điện, hầm lò)</t>
  </si>
  <si>
    <t>BIỂU ĐỊNH MỨC CHI PHÍ CHUNG TÍNH TRÊN CHI PHÍ NHÂN CÔNG</t>
  </si>
  <si>
    <t>Công tác duy tu sửa chữa đường bộ, đường sắt, đường thuỷ nội địa, hệ thống báo hiệu hàng hải và đường thuỷ nội địa</t>
  </si>
  <si>
    <t>Công tác đào, đắp đất công trình nông nghiệp và phát triển nông thôn bằng thủ công</t>
  </si>
  <si>
    <t>Công tắc lắp đặt thiết bị công nghệ trong các công trình xây dựng, công tác xây lắp đường dây, thí nghiệm hiệu chỉnh điện đường dây và trạm biến áp, thí nghiệm vật liệu, cấu kiện và kết cấu xây dựng</t>
  </si>
  <si>
    <t>BIỂU ĐỊNH MỨC THU NHẬP CHỊU THUẾ TÍNH TRƯỚC</t>
  </si>
  <si>
    <t>TT 01</t>
  </si>
  <si>
    <t>TT 04/2010</t>
  </si>
  <si>
    <t xml:space="preserve">Chi phí thiết bị </t>
  </si>
  <si>
    <t>Chi tư vấn đầu tư xây dựng</t>
  </si>
  <si>
    <t>Chi phí bảo hiểm công trình</t>
  </si>
  <si>
    <t>GDP1</t>
  </si>
  <si>
    <t>GDP2</t>
  </si>
  <si>
    <t>Bảng tổng hợp CPXD</t>
  </si>
  <si>
    <t>Bảng tổng hợp CPTB</t>
  </si>
  <si>
    <t>Cách tính (Gốc)</t>
  </si>
  <si>
    <t>1+ 2 + 3 + 4 + 5+ 6</t>
  </si>
  <si>
    <t>Mức tối đa</t>
  </si>
  <si>
    <t>Giá trị
Sau thuế</t>
  </si>
  <si>
    <t>Giá trị
trước thuế</t>
  </si>
  <si>
    <t>Xem bảng tính</t>
  </si>
  <si>
    <t>K8</t>
  </si>
  <si>
    <t>Chi phí thẩm định hồ sơ mời quan tâm, hồ sơ mời sơ tuyển</t>
  </si>
  <si>
    <t>Chi phí thẩm định hồ sơ mời thầu, hồ sơ yêu cầu</t>
  </si>
  <si>
    <t>TV14</t>
  </si>
  <si>
    <t>TV15</t>
  </si>
  <si>
    <t>TV16</t>
  </si>
  <si>
    <t>TV17</t>
  </si>
  <si>
    <t>TV18</t>
  </si>
  <si>
    <t>TV19</t>
  </si>
  <si>
    <t xml:space="preserve">Chi phí ứng dụng hệ thống thông tin công trình </t>
  </si>
  <si>
    <t>Chi phí kiểm soát chi phí đầu tư xây dựng công trình</t>
  </si>
  <si>
    <t>TV21</t>
  </si>
  <si>
    <t>TV24</t>
  </si>
  <si>
    <t>TV25</t>
  </si>
  <si>
    <r>
      <t>G</t>
    </r>
    <r>
      <rPr>
        <b/>
        <vertAlign val="subscript"/>
        <sz val="12"/>
        <rFont val="Times New Roman"/>
        <family val="1"/>
      </rPr>
      <t>XDCT</t>
    </r>
  </si>
  <si>
    <t>GK1+…+GKn</t>
  </si>
  <si>
    <t>Khoản mục chi phí</t>
  </si>
  <si>
    <t>CNT</t>
  </si>
  <si>
    <t>CKKL</t>
  </si>
  <si>
    <t>CK</t>
  </si>
  <si>
    <t>Giá trị
sau thuế</t>
  </si>
  <si>
    <t>Tổng cộng</t>
  </si>
  <si>
    <t>BIỂU ĐỊNH MỨC CÔNG VIỆC HẠNG MỤC CHUNG KHÔNG XÁC ĐỊNH KHỐI LƯỢNG TỪ THIẾT KẾ</t>
  </si>
  <si>
    <t xml:space="preserve"> Công trình giao thông</t>
  </si>
  <si>
    <t xml:space="preserve"> Công trình giao thông (hầm giao thông)</t>
  </si>
  <si>
    <t>Chi phí hạng mục chung - Không xác định giá trị</t>
  </si>
  <si>
    <t>Xem bảng tinh</t>
  </si>
  <si>
    <t>MỨC HAO PHÍ</t>
  </si>
  <si>
    <t>KHỐI LƯỢNG HAO PHÍ</t>
  </si>
  <si>
    <t>Chi phí trực tiếp</t>
  </si>
  <si>
    <t>1.150.000</t>
  </si>
  <si>
    <t>1.400.000</t>
  </si>
  <si>
    <t>VL+NC+M</t>
  </si>
  <si>
    <t>Giá trị
 trước thuế</t>
  </si>
  <si>
    <r>
      <t>G</t>
    </r>
    <r>
      <rPr>
        <vertAlign val="superscript"/>
        <sz val="12"/>
        <rFont val="Times New Roman"/>
        <family val="1"/>
      </rPr>
      <t>Sb</t>
    </r>
    <r>
      <rPr>
        <vertAlign val="subscript"/>
        <sz val="12"/>
        <rFont val="Times New Roman"/>
        <family val="1"/>
      </rPr>
      <t>BT, TĐC</t>
    </r>
  </si>
  <si>
    <r>
      <t>G</t>
    </r>
    <r>
      <rPr>
        <vertAlign val="superscript"/>
        <sz val="12"/>
        <rFont val="Times New Roman"/>
        <family val="1"/>
      </rPr>
      <t>Sb</t>
    </r>
    <r>
      <rPr>
        <vertAlign val="subscript"/>
        <sz val="12"/>
        <rFont val="Times New Roman"/>
        <family val="1"/>
      </rPr>
      <t>XD</t>
    </r>
  </si>
  <si>
    <r>
      <t>G</t>
    </r>
    <r>
      <rPr>
        <vertAlign val="superscript"/>
        <sz val="12"/>
        <rFont val="Times New Roman"/>
        <family val="1"/>
      </rPr>
      <t>Sb</t>
    </r>
    <r>
      <rPr>
        <vertAlign val="subscript"/>
        <sz val="12"/>
        <rFont val="Times New Roman"/>
        <family val="1"/>
      </rPr>
      <t>TB</t>
    </r>
  </si>
  <si>
    <r>
      <t>G</t>
    </r>
    <r>
      <rPr>
        <vertAlign val="superscript"/>
        <sz val="12"/>
        <rFont val="Times New Roman"/>
        <family val="1"/>
      </rPr>
      <t>Sb</t>
    </r>
    <r>
      <rPr>
        <vertAlign val="subscript"/>
        <sz val="12"/>
        <rFont val="Times New Roman"/>
        <family val="1"/>
      </rPr>
      <t>QLDA</t>
    </r>
  </si>
  <si>
    <r>
      <t>G</t>
    </r>
    <r>
      <rPr>
        <vertAlign val="superscript"/>
        <sz val="12"/>
        <rFont val="Times New Roman"/>
        <family val="1"/>
      </rPr>
      <t>Sb</t>
    </r>
    <r>
      <rPr>
        <vertAlign val="subscript"/>
        <sz val="12"/>
        <rFont val="Times New Roman"/>
        <family val="1"/>
      </rPr>
      <t>TV</t>
    </r>
  </si>
  <si>
    <r>
      <t>G</t>
    </r>
    <r>
      <rPr>
        <vertAlign val="superscript"/>
        <sz val="12"/>
        <rFont val="Times New Roman"/>
        <family val="1"/>
      </rPr>
      <t>Sb</t>
    </r>
    <r>
      <rPr>
        <vertAlign val="subscript"/>
        <sz val="12"/>
        <rFont val="Times New Roman"/>
        <family val="1"/>
      </rPr>
      <t>K</t>
    </r>
  </si>
  <si>
    <r>
      <t>G</t>
    </r>
    <r>
      <rPr>
        <vertAlign val="superscript"/>
        <sz val="12"/>
        <rFont val="Times New Roman"/>
        <family val="1"/>
      </rPr>
      <t>Sb</t>
    </r>
    <r>
      <rPr>
        <vertAlign val="subscript"/>
        <sz val="12"/>
        <rFont val="Times New Roman"/>
        <family val="1"/>
      </rPr>
      <t>DP</t>
    </r>
  </si>
  <si>
    <t>Không vượt quá 30% (GXD+GTB)</t>
  </si>
  <si>
    <t>Bảng Giá trị vật tư</t>
  </si>
  <si>
    <t>Bảng Dự toán</t>
  </si>
  <si>
    <t>VL+NC+MTC</t>
  </si>
  <si>
    <t>G+GTGT</t>
  </si>
  <si>
    <r>
      <t>G</t>
    </r>
    <r>
      <rPr>
        <vertAlign val="subscript"/>
        <sz val="12"/>
        <rFont val="Times New Roman"/>
        <family val="1"/>
      </rPr>
      <t>XD</t>
    </r>
  </si>
  <si>
    <r>
      <t>G</t>
    </r>
    <r>
      <rPr>
        <vertAlign val="subscript"/>
        <sz val="12"/>
        <rFont val="Times New Roman"/>
        <family val="1"/>
      </rPr>
      <t>HMC</t>
    </r>
  </si>
  <si>
    <r>
      <t>G</t>
    </r>
    <r>
      <rPr>
        <vertAlign val="subscript"/>
        <sz val="12"/>
        <rFont val="Times New Roman"/>
        <family val="1"/>
      </rPr>
      <t>DPXD</t>
    </r>
  </si>
  <si>
    <r>
      <t>G</t>
    </r>
    <r>
      <rPr>
        <vertAlign val="subscript"/>
        <sz val="12"/>
        <rFont val="Times New Roman"/>
        <family val="1"/>
      </rPr>
      <t>DPXD1</t>
    </r>
  </si>
  <si>
    <r>
      <t>G</t>
    </r>
    <r>
      <rPr>
        <vertAlign val="subscript"/>
        <sz val="12"/>
        <rFont val="Times New Roman"/>
        <family val="1"/>
      </rPr>
      <t>DPXD2</t>
    </r>
  </si>
  <si>
    <t>Dự toán Xây dựng công trình</t>
  </si>
  <si>
    <r>
      <t>G</t>
    </r>
    <r>
      <rPr>
        <vertAlign val="subscript"/>
        <sz val="11"/>
        <rFont val="Times New Roman"/>
        <family val="1"/>
      </rPr>
      <t>XDCT</t>
    </r>
  </si>
  <si>
    <r>
      <t>G</t>
    </r>
    <r>
      <rPr>
        <vertAlign val="subscript"/>
        <sz val="11"/>
        <rFont val="Times New Roman"/>
        <family val="1"/>
      </rPr>
      <t>HMC</t>
    </r>
  </si>
  <si>
    <r>
      <t>+ G</t>
    </r>
    <r>
      <rPr>
        <vertAlign val="superscript"/>
        <sz val="11"/>
        <rFont val="Times New Roman"/>
        <family val="1"/>
      </rPr>
      <t>t</t>
    </r>
    <r>
      <rPr>
        <vertAlign val="subscript"/>
        <sz val="11"/>
        <rFont val="Times New Roman"/>
        <family val="1"/>
      </rPr>
      <t>XDCT</t>
    </r>
    <r>
      <rPr>
        <sz val="11"/>
        <rFont val="Times New Roman"/>
        <family val="1"/>
      </rPr>
      <t>: Giá trị dự toán xây dựng công trình trước chi phí dự phòng thực hiện trong khoàn thời gian thứ t</t>
    </r>
  </si>
  <si>
    <r>
      <t>+ I</t>
    </r>
    <r>
      <rPr>
        <vertAlign val="subscript"/>
        <sz val="12"/>
        <rFont val="Times New Roman"/>
        <family val="1"/>
        <charset val="163"/>
      </rPr>
      <t>XDCTbq</t>
    </r>
    <r>
      <rPr>
        <sz val="12"/>
        <rFont val="Times New Roman"/>
        <family val="1"/>
      </rPr>
      <t>: Chỉ số giá xây dựng sử dụng tính dự pḥòng cho yếu tố trượt giá</t>
    </r>
  </si>
  <si>
    <t>+ T: Thời gian xây dựng công trình xác định theo (tháng, quý, năm)</t>
  </si>
  <si>
    <r>
      <t>+ t: Số thứ tự thời gian phân bổ vốn theo kế hoạch xây dựng công trình (t=1</t>
    </r>
    <r>
      <rPr>
        <sz val="12"/>
        <rFont val="Calibri"/>
        <family val="2"/>
      </rPr>
      <t>÷</t>
    </r>
    <r>
      <rPr>
        <sz val="12"/>
        <rFont val="Times New Roman"/>
        <family val="1"/>
        <charset val="163"/>
      </rPr>
      <t>T)</t>
    </r>
  </si>
  <si>
    <r>
      <t>a. Xác định I</t>
    </r>
    <r>
      <rPr>
        <b/>
        <vertAlign val="subscript"/>
        <sz val="11"/>
        <rFont val="Times New Roman"/>
        <family val="1"/>
      </rPr>
      <t>XDCTbq</t>
    </r>
    <r>
      <rPr>
        <b/>
        <sz val="11"/>
        <rFont val="Times New Roman"/>
        <family val="1"/>
      </rPr>
      <t xml:space="preserve">: </t>
    </r>
  </si>
  <si>
    <r>
      <t>Chỉ số giá xây dựng tối thiểu 3 năm gần nhất (I</t>
    </r>
    <r>
      <rPr>
        <vertAlign val="subscript"/>
        <sz val="12"/>
        <rFont val="Times New Roman"/>
        <family val="1"/>
      </rPr>
      <t>n</t>
    </r>
    <r>
      <rPr>
        <sz val="12"/>
        <rFont val="Times New Roman"/>
        <family val="1"/>
      </rPr>
      <t>)</t>
    </r>
  </si>
  <si>
    <t xml:space="preserve">Tổng hệ số trượt giá theo số năm </t>
  </si>
  <si>
    <r>
      <rPr>
        <sz val="12"/>
        <rFont val="Times New Roman"/>
        <family val="1"/>
        <charset val="163"/>
      </rPr>
      <t>I</t>
    </r>
    <r>
      <rPr>
        <vertAlign val="subscript"/>
        <sz val="12"/>
        <rFont val="Times New Roman"/>
        <family val="1"/>
        <charset val="163"/>
      </rPr>
      <t>XDCTbq</t>
    </r>
  </si>
  <si>
    <t>b. Bảng tính chi phí dự phòng do yếu tố trượt giá:</t>
  </si>
  <si>
    <t>+ Vt           : Vốn đầu tư trước dự phòng theo kế hoạch thực hiện trong năm thứ t;</t>
  </si>
  <si>
    <r>
      <t>+ I</t>
    </r>
    <r>
      <rPr>
        <vertAlign val="subscript"/>
        <sz val="12"/>
        <rFont val="Times New Roman"/>
        <family val="1"/>
        <charset val="163"/>
      </rPr>
      <t xml:space="preserve">XDCTbq     </t>
    </r>
    <r>
      <rPr>
        <sz val="12"/>
        <rFont val="Times New Roman"/>
        <family val="1"/>
      </rPr>
      <t>: Chỉ số giá xây dựng sử dụng tính dự phòng cho yếu tố trượt giá</t>
    </r>
  </si>
  <si>
    <r>
      <t>+ ΔI</t>
    </r>
    <r>
      <rPr>
        <vertAlign val="subscript"/>
        <sz val="12"/>
        <rFont val="Times New Roman"/>
        <family val="1"/>
      </rPr>
      <t>XDCT</t>
    </r>
    <r>
      <rPr>
        <sz val="12"/>
        <rFont val="Times New Roman"/>
        <family val="1"/>
      </rPr>
      <t>: Mức biến động bình quân của chỉ số giá xây dựng theo thời gian dựng công trình so với mức độ trượt giá bình quân của năm đã tính và được xác định trên cơ sở dự báo xu hướng biến động của các yếu tố chi phí giá cả trong khu vực và quốc tế bằng kinh nghiệm chuyên gia</t>
    </r>
  </si>
  <si>
    <r>
      <t>Chi phí thực hiện dự án theo tiến độ chưa có trượt giá (G</t>
    </r>
    <r>
      <rPr>
        <vertAlign val="superscript"/>
        <sz val="12"/>
        <rFont val="Times New Roman"/>
        <family val="1"/>
      </rPr>
      <t>t</t>
    </r>
    <r>
      <rPr>
        <vertAlign val="subscript"/>
        <sz val="12"/>
        <rFont val="Times New Roman"/>
        <family val="1"/>
      </rPr>
      <t>XDCT</t>
    </r>
    <r>
      <rPr>
        <sz val="12"/>
        <rFont val="Times New Roman"/>
        <family val="1"/>
      </rPr>
      <t>)</t>
    </r>
  </si>
  <si>
    <r>
      <t>+ L</t>
    </r>
    <r>
      <rPr>
        <vertAlign val="subscript"/>
        <sz val="12"/>
        <rFont val="Times New Roman"/>
        <family val="1"/>
      </rPr>
      <t>Vay</t>
    </r>
    <r>
      <rPr>
        <sz val="12"/>
        <rFont val="Times New Roman"/>
        <family val="1"/>
      </rPr>
      <t xml:space="preserve">        : Vốn đầu tư trước dự phòng theo kế hoạch thực hiện trong năm thứ t;</t>
    </r>
  </si>
  <si>
    <t>+ t             : Số thứ tự năm phân bổ vốn thực hiện dự án (t= 1÷T);</t>
  </si>
  <si>
    <t>+ T            : Độ dài thời gian thực hiện dự án đầu tư xây dựng, T&gt;1 (năm);</t>
  </si>
  <si>
    <r>
      <t>+ D</t>
    </r>
    <r>
      <rPr>
        <sz val="12"/>
        <rFont val="Times New Roman"/>
        <family val="1"/>
        <charset val="163"/>
      </rPr>
      <t>I</t>
    </r>
    <r>
      <rPr>
        <vertAlign val="subscript"/>
        <sz val="12"/>
        <rFont val="Times New Roman"/>
        <family val="1"/>
        <charset val="163"/>
      </rPr>
      <t xml:space="preserve">XDCT     </t>
    </r>
    <r>
      <rPr>
        <sz val="12"/>
        <rFont val="Times New Roman"/>
        <family val="1"/>
        <charset val="163"/>
      </rPr>
      <t>: Mức biến động bình quân của chỉ số giá xây dựng theo năm xây dựng công trình so với mức độ trượt giá bình quân của năm đã tính</t>
    </r>
  </si>
  <si>
    <r>
      <t>+ D</t>
    </r>
    <r>
      <rPr>
        <sz val="12"/>
        <rFont val="Times New Roman"/>
        <family val="1"/>
        <charset val="163"/>
      </rPr>
      <t>I</t>
    </r>
    <r>
      <rPr>
        <vertAlign val="subscript"/>
        <sz val="12"/>
        <rFont val="Times New Roman"/>
        <family val="1"/>
        <charset val="163"/>
      </rPr>
      <t>XDCT</t>
    </r>
    <r>
      <rPr>
        <sz val="12"/>
        <rFont val="Times New Roman"/>
        <family val="1"/>
        <charset val="163"/>
      </rPr>
      <t xml:space="preserve">: </t>
    </r>
  </si>
  <si>
    <t>Chi phí đền bù giải phóng mặt bằng</t>
  </si>
  <si>
    <t>BẢNG TÍNH DỰ PHÒNG TRƯỢT GIÁ - TỔNG MỨC ĐẦU TƯ</t>
  </si>
  <si>
    <t>5.1</t>
  </si>
  <si>
    <t>Nhóm chi phí tính theo định mức tỉ lệ</t>
  </si>
  <si>
    <t>5.2</t>
  </si>
  <si>
    <t>Nhóm chi phí xác định bằng cách lập dự toán</t>
  </si>
  <si>
    <t>Chi phí 1</t>
  </si>
  <si>
    <t>Chi phí 2</t>
  </si>
  <si>
    <t>5.3</t>
  </si>
  <si>
    <t>Nhóm chi phí có liên quan khác</t>
  </si>
  <si>
    <t>GDP1+GDP2</t>
  </si>
  <si>
    <t xml:space="preserve">BẰNG CHỮ: </t>
  </si>
  <si>
    <t>Tổng</t>
  </si>
  <si>
    <t>ĐƠN GIÁ
 Gói thầu</t>
  </si>
  <si>
    <t>Đơn giá 
(HMC+DP)</t>
  </si>
  <si>
    <r>
      <t>G</t>
    </r>
    <r>
      <rPr>
        <b/>
        <vertAlign val="subscript"/>
        <sz val="12"/>
        <rFont val="Times New Roman"/>
        <family val="1"/>
      </rPr>
      <t>DPTB1</t>
    </r>
  </si>
  <si>
    <r>
      <t>G</t>
    </r>
    <r>
      <rPr>
        <b/>
        <vertAlign val="subscript"/>
        <sz val="12"/>
        <rFont val="Times New Roman"/>
        <family val="1"/>
      </rPr>
      <t>DPTB2</t>
    </r>
  </si>
  <si>
    <r>
      <t>G</t>
    </r>
    <r>
      <rPr>
        <b/>
        <vertAlign val="subscript"/>
        <sz val="12"/>
        <rFont val="Times New Roman"/>
        <family val="1"/>
      </rPr>
      <t>DPTB</t>
    </r>
  </si>
  <si>
    <t>DP2A</t>
  </si>
  <si>
    <t>Tong hop DT XDCT</t>
  </si>
  <si>
    <t>DP2B</t>
  </si>
  <si>
    <t>TMDT</t>
  </si>
  <si>
    <t>DP2C</t>
  </si>
  <si>
    <t>SBTMDT</t>
  </si>
  <si>
    <t>THDT TB</t>
  </si>
  <si>
    <t>DT Gói thầu</t>
  </si>
  <si>
    <t>Công trình giao thông (hầm giao thông)</t>
  </si>
  <si>
    <t>Công trình dân dụng (tu bổ, phục hồi di tích lịch sử, văn hoá)</t>
  </si>
  <si>
    <t>CP HMC</t>
  </si>
  <si>
    <t>DGCT_Goithau</t>
  </si>
  <si>
    <t>Trọng tải phương tiện</t>
  </si>
  <si>
    <t>Kết hợp chiều về</t>
  </si>
  <si>
    <t>Phương tiện có thiết bị tự xếp dỡ hàng</t>
  </si>
  <si>
    <t>Hàng Quá khổ</t>
  </si>
  <si>
    <t>Theo trọng tải</t>
  </si>
  <si>
    <t>Các trường hợp được điều chỉnh giá cước</t>
  </si>
  <si>
    <t>Cước điều chỉnh (tăng/giảm)</t>
  </si>
  <si>
    <t>Từ 3 đến 5 tấn</t>
  </si>
  <si>
    <t>Từ 5 đến 7 tấn</t>
  </si>
  <si>
    <t>1. Theo tải trọng:</t>
  </si>
  <si>
    <t>Mức điều chỉnh</t>
  </si>
  <si>
    <t>Không</t>
  </si>
  <si>
    <t>2. Kết hợp chiều về</t>
  </si>
  <si>
    <t>Có kết hợp chiều về</t>
  </si>
  <si>
    <t>Không kết hợp chiều về</t>
  </si>
  <si>
    <t>3. Có thiết bị xếp dỡ</t>
  </si>
  <si>
    <t>Kiểu vận chuyển</t>
  </si>
  <si>
    <t>Loại phương tiện xếp dỡ</t>
  </si>
  <si>
    <t>Thiết bị tự dỡ (Xe ben)</t>
  </si>
  <si>
    <t>Thiết bị hút xả (Xe Stec)</t>
  </si>
  <si>
    <t>Không dùng thiết bị xếp dỡ</t>
  </si>
  <si>
    <t>Số lần sử dụng dỡ hàng</t>
  </si>
  <si>
    <t xml:space="preserve">Cước được cộng </t>
  </si>
  <si>
    <t>Loại thiết bị</t>
  </si>
  <si>
    <t>4. Vận chuyển siêu trường, siêu trọng</t>
  </si>
  <si>
    <t>Thông tin điều chỉnh (tăng/giảm)</t>
  </si>
  <si>
    <t>Tổng cước diều chỉnh</t>
  </si>
  <si>
    <t>Giá sau điều chỉnh</t>
  </si>
  <si>
    <t>Từ 3 tấn trở xuống</t>
  </si>
  <si>
    <t>Đơn giá</t>
  </si>
  <si>
    <t>Nhóm vật liệu</t>
  </si>
  <si>
    <t>Gánh vác bộ</t>
  </si>
  <si>
    <t>Bằng phương tiện thô sơ</t>
  </si>
  <si>
    <t>Chủng loại</t>
  </si>
  <si>
    <t>Hệ số quy đổi vật liệu</t>
  </si>
  <si>
    <t>BẢNG CƯỚC TRUNG CHUYỂN HÀNG HÒA</t>
  </si>
  <si>
    <t>Hệ số quy đổi</t>
  </si>
  <si>
    <t>BẢNG TÍNH CHI PHÍ VẬN CHUYỂN ĐẾN CHÂN CÔNG TRÌNH</t>
  </si>
  <si>
    <t>Giá vật liệu tại nguồn cung cấp</t>
  </si>
  <si>
    <t>Chi phí vận chuyển đến công trình</t>
  </si>
  <si>
    <t>BẢNG TÍNH CƯỚC VẬN CHUYỂN ĐIỀU CHỈNH</t>
  </si>
  <si>
    <t>Chi phí vận trung chuyển
(Bốc xếp + VC nội bộ)</t>
  </si>
  <si>
    <t>Cuoc Bo sung</t>
  </si>
  <si>
    <t>Chi phi trung chuyen</t>
  </si>
  <si>
    <t>CPVC_DenChanCT</t>
  </si>
  <si>
    <t>Không quá khổ</t>
  </si>
  <si>
    <t>Quá khổ</t>
  </si>
  <si>
    <t>ĐG
Bốc dỡ thủ công</t>
  </si>
  <si>
    <t>Cự ly (m)</t>
  </si>
  <si>
    <t>Giá cước (đ/tấn.km)</t>
  </si>
  <si>
    <t>Đơn giá dưới cước cố định</t>
  </si>
  <si>
    <t>Đơn giá trên cước cố định</t>
  </si>
  <si>
    <t>BẢNG TÍNH CHI PHÍ HUY ĐỘNG PHƯƠNG TIỆN</t>
  </si>
  <si>
    <t>Tên phương tiện</t>
  </si>
  <si>
    <t>Tổng số KM xe chạy
(km)</t>
  </si>
  <si>
    <t>Số KM xe chạy 
(trừ 3km xe chạy đầu)</t>
  </si>
  <si>
    <t>Số KM xe chạy
có hàng</t>
  </si>
  <si>
    <t>Trọng tải đăng ký phương tiện</t>
  </si>
  <si>
    <t>Đơn giá cước</t>
  </si>
  <si>
    <t>Chi phí huy động phương tiện</t>
  </si>
  <si>
    <t>TC1</t>
  </si>
  <si>
    <t>- Quảng đường huy động có chiều dài dưới 3km không tính tiền huy động</t>
  </si>
  <si>
    <t>BẢNG TÍNH CHI PHÍ PHƯƠNG TIỆN CHỜ ĐỢI</t>
  </si>
  <si>
    <t>Số lượng
(cái)</t>
  </si>
  <si>
    <t>Tải trọng xe
(tấn)</t>
  </si>
  <si>
    <t>Thời gian chờ đợi (giờ)</t>
  </si>
  <si>
    <t>Giá cước
(đồng)</t>
  </si>
  <si>
    <t>Biểu cước phí phương tiện chờ đợi</t>
  </si>
  <si>
    <t>Loại xe</t>
  </si>
  <si>
    <t>Đơn giá (Đ/tấn/xe/giờ)</t>
  </si>
  <si>
    <t>Xe bình thường</t>
  </si>
  <si>
    <t>Rơ móc</t>
  </si>
  <si>
    <t>- Dưới 15 phút đến 30 phút tính 30 phút</t>
  </si>
  <si>
    <t>- Trên 30 phút tính bằng giờ</t>
  </si>
  <si>
    <t>- Chi phí huy động phương tiện ={(Tổng số km xe chạy-3km đầu)x2-(Số km xe chạy có hàng)x2} x đơn giá hàng bậc 1, đường loại 1 ở cự ly trên 100km x Trọng tải đăng ký phương tiện.</t>
  </si>
  <si>
    <t>BẢNG TÍNH CHI PHÍ VẬN CHUYỂN - SIÊU TRƯỜNG SIÊU TRỌNG</t>
  </si>
  <si>
    <t>BẢNG CƯỚC VẬN CHUYỂN HÀNG HÓA ĐƯỜNG BỘ
 DÙNG CHO HÀNG SIÊU TRƯỜNG SIÊU TRỌNG</t>
  </si>
  <si>
    <t>BẢNG CƯỚC VẬN CHUYỂN HÀNG HÓA ĐƯỜNG THỦY 
DÙNG CHO HÀNG SIÊU TRƯỜNG SIÊU TRỌNG</t>
  </si>
  <si>
    <t>Tải trọng</t>
  </si>
  <si>
    <t>Từ 20 đến 30 tấn</t>
  </si>
  <si>
    <t>Từ 31 đến 40 tấn</t>
  </si>
  <si>
    <t>Từ 40 đến 50 tấn</t>
  </si>
  <si>
    <t>Từ 50 đến 60 tấn</t>
  </si>
  <si>
    <t>Từ 60 đến 70 tấn</t>
  </si>
  <si>
    <t>Từ 70 đến 80 tấn</t>
  </si>
  <si>
    <t>Từ 80 đến 90 tấn</t>
  </si>
  <si>
    <t>Từ 90 đến 100 tấn</t>
  </si>
  <si>
    <t>Từ 100 tấn đến 110 tấn</t>
  </si>
  <si>
    <t>Sông loại 1</t>
  </si>
  <si>
    <t>Sông loại 2</t>
  </si>
  <si>
    <t>Sông trên loại 2</t>
  </si>
  <si>
    <t>Hàng bậc 1 : đất, cát, sỏi, đá xay, gạch các loại</t>
  </si>
  <si>
    <t>Hàng bậc 2 : Ngói, lương thực đóng bao các loại, tranh, tre, nứa, lá, bương, vấu, hộp, …….</t>
  </si>
  <si>
    <t>Hàng bậc 3 : Lương thực rời, xi măng, vôi cục, ….</t>
  </si>
  <si>
    <t>Hàng bậc 4 : Nhựa, nhủ tương, muối….</t>
  </si>
  <si>
    <t>Các trường hợp tính bổ sung cước vận chuyển</t>
  </si>
  <si>
    <t>1. Theo tải trọng hàng hóa:</t>
  </si>
  <si>
    <t>Nhỏ hơn 20 tấn</t>
  </si>
  <si>
    <t>Từ 20 đến 40 tấn</t>
  </si>
  <si>
    <t>Trên 40 tấn</t>
  </si>
  <si>
    <t>2. Theo chiều dài hàng hóa</t>
  </si>
  <si>
    <t>Nhỏ hơn 12m</t>
  </si>
  <si>
    <t>Từ 12m đến 20m</t>
  </si>
  <si>
    <t>Trên 20 m</t>
  </si>
  <si>
    <t>CPVC _Sieu truong</t>
  </si>
  <si>
    <t>Điều chỉnh cước</t>
  </si>
  <si>
    <t>Hệ số điều chình đơn giá</t>
  </si>
  <si>
    <t>Theo tải trọng hàng hóa</t>
  </si>
  <si>
    <t>Theo chiểu dài hàng hóa</t>
  </si>
  <si>
    <t>Loại tải trọng</t>
  </si>
  <si>
    <t>BẢNG TỔNG HỢP KINH PHÍ KHẢO SÁT</t>
  </si>
  <si>
    <t>Ct</t>
  </si>
  <si>
    <t>Lt</t>
  </si>
  <si>
    <t>Gpa</t>
  </si>
  <si>
    <t>Chi phí lập phương án kỹ thuật</t>
  </si>
  <si>
    <t>Gbc</t>
  </si>
  <si>
    <t>Chi phí lập báo cáo kết quả khảo sát</t>
  </si>
  <si>
    <t>Gnt</t>
  </si>
  <si>
    <t>Chi phí chỗ ở tạm thời</t>
  </si>
  <si>
    <t>V</t>
  </si>
  <si>
    <t>Gt</t>
  </si>
  <si>
    <t>Đơn giá khảo sát trước thuế</t>
  </si>
  <si>
    <t>VI</t>
  </si>
  <si>
    <t>VII</t>
  </si>
  <si>
    <t>Gks</t>
  </si>
  <si>
    <t>Đơn giá khảo sát sau thuế</t>
  </si>
  <si>
    <t>Gdp</t>
  </si>
  <si>
    <t>THKP_KS</t>
  </si>
  <si>
    <t>BẢNG TÍNH BÙ GIÁ CƯỚC VẬN CHUYỂN</t>
  </si>
  <si>
    <t>Tham khảo: Hướng dẫn số 1901/UBND0XDCB ngày 12/5/2008 của UBND tỉnh Tây Ninh</t>
  </si>
  <si>
    <t>- Tỷ lệ chi phí tiền lương, nhiên liệu trong giá thành vận tải hàng hóa bằng ô tô</t>
  </si>
  <si>
    <t>- Tiền lương</t>
  </si>
  <si>
    <t xml:space="preserve">- Nhiên liệu </t>
  </si>
  <si>
    <t>- Hệ số tăng tiền lương, nhiên liệu tại thời điểm thực tế so với thời điểm gốc:</t>
  </si>
  <si>
    <t>- Hệ số tiền lương</t>
  </si>
  <si>
    <t>- Hệ số nhiên liệu</t>
  </si>
  <si>
    <t>- Hệ số tính bù cước vận chuyển do biến động về tiền lương và nhiên liệu</t>
  </si>
  <si>
    <t>- Hệ số</t>
  </si>
  <si>
    <t>Tong hop kinh phi_KS</t>
  </si>
  <si>
    <t>4. Kiểu DT</t>
  </si>
  <si>
    <t>N102.33.07</t>
  </si>
  <si>
    <t>CP Khac cuoc VC</t>
  </si>
  <si>
    <t>NỘI DUNG THẨM TRA</t>
  </si>
  <si>
    <t>Mã VT</t>
  </si>
  <si>
    <t>TÊN</t>
  </si>
  <si>
    <t xml:space="preserve">Thời gian thực hiện (năm): </t>
  </si>
  <si>
    <t>TD</t>
  </si>
  <si>
    <t>CP1</t>
  </si>
  <si>
    <t>CP2</t>
  </si>
  <si>
    <t>CP3</t>
  </si>
  <si>
    <t>CP4</t>
  </si>
  <si>
    <t>CP5</t>
  </si>
  <si>
    <t>CP6</t>
  </si>
  <si>
    <t>TG1</t>
  </si>
  <si>
    <t>TG2</t>
  </si>
  <si>
    <t>TG3</t>
  </si>
  <si>
    <t>TG4</t>
  </si>
  <si>
    <t>TG5</t>
  </si>
  <si>
    <t>DP3</t>
  </si>
  <si>
    <t>DP4</t>
  </si>
  <si>
    <t>DP5</t>
  </si>
  <si>
    <t>DP6</t>
  </si>
  <si>
    <t>CP7</t>
  </si>
  <si>
    <t>MH</t>
  </si>
  <si>
    <t>TD1</t>
  </si>
  <si>
    <r>
      <t>Thời gian tính toán I</t>
    </r>
    <r>
      <rPr>
        <b/>
        <vertAlign val="subscript"/>
        <sz val="11"/>
        <rFont val="Times New Roman"/>
        <family val="1"/>
      </rPr>
      <t>XDCTbq</t>
    </r>
    <r>
      <rPr>
        <b/>
        <sz val="11"/>
        <rFont val="Times New Roman"/>
        <family val="1"/>
      </rPr>
      <t xml:space="preserve"> (năm): </t>
    </r>
  </si>
  <si>
    <t>BẢNG TÍNH DỰ PHÒNG TRƯỢT GIÁ GÓI THẦU</t>
  </si>
  <si>
    <t>BẢNG TÍNH DỰ PHÒNG TRƯỢT GIÁ - TỔNG HỢP DỰ TOÁN XDCT</t>
  </si>
  <si>
    <t>Chi phí xây nhà tạm tại hiện trường để ở và điều hành thi công</t>
  </si>
  <si>
    <t>CỘNG</t>
  </si>
  <si>
    <t>DOCSO</t>
  </si>
  <si>
    <t>KHỐI
LƯỢNG</t>
  </si>
  <si>
    <t>Số ca năm (ca/năm)</t>
  </si>
  <si>
    <t>Hệ số thu hồi khi thanh lý</t>
  </si>
  <si>
    <t>Định mức khấu hao, sửa chữa, chi phí khác năm (%/nguyên giá)</t>
  </si>
  <si>
    <t>Đinh mức tiêu hao nhiên liệu, năng lượng 1 ca</t>
  </si>
  <si>
    <t>Hệ số nhiên liệu phụ</t>
  </si>
  <si>
    <t>Thành phần - Cấp bậc thợ điều khiển máy</t>
  </si>
  <si>
    <t>Nguyên giá
(1000 VND)
(Tham khảo)</t>
  </si>
  <si>
    <t>Nguyên giá
(VND)
(Tham khảo)</t>
  </si>
  <si>
    <t>Giá ca máy</t>
  </si>
  <si>
    <t>Khấu hao</t>
  </si>
  <si>
    <t>Sửa chữa</t>
  </si>
  <si>
    <r>
      <t>CP 
khấu hao
(C</t>
    </r>
    <r>
      <rPr>
        <b/>
        <vertAlign val="subscript"/>
        <sz val="10"/>
        <rFont val="Times New Roman"/>
        <family val="1"/>
      </rPr>
      <t>KH</t>
    </r>
    <r>
      <rPr>
        <b/>
        <sz val="10"/>
        <rFont val="Times New Roman"/>
        <family val="1"/>
      </rPr>
      <t>)</t>
    </r>
  </si>
  <si>
    <r>
      <t>CP
Sửa chữa
(C</t>
    </r>
    <r>
      <rPr>
        <b/>
        <vertAlign val="subscript"/>
        <sz val="10"/>
        <rFont val="Times New Roman"/>
        <family val="1"/>
      </rPr>
      <t>SC</t>
    </r>
    <r>
      <rPr>
        <b/>
        <sz val="10"/>
        <rFont val="Times New Roman"/>
        <family val="1"/>
      </rPr>
      <t>)</t>
    </r>
  </si>
  <si>
    <r>
      <t>CP khác
(C</t>
    </r>
    <r>
      <rPr>
        <b/>
        <vertAlign val="subscript"/>
        <sz val="10"/>
        <rFont val="Times New Roman"/>
        <family val="1"/>
      </rPr>
      <t>CK</t>
    </r>
    <r>
      <rPr>
        <b/>
        <sz val="10"/>
        <rFont val="Times New Roman"/>
        <family val="1"/>
      </rPr>
      <t>)</t>
    </r>
  </si>
  <si>
    <r>
      <t>CP
nhiên liệu
(C</t>
    </r>
    <r>
      <rPr>
        <b/>
        <vertAlign val="subscript"/>
        <sz val="10"/>
        <rFont val="Times New Roman"/>
        <family val="1"/>
      </rPr>
      <t>NL</t>
    </r>
    <r>
      <rPr>
        <b/>
        <sz val="10"/>
        <rFont val="Times New Roman"/>
        <family val="1"/>
      </rPr>
      <t>)</t>
    </r>
  </si>
  <si>
    <r>
      <t>CP
tiền lương
(C</t>
    </r>
    <r>
      <rPr>
        <b/>
        <vertAlign val="subscript"/>
        <sz val="10"/>
        <rFont val="Times New Roman"/>
        <family val="1"/>
      </rPr>
      <t>TL</t>
    </r>
    <r>
      <rPr>
        <b/>
        <sz val="10"/>
        <rFont val="Times New Roman"/>
        <family val="1"/>
      </rPr>
      <t>)</t>
    </r>
  </si>
  <si>
    <t>Thông tin tính lương theo thông tư 26/TT/BLDTBXH</t>
  </si>
  <si>
    <t>LCS</t>
  </si>
  <si>
    <t>Mức lương cơ sở</t>
  </si>
  <si>
    <t>PC_DH</t>
  </si>
  <si>
    <t>PC_KV</t>
  </si>
  <si>
    <t>PC_LD</t>
  </si>
  <si>
    <t>PC_TN</t>
  </si>
  <si>
    <t>PC_TH</t>
  </si>
  <si>
    <t>PC_CV</t>
  </si>
  <si>
    <t>Phụ cấp chức vụ</t>
  </si>
  <si>
    <t>PC_KOD</t>
  </si>
  <si>
    <t>HSDCL</t>
  </si>
  <si>
    <t>Hệ số điều chỉnh lương</t>
  </si>
  <si>
    <t>Khu vực</t>
  </si>
  <si>
    <t>Chức vụ</t>
  </si>
  <si>
    <r>
      <t>Hệ số phụ cấp
(H</t>
    </r>
    <r>
      <rPr>
        <b/>
        <vertAlign val="subscript"/>
        <sz val="9"/>
        <rFont val="Times New Roman"/>
        <family val="1"/>
      </rPr>
      <t>cb</t>
    </r>
    <r>
      <rPr>
        <b/>
        <sz val="9"/>
        <rFont val="Times New Roman"/>
        <family val="1"/>
      </rPr>
      <t>)</t>
    </r>
  </si>
  <si>
    <r>
      <t>Hệ số điều chỉnh tăng thêm lương
(H</t>
    </r>
    <r>
      <rPr>
        <b/>
        <vertAlign val="subscript"/>
        <sz val="9"/>
        <rFont val="Times New Roman"/>
        <family val="1"/>
      </rPr>
      <t>đc</t>
    </r>
    <r>
      <rPr>
        <b/>
        <sz val="9"/>
        <rFont val="Times New Roman"/>
        <family val="1"/>
      </rPr>
      <t>)</t>
    </r>
  </si>
  <si>
    <r>
      <t>Tiền ăn giữa ca
(CĐ</t>
    </r>
    <r>
      <rPr>
        <b/>
        <vertAlign val="subscript"/>
        <sz val="9"/>
        <rFont val="Times New Roman"/>
        <family val="1"/>
      </rPr>
      <t>ăn,ca</t>
    </r>
    <r>
      <rPr>
        <b/>
        <sz val="9"/>
        <rFont val="Times New Roman"/>
        <family val="1"/>
      </rPr>
      <t>)</t>
    </r>
  </si>
  <si>
    <r>
      <t>Chế độ khác
(CĐ</t>
    </r>
    <r>
      <rPr>
        <b/>
        <vertAlign val="subscript"/>
        <sz val="9"/>
        <rFont val="Times New Roman"/>
        <family val="1"/>
      </rPr>
      <t>khác</t>
    </r>
    <r>
      <rPr>
        <b/>
        <sz val="9"/>
        <rFont val="Times New Roman"/>
        <family val="1"/>
      </rPr>
      <t>)</t>
    </r>
  </si>
  <si>
    <r>
      <t>Tiền lương
(V</t>
    </r>
    <r>
      <rPr>
        <b/>
        <vertAlign val="subscript"/>
        <sz val="9"/>
        <rFont val="Times New Roman"/>
        <family val="1"/>
      </rPr>
      <t>lđ</t>
    </r>
    <r>
      <rPr>
        <b/>
        <sz val="9"/>
        <rFont val="Times New Roman"/>
        <family val="1"/>
      </rPr>
      <t>)</t>
    </r>
  </si>
  <si>
    <t>(Theo hướng dẫn tại Thông tư số 26/2015/TT-BLĐTBXH</t>
  </si>
  <si>
    <t>LuongCN_LaiMay2</t>
  </si>
  <si>
    <t>LuongCN_XD2</t>
  </si>
  <si>
    <t>BẢNG TÍNH LƯƠNG CÔNG NHÂN ĐIỀU KHIỂN MÁY</t>
  </si>
  <si>
    <t>TÊN THÉP/ĐVT ĐỔI ĐVỊ</t>
  </si>
  <si>
    <t>NHÓM NHÂN CÔNG</t>
  </si>
  <si>
    <t>LOẠI ĐỊNH MỨC</t>
  </si>
  <si>
    <t>THẨM TRA</t>
  </si>
  <si>
    <t>BỘ ĐƠN GIÁ</t>
  </si>
  <si>
    <t>PHƯƠNG PHÁP TÍNH NC</t>
  </si>
  <si>
    <t>TÊN CV</t>
  </si>
  <si>
    <t>KL TIÊN LƯỢNG</t>
  </si>
  <si>
    <t>Thợ lặn, bậc 1/4</t>
  </si>
  <si>
    <t>Thợ lặn, bậc 2/4</t>
  </si>
  <si>
    <t>Thợ lặn, bậc 4/4</t>
  </si>
  <si>
    <t>BẢNG TÍNH TIỀN LƯƠNG CHO CÔNG NHÂN XÂY DỰNG</t>
  </si>
  <si>
    <t>Đơn vị</t>
  </si>
  <si>
    <t>BẢNG TÍNH TIỀN LƯƠNG CHO CÔNG NHÂN ĐIỀU KHIỂN MÁY</t>
  </si>
  <si>
    <t>Loại NC</t>
  </si>
  <si>
    <t>LuongCNXD_Tong</t>
  </si>
  <si>
    <t>LuongCNLM_Tong</t>
  </si>
  <si>
    <t>Loại máy</t>
  </si>
  <si>
    <t>HẠNG MỤC 1</t>
  </si>
  <si>
    <t>HẠNG MỤC 2</t>
  </si>
  <si>
    <t>HẠNG MỤC 3</t>
  </si>
  <si>
    <t>HẠNG MỤC 4</t>
  </si>
  <si>
    <t>HẠNG MỤC 5</t>
  </si>
  <si>
    <t>HẠNG MỤC 6</t>
  </si>
  <si>
    <t>HẠNG MỤC 7</t>
  </si>
  <si>
    <t>HẠNG MỤC 8</t>
  </si>
  <si>
    <t>HẠNG MỤC 9</t>
  </si>
  <si>
    <t>HẠNG MỤC 10</t>
  </si>
  <si>
    <t>(Phục vụ việc tính giá ca máy, bù nhiên liệu, tiền lương thợ điều khiển máy)</t>
  </si>
  <si>
    <t>MÃ NC,MTC</t>
  </si>
  <si>
    <t>NC, MTC</t>
  </si>
  <si>
    <t>THEO CT</t>
  </si>
  <si>
    <t>Tiền ăn giữa ca</t>
  </si>
  <si>
    <t>Chế độ khác</t>
  </si>
  <si>
    <t>Dutoan_NhomNC</t>
  </si>
  <si>
    <t>PTCV
TƯƠNG TỰ</t>
  </si>
  <si>
    <t>Mô tả</t>
  </si>
  <si>
    <t>Dự toán</t>
  </si>
  <si>
    <t>Phân tích vật tư</t>
  </si>
  <si>
    <t>Giá trị vật tư</t>
  </si>
  <si>
    <t>Đơn giá chi tiết</t>
  </si>
  <si>
    <t>Dự thầu</t>
  </si>
  <si>
    <t>Tổng hợp kinh phí hạng mục</t>
  </si>
  <si>
    <t>Chi phí vận chuyển</t>
  </si>
  <si>
    <t>Cước vận chuyển</t>
  </si>
  <si>
    <t>Lương công nhân Xây dựng theo Nghị định 205/2004/NĐ-CP</t>
  </si>
  <si>
    <t>Phân tích hao phí ca máy</t>
  </si>
  <si>
    <t>Chiết tính lương Công nhân lái máy theo Nghị định 205/2004/NĐ-CP</t>
  </si>
  <si>
    <t>Chiết tính đơn giá ca máy</t>
  </si>
  <si>
    <t>Bù giá ca máy</t>
  </si>
  <si>
    <t>Bù nhiên liệu tiền lương thợ điều khiển máy</t>
  </si>
  <si>
    <t>Đầu vào ca máy</t>
  </si>
  <si>
    <t>Tổng hợp chi phí xây dựng</t>
  </si>
  <si>
    <t>Tổng hợp chi phí thiết bị</t>
  </si>
  <si>
    <t>Tổng dự toán</t>
  </si>
  <si>
    <t>Bìa</t>
  </si>
  <si>
    <t>Tổng hợp kinh phí 1 hạng mục</t>
  </si>
  <si>
    <t xml:space="preserve">Phân tích bù ca máy </t>
  </si>
  <si>
    <t>Thẩm tra dự toán</t>
  </si>
  <si>
    <t>Thẩm tra phân tích vật tư</t>
  </si>
  <si>
    <t>Dự phòng 2</t>
  </si>
  <si>
    <t>Thẩm tra Giá trị vật tư</t>
  </si>
  <si>
    <t>Lương công nhân xây dựng theo Thông tư số 01/2015/TT-BXD</t>
  </si>
  <si>
    <t>Lương công nhân lái máy theo Thông tư số 01/2015/TT-BXD</t>
  </si>
  <si>
    <t>Phân tích vận chuyển lên cao</t>
  </si>
  <si>
    <t>Tổng hợp vật tư vận chuyển lên cao</t>
  </si>
  <si>
    <t>Phân tích bốc xếp vật tư</t>
  </si>
  <si>
    <t>Tổng hợp bốc xếp vật tư</t>
  </si>
  <si>
    <t>Phân tích vận chuyển sang ngang</t>
  </si>
  <si>
    <t>Tổng hợp vận chuyển sang ngang</t>
  </si>
  <si>
    <t>Tổng hợp dự toán XDCT theo Nghị định 32</t>
  </si>
  <si>
    <t>Bảng chi phí hạng mục chung theo Nghị định 32</t>
  </si>
  <si>
    <t>Tổng mức đầu tư theo Nghị định 32</t>
  </si>
  <si>
    <t>Dự phòng 2C - Dự phòng trượt giá gói thầu theo Nghị định 32</t>
  </si>
  <si>
    <t>Dự phòng 2B - Dự phòng trượt giá tổng dự toán theo Nghị định 32</t>
  </si>
  <si>
    <t>Dự phòng 2A - Dự phòng trượt giá Tổng mức đầu tư theo Nghị định 32</t>
  </si>
  <si>
    <t>Sơ bộ tổng mức đầu tư theo Nghị định 32</t>
  </si>
  <si>
    <t>Tổng hợp dự toán thiết bị theo Nghị định 32</t>
  </si>
  <si>
    <t>Dự toán Gói thầu theo Nghị định 32</t>
  </si>
  <si>
    <t>Đơn giá chi tiết gói thầu theo Nghị định 32</t>
  </si>
  <si>
    <t>Chi phí trung chuyển</t>
  </si>
  <si>
    <t>Cước bổ sung</t>
  </si>
  <si>
    <t>Chi phí vận chuyển đến chân công trình</t>
  </si>
  <si>
    <t>Chi phí vận chuyển siêu trường, siêu trọng</t>
  </si>
  <si>
    <t>Tổng hợp kinh phí khảo sát 1 hạng mục</t>
  </si>
  <si>
    <t>Tổng hợp kinh phí khảo sát nhiều hạng mục</t>
  </si>
  <si>
    <t>Chi phí khác cước vận chuyển</t>
  </si>
  <si>
    <t>Lương công nhân xây dựng theo Thông tư 26/2015/TT-BLĐTBXH</t>
  </si>
  <si>
    <t>Lương công nhân lái máy theo Thông tư 26/2015/TT-BLĐTBXH</t>
  </si>
  <si>
    <t>Bảng lương công nhân XD Tổng</t>
  </si>
  <si>
    <t>Bảng lương công nhân lái máy Tổng</t>
  </si>
  <si>
    <t>Dự toán theo nhóm nhân công</t>
  </si>
  <si>
    <t>BẢNG TÍNH LƯƠNG GỐC THEO DỮ LIỆU CŨ</t>
  </si>
  <si>
    <t>Tên nhân công</t>
  </si>
  <si>
    <t>Quy đổi tương ứng sang Nghị định 205/2005/chuẩn</t>
  </si>
  <si>
    <t>Quy đổi tương ứng sang TT01/2015/TT-BXD</t>
  </si>
  <si>
    <t>Quy đổi sang thông tư số 26/TT-BLĐTBXH - Phần đường bộ</t>
  </si>
  <si>
    <t>Quy đổi sang thông tư số 26/TT-BLĐTBXH - Phần cây xanh</t>
  </si>
  <si>
    <t>A1107</t>
  </si>
  <si>
    <t>NA18.1107</t>
  </si>
  <si>
    <t>Nhân công xây dựng cơ bản nhóm I, bậc 1/7</t>
  </si>
  <si>
    <t>Nhân công Nhóm I, bậc 1/7</t>
  </si>
  <si>
    <t>NCI.5.1.10.07</t>
  </si>
  <si>
    <t>Nhân công DVCI (nhóm bảo dưỡng đường bộ), nhóm I, bậc 1,0/7</t>
  </si>
  <si>
    <t>1,55</t>
  </si>
  <si>
    <t>NCI.6.1.10.07</t>
  </si>
  <si>
    <t>Nhân công DVCI (nhóm cung cấp điện nước sạch), nhóm I, bậc 1,0/7</t>
  </si>
  <si>
    <t>A1207</t>
  </si>
  <si>
    <t>NA18.1207</t>
  </si>
  <si>
    <t>Nhân công xây dựng cơ bản nhóm I, bậc 2/7</t>
  </si>
  <si>
    <t>Nhân công Nhóm I, bậc 2/7</t>
  </si>
  <si>
    <t>NCI.5.1.20.07</t>
  </si>
  <si>
    <t>Nhân công DVCI (nhóm bảo dưỡng đường bộ), nhóm I, bậc 2,0/7</t>
  </si>
  <si>
    <t>1,83</t>
  </si>
  <si>
    <t>NCI.6.1.20.07</t>
  </si>
  <si>
    <t>Nhân công DVCI (nhóm cung cấp điện nước sạch), nhóm I, bậc 2,0/7</t>
  </si>
  <si>
    <t>A1257</t>
  </si>
  <si>
    <t>NA18.1257</t>
  </si>
  <si>
    <t>Nhân công xây dựng cơ bản nhóm I, bậc 2,5/7</t>
  </si>
  <si>
    <t>Nhân công Nhóm I, bậc 2,5/7</t>
  </si>
  <si>
    <t>NCI.5.1.25.07</t>
  </si>
  <si>
    <t>Nhân công DVCI (nhóm bảo dưỡng đường bộ), nhóm I, bậc 2,5/7</t>
  </si>
  <si>
    <t>NCI.6.1.25.07</t>
  </si>
  <si>
    <t>Nhân công DVCI (nhóm cung cấp điện nước sạch), nhóm I, bậc 2,5/7</t>
  </si>
  <si>
    <t>A1277</t>
  </si>
  <si>
    <t>NA18.1277</t>
  </si>
  <si>
    <t>Nhân công xây dựng cơ bản nhóm I, bậc 2,7/7</t>
  </si>
  <si>
    <t>Nhân công Nhóm I, bậc 2,7/7</t>
  </si>
  <si>
    <t>NCI.5.1.27.07</t>
  </si>
  <si>
    <t>Nhân công DVCI (nhóm bảo dưỡng đường bộ), nhóm I, bậc 2,7/7</t>
  </si>
  <si>
    <t>NCI.6.1.27.07</t>
  </si>
  <si>
    <t>Nhân công DVCI (nhóm cung cấp điện nước sạch), nhóm I, bậc 2,7/7</t>
  </si>
  <si>
    <t>A1307</t>
  </si>
  <si>
    <t>NA18.1307</t>
  </si>
  <si>
    <t>Nhân công xây dựng cơ bản nhóm I, bậc 3,0/7</t>
  </si>
  <si>
    <t>Nhân công Nhóm I, bậc 3,0/7</t>
  </si>
  <si>
    <t>NCI.5.1.30.07</t>
  </si>
  <si>
    <t>Nhân công DVCI (nhóm bảo dưỡng đường bộ), nhóm I, bậc 3,0/7</t>
  </si>
  <si>
    <t>2,16</t>
  </si>
  <si>
    <t>NCI.6.1.30.07</t>
  </si>
  <si>
    <t>Nhân công DVCI (nhóm cung cấp điện nước sạch), nhóm I, bậc 3,0/7</t>
  </si>
  <si>
    <t>A1327</t>
  </si>
  <si>
    <t>NA18.1327</t>
  </si>
  <si>
    <t>Nhân công xây dựng cơ bản nhóm I, bậc 3,2/7</t>
  </si>
  <si>
    <t>Nhân công Nhóm I, bậc 3,2/7</t>
  </si>
  <si>
    <t>NCI.5.1.32.07</t>
  </si>
  <si>
    <t>Nhân công DVCI (nhóm bảo dưỡng đường bộ), nhóm I, bậc 3,2/7</t>
  </si>
  <si>
    <t>NCI.6.1.32.07</t>
  </si>
  <si>
    <t>Nhân công DVCI (nhóm cung cấp điện nước sạch), nhóm I, bậc 3,2/7</t>
  </si>
  <si>
    <t>A1337</t>
  </si>
  <si>
    <t>NA18.1337</t>
  </si>
  <si>
    <t>Nhân công xây dựng cơ bản nhóm I, bậc 3,3/7</t>
  </si>
  <si>
    <t>Nhân công Nhóm I, bậc 3,3/7</t>
  </si>
  <si>
    <t>NCI.5.1.33.07</t>
  </si>
  <si>
    <t>Nhân công DVCI (nhóm bảo dưỡng đường bộ), nhóm I, bậc 3,3/7</t>
  </si>
  <si>
    <t>NCI.6.1.33.07</t>
  </si>
  <si>
    <t>Nhân công DVCI (nhóm cung cấp điện nước sạch), nhóm I, bậc 3,3/7</t>
  </si>
  <si>
    <t>A1357</t>
  </si>
  <si>
    <t>NA18.1357</t>
  </si>
  <si>
    <t>Nhân công xây dựng cơ bản nhóm I, bậc 3,5/7</t>
  </si>
  <si>
    <t>Nhân công Nhóm I, bậc 3,5/7</t>
  </si>
  <si>
    <t>NCI.5.1.35.07</t>
  </si>
  <si>
    <t>Nhân công DVCI (nhóm bảo dưỡng đường bộ), nhóm I, bậc 3,5/7</t>
  </si>
  <si>
    <t>NCI.6.1.35.07</t>
  </si>
  <si>
    <t>Nhân công DVCI (nhóm cung cấp điện nước sạch), nhóm I, bậc 3,5/7</t>
  </si>
  <si>
    <t>A1377</t>
  </si>
  <si>
    <t>NA18.1377</t>
  </si>
  <si>
    <t>Nhân công xây dựng cơ bản nhóm I, bậc 3,7/7</t>
  </si>
  <si>
    <t>Nhân công Nhóm I, bậc 3,7/7</t>
  </si>
  <si>
    <t>NCI.5.1.37.07</t>
  </si>
  <si>
    <t>Nhân công DVCI (nhóm bảo dưỡng đường bộ), nhóm I, bậc 3,7/7</t>
  </si>
  <si>
    <t>NCI.6.1.37.07</t>
  </si>
  <si>
    <t>Nhân công DVCI (nhóm cung cấp điện nước sạch), nhóm I, bậc 3,7/7</t>
  </si>
  <si>
    <t>A1407</t>
  </si>
  <si>
    <t>NA18.1407</t>
  </si>
  <si>
    <t>Nhân công xây dựng cơ bản nhóm I, bậc 4/7</t>
  </si>
  <si>
    <t>Nhân công Nhóm I, bậc 4/7</t>
  </si>
  <si>
    <t>NCI.5.1.40.07</t>
  </si>
  <si>
    <t>Nhân công DVCI (nhóm bảo dưỡng đường bộ), nhóm I, bậc 4,0/7</t>
  </si>
  <si>
    <t>2,55</t>
  </si>
  <si>
    <t>NCI.6.1.40.07</t>
  </si>
  <si>
    <t>Nhân công DVCI (nhóm cung cấp điện nước sạch), nhóm I, bậc 4,0/7</t>
  </si>
  <si>
    <t>A1427</t>
  </si>
  <si>
    <t>NA18.1427</t>
  </si>
  <si>
    <t>Nhân công xây dựng cơ bản nhóm I, bậc 4,2/7</t>
  </si>
  <si>
    <t>Nhân công Nhóm I, bậc 4,2/7</t>
  </si>
  <si>
    <t>NCI.5.1.42.07</t>
  </si>
  <si>
    <t>Nhân công DVCI (nhóm bảo dưỡng đường bộ), nhóm I, bậc 4,2/7</t>
  </si>
  <si>
    <t>NCI.6.1.42.07</t>
  </si>
  <si>
    <t>Nhân công DVCI (nhóm cung cấp điện nước sạch), nhóm I, bậc 4,2/7</t>
  </si>
  <si>
    <t>A1437</t>
  </si>
  <si>
    <t>NA18.1437</t>
  </si>
  <si>
    <t>Nhân công xây dựng cơ bản nhóm I, bậc 4,3/7</t>
  </si>
  <si>
    <t>Nhân công Nhóm I, bậc 4,3/7</t>
  </si>
  <si>
    <t>NCI.5.1.43.07</t>
  </si>
  <si>
    <t>Nhân công DVCI (nhóm bảo dưỡng đường bộ), nhóm I, bậc 4,3/7</t>
  </si>
  <si>
    <t>NCI.6.1.43.07</t>
  </si>
  <si>
    <t>Nhân công DVCI (nhóm cung cấp điện nước sạch), nhóm I, bậc 4,3/7</t>
  </si>
  <si>
    <t>A1457</t>
  </si>
  <si>
    <t>NA18.1457</t>
  </si>
  <si>
    <t>Nhân công xây dựng cơ bản nhóm I, bậc 4,5/7</t>
  </si>
  <si>
    <t>Nhân công Nhóm I, bậc 4,5/7</t>
  </si>
  <si>
    <t>NCI.5.1.45.07</t>
  </si>
  <si>
    <t>Nhân công DVCI (nhóm bảo dưỡng đường bộ), nhóm I, bậc 4,5/7</t>
  </si>
  <si>
    <t>NCI.6.1.45.07</t>
  </si>
  <si>
    <t>Nhân công DVCI (nhóm cung cấp điện nước sạch), nhóm I, bậc 4,5/7</t>
  </si>
  <si>
    <t>A1477</t>
  </si>
  <si>
    <t>NA18.1477</t>
  </si>
  <si>
    <t>Nhân công xây dựng cơ bản nhóm I, bậc 4,7/7</t>
  </si>
  <si>
    <t>Nhân công Nhóm I, bậc 4,7/7</t>
  </si>
  <si>
    <t>NCI.5.1.47.07</t>
  </si>
  <si>
    <t>Nhân công DVCI (nhóm bảo dưỡng đường bộ), nhóm I, bậc 4,7/7</t>
  </si>
  <si>
    <t>NCI.6.1.47.07</t>
  </si>
  <si>
    <t>Nhân công DVCI (nhóm cung cấp điện nước sạch), nhóm I, bậc 4,7/7</t>
  </si>
  <si>
    <t>A1507</t>
  </si>
  <si>
    <t>NA18.1507</t>
  </si>
  <si>
    <t>Nhân công xây dựng cơ bản nhóm I, bậc 5/7</t>
  </si>
  <si>
    <t>Nhân công Nhóm I, bậc 5/7</t>
  </si>
  <si>
    <t>NCI.5.1.50.07</t>
  </si>
  <si>
    <t>Nhân công DVCI (nhóm bảo dưỡng đường bộ), nhóm I, bậc 5,0/7</t>
  </si>
  <si>
    <t>3,01</t>
  </si>
  <si>
    <t>NCI.6.1.50.07</t>
  </si>
  <si>
    <t>Nhân công DVCI (nhóm cung cấp điện nước sạch), nhóm I, bậc 5,0/7</t>
  </si>
  <si>
    <t>A1527</t>
  </si>
  <si>
    <t>NA18.1527</t>
  </si>
  <si>
    <t>Nhân công xây dựng cơ bản nhóm I, bậc 5,2/7</t>
  </si>
  <si>
    <t>Nhân công Nhóm I, bậc 5,2/7</t>
  </si>
  <si>
    <t>NCI.5.1.52.07</t>
  </si>
  <si>
    <t>Nhân công DVCI (nhóm bảo dưỡng đường bộ), nhóm I, bậc 5,2/7</t>
  </si>
  <si>
    <t>NCI.6.1.5207</t>
  </si>
  <si>
    <t>Nhân công DVCI (nhóm cung cấp điện nước sạch), nhóm I, bậc 5,2/7</t>
  </si>
  <si>
    <t>A1557</t>
  </si>
  <si>
    <t>NA18.1557</t>
  </si>
  <si>
    <t>Nhân công xây dựng cơ bản nhóm I, bậc 5,5/7</t>
  </si>
  <si>
    <t>Nhân công Nhóm I, bậc 5,5/7</t>
  </si>
  <si>
    <t>NCI.5.1.55.07</t>
  </si>
  <si>
    <t>Nhân công DVCI (nhóm bảo dưỡng đường bộ), nhóm I, bậc 5,5/7</t>
  </si>
  <si>
    <t>NCI.6.1.55.07</t>
  </si>
  <si>
    <t>Nhân công DVCI (nhóm cung cấp điện nước sạch), nhóm I, bậc 5,5/7</t>
  </si>
  <si>
    <t>A1607</t>
  </si>
  <si>
    <t>NA18.1607</t>
  </si>
  <si>
    <t>Nhân công xây dựng cơ bản nhóm I, bậc 6/7</t>
  </si>
  <si>
    <t>Nhân công Nhóm I, bậc 6/7</t>
  </si>
  <si>
    <t>NCI.5.1.60.07</t>
  </si>
  <si>
    <t>Nhân công DVCI (nhóm bảo dưỡng đường bộ), nhóm I, bậc 6,0/7</t>
  </si>
  <si>
    <t>3,56</t>
  </si>
  <si>
    <t>NCI.6.1.60.07</t>
  </si>
  <si>
    <t>Nhân công DVCI (nhóm cung cấp điện nước sạch), nhóm I, bậc 6,0/7</t>
  </si>
  <si>
    <t>A1707</t>
  </si>
  <si>
    <t>NA18.1707</t>
  </si>
  <si>
    <t>Nhân công xây dựng cơ bản nhóm I, bậc 7/7</t>
  </si>
  <si>
    <t>Nhân công Nhóm I, bậc 7/7</t>
  </si>
  <si>
    <t>NCI.5.1.70.07</t>
  </si>
  <si>
    <t>Nhân công DVCI (nhóm bảo dưỡng đường bộ), nhóm I, bậc 7,0/7</t>
  </si>
  <si>
    <t>4,2</t>
  </si>
  <si>
    <t>NCI.6.1.70.07</t>
  </si>
  <si>
    <t>Nhân công DVCI (nhóm cung cấp điện nước sạch), nhóm I, bậc 7,0/7</t>
  </si>
  <si>
    <t>A2107</t>
  </si>
  <si>
    <t>NA18.2107</t>
  </si>
  <si>
    <t>Nhân công xây dựng cơ bản nhóm II, bậc 1/7</t>
  </si>
  <si>
    <t>A2207</t>
  </si>
  <si>
    <t>NA18.2207</t>
  </si>
  <si>
    <t>Nhân công xây dựng cơ bản nhóm II, bậc 2/7</t>
  </si>
  <si>
    <t>A2257</t>
  </si>
  <si>
    <t>NA18.2257</t>
  </si>
  <si>
    <t>Nhân công xây dựng cơ bản nhóm II, bậc 2,5/7</t>
  </si>
  <si>
    <t>A2277</t>
  </si>
  <si>
    <t>NA18.2277</t>
  </si>
  <si>
    <t>Nhân công xây dựng cơ bản nhóm II, bậc 2,7/7</t>
  </si>
  <si>
    <t>A2307</t>
  </si>
  <si>
    <t>NA18.2307</t>
  </si>
  <si>
    <t>Nhân công xây dựng cơ bản nhóm II, bậc 3,0/7</t>
  </si>
  <si>
    <t>A2327</t>
  </si>
  <si>
    <t>NA18.2327</t>
  </si>
  <si>
    <t>Nhân công xây dựng cơ bản nhóm II, bậc 3,2/7</t>
  </si>
  <si>
    <t>A2337</t>
  </si>
  <si>
    <t>A2357</t>
  </si>
  <si>
    <t>NA18.2357</t>
  </si>
  <si>
    <t>Nhân công xây dựng cơ bản nhóm II, bậc 3,5/7</t>
  </si>
  <si>
    <t>A2377</t>
  </si>
  <si>
    <t>NA18.2377</t>
  </si>
  <si>
    <t>Nhân công xây dựng cơ bản nhóm II, bậc 3,7/7</t>
  </si>
  <si>
    <t>A2407</t>
  </si>
  <si>
    <t>NA18.2407</t>
  </si>
  <si>
    <t>Nhân công xây dựng cơ bản nhóm II, bậc 4/7</t>
  </si>
  <si>
    <t>A2427</t>
  </si>
  <si>
    <t>NA18.2427</t>
  </si>
  <si>
    <t>Nhân công xây dựng cơ bản nhóm II, bậc 4,2/7</t>
  </si>
  <si>
    <t>A2437</t>
  </si>
  <si>
    <t>Nhân công xây dựng cơ bản Nhóm II, bậc 4,3/7</t>
  </si>
  <si>
    <t>NA18.2437</t>
  </si>
  <si>
    <t>Nhân công xây dựng cơ bản nhóm II, bậc 4,3/7</t>
  </si>
  <si>
    <t>A2457</t>
  </si>
  <si>
    <t>NA18.2457</t>
  </si>
  <si>
    <t>Nhân công xây dựng cơ bản nhóm II, bậc 4,5/7</t>
  </si>
  <si>
    <t>A2477</t>
  </si>
  <si>
    <t>NA18.2477</t>
  </si>
  <si>
    <t>Nhân công xây dựng cơ bản nhóm II, bậc 4,7/7</t>
  </si>
  <si>
    <t>A2507</t>
  </si>
  <si>
    <t>NA18.2507</t>
  </si>
  <si>
    <t>Nhân công xây dựng cơ bản nhóm II, bậc 5/7</t>
  </si>
  <si>
    <t>A2527</t>
  </si>
  <si>
    <t>NA18.2527</t>
  </si>
  <si>
    <t>Nhân công xây dựng cơ bản nhóm II, bậc 5,2/7</t>
  </si>
  <si>
    <t>A2557</t>
  </si>
  <si>
    <t>NA18.2557</t>
  </si>
  <si>
    <t>Nhân công xây dựng cơ bản nhóm II, bậc 5,5/7</t>
  </si>
  <si>
    <t>A2607</t>
  </si>
  <si>
    <t>NA18.2607</t>
  </si>
  <si>
    <t>Nhân công xây dựng cơ bản nhóm II, bậc 6/7</t>
  </si>
  <si>
    <t>A2707</t>
  </si>
  <si>
    <t>NA18.2707</t>
  </si>
  <si>
    <t>Nhân công xây dựng cơ bản nhóm II, bậc 7/7</t>
  </si>
  <si>
    <t>A3107</t>
  </si>
  <si>
    <t>NA18.3107</t>
  </si>
  <si>
    <t>Nhân công xây dựng cơ bản nhóm III, bậc 1/7</t>
  </si>
  <si>
    <t>A3207</t>
  </si>
  <si>
    <t>NA18.3207</t>
  </si>
  <si>
    <t>Nhân công xây dựng cơ bản nhóm III, bậc 2/7</t>
  </si>
  <si>
    <t>A3257</t>
  </si>
  <si>
    <t>NA18.3257</t>
  </si>
  <si>
    <t>Nhân công xây dựng cơ bản nhóm III, bậc 2,5/7</t>
  </si>
  <si>
    <t>A3277</t>
  </si>
  <si>
    <t>NA18.3277</t>
  </si>
  <si>
    <t>Nhân công xây dựng cơ bản nhóm III, bậc 2,7/7</t>
  </si>
  <si>
    <t>A3307</t>
  </si>
  <si>
    <t>NA18.3307</t>
  </si>
  <si>
    <t>Nhân công xây dựng cơ bản nhóm III, bậc 3/7</t>
  </si>
  <si>
    <t>A3327</t>
  </si>
  <si>
    <t>NA18.3327</t>
  </si>
  <si>
    <t>Nhân công xây dựng cơ bản nhóm III, bậc 3,2/7</t>
  </si>
  <si>
    <t>A3337</t>
  </si>
  <si>
    <t>Nhân công xây dựng cơ bản Nhóm III, bậc 3,3/7</t>
  </si>
  <si>
    <t>NA18.3337</t>
  </si>
  <si>
    <t>Nhân công xây dựng cơ bản nhóm III, bậc 3,3/7</t>
  </si>
  <si>
    <t>A3357</t>
  </si>
  <si>
    <t>NA18.3357</t>
  </si>
  <si>
    <t>Nhân công xây dựng cơ bản nhóm III, bậc 3,5/7</t>
  </si>
  <si>
    <t>A3377</t>
  </si>
  <si>
    <t>NA18.3377</t>
  </si>
  <si>
    <t>Nhân công xây dựng cơ bản nhóm III, bậc 3,7/7</t>
  </si>
  <si>
    <t>A3407</t>
  </si>
  <si>
    <t>NA18.3407</t>
  </si>
  <si>
    <t>Nhân công xây dựng cơ bản nhóm III, bậc 4/7</t>
  </si>
  <si>
    <t>A3427</t>
  </si>
  <si>
    <t>NA18.3427</t>
  </si>
  <si>
    <t>Nhân công xây dựng cơ bản nhóm III, bậc 4,2/7</t>
  </si>
  <si>
    <t>A3437</t>
  </si>
  <si>
    <t>NA18.3437</t>
  </si>
  <si>
    <t>Nhân công xây dựng cơ bản nhóm III, bậc 4,3/7</t>
  </si>
  <si>
    <t>A3457</t>
  </si>
  <si>
    <t>NA18.3457</t>
  </si>
  <si>
    <t>Nhân công xây dựng cơ bản nhóm III, bậc 4,5/7</t>
  </si>
  <si>
    <t>A3477</t>
  </si>
  <si>
    <t>NA18.3477</t>
  </si>
  <si>
    <t>Nhân công xây dựng cơ bản nhóm III, bậc 4,7/7</t>
  </si>
  <si>
    <t>A3507</t>
  </si>
  <si>
    <t>NA18.3507</t>
  </si>
  <si>
    <t>Nhân công xây dựng cơ bản nhóm III, bậc 5/7</t>
  </si>
  <si>
    <t>A3527</t>
  </si>
  <si>
    <t>NA18.3527</t>
  </si>
  <si>
    <t>Nhân công xây dựng cơ bản nhóm III, bậc 5,2/7</t>
  </si>
  <si>
    <t>A3557</t>
  </si>
  <si>
    <t>NA18.3557</t>
  </si>
  <si>
    <t>Nhân công xây dựng cơ bản nhóm III, bậc 5,5/7</t>
  </si>
  <si>
    <t>A3607</t>
  </si>
  <si>
    <t>NA18.3607</t>
  </si>
  <si>
    <t>Nhân công xây dựng cơ bản nhóm III, bậc 6/7</t>
  </si>
  <si>
    <t>A3707</t>
  </si>
  <si>
    <t>NA18.3707</t>
  </si>
  <si>
    <t>Nhân công xây dựng cơ bản nhóm III, bậc 7/7</t>
  </si>
  <si>
    <t>B1104</t>
  </si>
  <si>
    <t>NB12.1104</t>
  </si>
  <si>
    <t>Nhân công lái xe cẩu, xe tải dưới 3,5 tấn, xe khách dưới 20 ghế bậc 1/4</t>
  </si>
  <si>
    <t>Công nhân lái xe Nhóm I, bậc 1/4</t>
  </si>
  <si>
    <t>NLX4.1.10.04</t>
  </si>
  <si>
    <t>Công nhân lái xe nhóm I (dưới 3,5 tấn), bậc 1/4</t>
  </si>
  <si>
    <t>B1204</t>
  </si>
  <si>
    <t>NB12.1204</t>
  </si>
  <si>
    <t>Nhân công lái xe cẩu, xe tải dưới 3,5 tấn, xe khách dưới 20 ghế bậc 2/4</t>
  </si>
  <si>
    <t>Công nhân lái xe Nhóm I, bậc 2/4</t>
  </si>
  <si>
    <t>NLX4.1.20.04</t>
  </si>
  <si>
    <t>Công nhân lái xe nhóm I (dưới 3,5 tấn), bậc 2/4</t>
  </si>
  <si>
    <t>B1304</t>
  </si>
  <si>
    <t>NB12.1304</t>
  </si>
  <si>
    <t>Nhân công lái xe cẩu, xe tải dưới 3,5 tấn, xe khách dưới 20 ghế bậc 3/4</t>
  </si>
  <si>
    <t>Công nhân lái xe Nhóm I, bậc 3/4</t>
  </si>
  <si>
    <t>NLX4.1.30.04</t>
  </si>
  <si>
    <t>Công nhân lái xe nhóm I (dưới 3,5 tấn), bậc 3/4</t>
  </si>
  <si>
    <t>B1404</t>
  </si>
  <si>
    <t>NB12.1404</t>
  </si>
  <si>
    <t>Nhân công lái xe cẩu, xe tải dưới 3,5 tấn, xe khách dưới 20 ghế bậc 4/4</t>
  </si>
  <si>
    <t>Công nhân lái xe Nhóm I, bậc 4/4</t>
  </si>
  <si>
    <t>NLX4.1.40.04</t>
  </si>
  <si>
    <t>Công nhân lái xe nhóm I (dưới 3,5 tấn), bậc 4/4</t>
  </si>
  <si>
    <t>B2104</t>
  </si>
  <si>
    <t>NB12.2104</t>
  </si>
  <si>
    <t>Nhân công lái xe, xe từ 3,5 tấn đến 7,5 tấn bậc 1/4</t>
  </si>
  <si>
    <t>NLX4.2.10.04</t>
  </si>
  <si>
    <t>Công nhân lái xe nhóm II (từ 3,5 tấn đến 7,5 tấn), bậc 1/4</t>
  </si>
  <si>
    <t>B2204</t>
  </si>
  <si>
    <t>NB12.2204</t>
  </si>
  <si>
    <t>Nhân công lái xe, xe từ 3,5 tấn đến 7,5 tấn bậc 2/4</t>
  </si>
  <si>
    <t>NLX4.2.20.04</t>
  </si>
  <si>
    <t>Công nhân lái xe nhóm II (từ 3,5 tấn đến 7,5 tấn), bậc 2/4</t>
  </si>
  <si>
    <t>B2304</t>
  </si>
  <si>
    <t>NB12.2304</t>
  </si>
  <si>
    <t>Nhân công lái xe, xe từ 3,5 tấn đến 7,5 tấn bậc 3/4</t>
  </si>
  <si>
    <t>NLX4.2.30.04</t>
  </si>
  <si>
    <t>Công nhân lái xe nhóm II (từ 3,5 tấn đến 7,5 tấn), bậc 3/4</t>
  </si>
  <si>
    <t>B2404</t>
  </si>
  <si>
    <t>NB12.2404</t>
  </si>
  <si>
    <t>Nhân công lái xe, xe từ 3,5 tấn đến 7,5 tấn bậc 4/4</t>
  </si>
  <si>
    <t>NLX4.2.40.04</t>
  </si>
  <si>
    <t>Công nhân lái xe nhóm II (từ 3,5 tấn đến 7,5 tấn), bậc 4/4</t>
  </si>
  <si>
    <t>B3104</t>
  </si>
  <si>
    <t>NB12.3104</t>
  </si>
  <si>
    <t>Nhân công lái xe, xe từ 7,5 tấn đến 16,5 tấn bậc 1/4</t>
  </si>
  <si>
    <t>Công nhân lái xe Nhóm II, bậc 1/4</t>
  </si>
  <si>
    <t>NLX4.3.10.04</t>
  </si>
  <si>
    <t>Công nhân lái xe nhóm III (từ 7,5 tấn đến 16,5 tấn), bậc 1/4</t>
  </si>
  <si>
    <t>B3204</t>
  </si>
  <si>
    <t>NB12.3204</t>
  </si>
  <si>
    <t>Nhân công lái xe, xe từ 7,5 tấn đến 16,5 tấn bậc 2/4</t>
  </si>
  <si>
    <t>Công nhân lái xe Nhóm II, bậc 2/4</t>
  </si>
  <si>
    <t>NLX4.3.20.04</t>
  </si>
  <si>
    <t>Công nhân lái xe nhóm III (từ 7,5 tấn đến 16,5 tấn), bậc 2/4</t>
  </si>
  <si>
    <t>B3304</t>
  </si>
  <si>
    <t>NB12.3304</t>
  </si>
  <si>
    <t>Nhân công lái xe, xe từ 7,5 tấn đến 16,5 tấn bậc 3/4</t>
  </si>
  <si>
    <t>Công nhân lái xe Nhóm II, bậc 3/4</t>
  </si>
  <si>
    <t>NLX4.3.30.04</t>
  </si>
  <si>
    <t>Công nhân lái xe nhóm III (từ 7,5 tấn đến 16,5 tấn), bậc 3/4</t>
  </si>
  <si>
    <t>B3404</t>
  </si>
  <si>
    <t>NB12.3404</t>
  </si>
  <si>
    <t>Nhân công lái xe, xe từ 7,5 tấn đến 16,5 tấn bậc 4/4</t>
  </si>
  <si>
    <t>Công nhân lái xe Nhóm II, bậc 4/4</t>
  </si>
  <si>
    <t>NLX4.3.40.04</t>
  </si>
  <si>
    <t>Công nhân lái xe nhóm III (từ 7,5 tấn đến 16,5 tấn), bậc 4/4</t>
  </si>
  <si>
    <t>B4104</t>
  </si>
  <si>
    <t>NB12.4104</t>
  </si>
  <si>
    <t>Nhân công lái xe, xe từ 16,5 tấn đến 25 tấn bậc 1/4</t>
  </si>
  <si>
    <t>NLX4.4.10.04</t>
  </si>
  <si>
    <t>Công nhân lái xe nhóm IV (từ 16,5 tấn đến 25 tấn), bậc 1/4</t>
  </si>
  <si>
    <t>B4204</t>
  </si>
  <si>
    <t>NB12.4204</t>
  </si>
  <si>
    <t>Nhân công lái xe, xe từ 16,5 tấn đến 25 tấn bậc 2/4</t>
  </si>
  <si>
    <t>NLX4.4.20.04</t>
  </si>
  <si>
    <t>Công nhân lái xe nhóm IV (từ 16,5 tấn đến 25 tấn), bậc 2/4</t>
  </si>
  <si>
    <t>B4304</t>
  </si>
  <si>
    <t>NB12.4304</t>
  </si>
  <si>
    <t>Nhân công lái xe, xe từ 16,5 tấn đến 25 tấn bậc 3/4</t>
  </si>
  <si>
    <t>NLX4.4.30.04</t>
  </si>
  <si>
    <t>Công nhân lái xe nhóm IV (từ 16,5 tấn đến 25 tấn), bậc 3/4</t>
  </si>
  <si>
    <t>B4404</t>
  </si>
  <si>
    <t>NB12.4404</t>
  </si>
  <si>
    <t>Nhân công lái xe, xe từ 16,5 tấn đến 25 tấn bậc 4/4</t>
  </si>
  <si>
    <t>NLX4.4.40.04</t>
  </si>
  <si>
    <t>Công nhân lái xe nhóm IV (từ 16,5 tấn đến 25 tấn), bậc 4/4</t>
  </si>
  <si>
    <t>B5104</t>
  </si>
  <si>
    <t>NB12.5104</t>
  </si>
  <si>
    <t>Nhân công lái xe, xe từ 25 tấn đến 40 tấn bậc 1/4</t>
  </si>
  <si>
    <t>Công nhân lái xe Nhóm III, bậc 1/4</t>
  </si>
  <si>
    <t>NLX4.5.10.04</t>
  </si>
  <si>
    <t>Công nhân lái xe nhóm V (từ 25 tấn đến 40 tấn), bậc 1/4</t>
  </si>
  <si>
    <t>B5204</t>
  </si>
  <si>
    <t>NB12.5204</t>
  </si>
  <si>
    <t>Nhân công lái xe, xe từ 25 tấn đến 40 tấn bậc 2/4</t>
  </si>
  <si>
    <t>Công nhân lái xe Nhóm III, bậc 2/4</t>
  </si>
  <si>
    <t>NLX4.5.20.04</t>
  </si>
  <si>
    <t>Công nhân lái xe nhóm V (từ 25 tấn đến 40 tấn), bậc 2/4</t>
  </si>
  <si>
    <t>B5304</t>
  </si>
  <si>
    <t>NB12.5304</t>
  </si>
  <si>
    <t>Nhân công lái xe, xe từ 25 tấn đến 40 tấn bậc 3/4</t>
  </si>
  <si>
    <t>Công nhân lái xe Nhóm III, bậc 3/4</t>
  </si>
  <si>
    <t>NLX4.5.30.04</t>
  </si>
  <si>
    <t>Công nhân lái xe nhóm V (từ 25 tấn đến 40 tấn), bậc 3/4</t>
  </si>
  <si>
    <t>B5404</t>
  </si>
  <si>
    <t>NB12.5404</t>
  </si>
  <si>
    <t>Nhân công lái xe, xe từ 25 tấn đến 40 tấn bậc 4/4</t>
  </si>
  <si>
    <t>Công nhân lái xe Nhóm III, bậc 4/4</t>
  </si>
  <si>
    <t>NLX4.5.40.04</t>
  </si>
  <si>
    <t>Công nhân lái xe nhóm V (từ 25 tấn đến 40 tấn), bậc 4/4</t>
  </si>
  <si>
    <t>B6104</t>
  </si>
  <si>
    <t>NB12.6104</t>
  </si>
  <si>
    <t>Nhân công lái xe, xe từ 40 tấn bậc 1/4</t>
  </si>
  <si>
    <t>NLX4.6.10.04</t>
  </si>
  <si>
    <t>Công nhân lái xe nhóm VI (từ 40 tấn trở lên), bậc 1/4</t>
  </si>
  <si>
    <t>B6204</t>
  </si>
  <si>
    <t>NB12.6204</t>
  </si>
  <si>
    <t>Nhân công lái xe, xe từ 40 tấn bậc 2/4</t>
  </si>
  <si>
    <t>NLX4.6.20.04</t>
  </si>
  <si>
    <t>Công nhân lái xe nhóm VI (từ 40 tấn trở lên), bậc 2/4</t>
  </si>
  <si>
    <t>B6304</t>
  </si>
  <si>
    <t>NB12.6304</t>
  </si>
  <si>
    <t>Nhân công lái xe, xe từ 40 tấn bậc 3/4</t>
  </si>
  <si>
    <t>NLX4.6.30.04</t>
  </si>
  <si>
    <t>Công nhân lái xe nhóm VI (từ 40 tấn trở lên), bậc 3/4</t>
  </si>
  <si>
    <t>B6404</t>
  </si>
  <si>
    <t>NB12.6404</t>
  </si>
  <si>
    <t>Nhân công lái xe, xe từ 40 tấn bậc 4/4</t>
  </si>
  <si>
    <t>NLX4.6.40.04</t>
  </si>
  <si>
    <t>Công nhân lái xe nhóm VI (từ 40 tấn trở lên), bậc 4/4</t>
  </si>
  <si>
    <t>C1102</t>
  </si>
  <si>
    <t>NB221.1102</t>
  </si>
  <si>
    <t>Thuyển trưởng (Nhóm I), Phương tiện không có động cơ có trọng tải toàn phần từ 5 tấn đến 15 tấn; phương tiện có trọng tải động cơ có công suất máy chính từ 5 mã lực đến 15 mã lực hoặc sức chở từ 5 người đến 12 người bậc 1/2</t>
  </si>
  <si>
    <t>Thuyền trưởng (DVCI), phương tiện từ 5 đến 15 tấn, bậc 1/2</t>
  </si>
  <si>
    <t>C1202</t>
  </si>
  <si>
    <t>NB221.1202</t>
  </si>
  <si>
    <t>Thuyển trưởng (Nhóm I), Phương tiện không có động cơ có trọng tải toàn phần từ 5 tấn đến 15 tấn; phương tiện có trọng tải động cơ có công suất máy chính từ 5 mã lực đến 15 mã lực hoặc sức chở từ 5 người đến 12 người bậc 2/2</t>
  </si>
  <si>
    <t>Thuyền trưởng (DVCI), phương tiện từ 5 đến 15 tấn, bậc 2/2</t>
  </si>
  <si>
    <t>C2102</t>
  </si>
  <si>
    <t>NB222.1102</t>
  </si>
  <si>
    <t>Thuyển trưởng (Nhóm I), Tàu khách có sức chở từ trên 12 người đến 50 người; phà có trọng tải toàn phần đến 50 tấn; đoàn lai có trọng tải toàn phần đến 400 tấn; phương tiện có tổng công suất máy chính từ trên 15 mã lực đến 150  mã lực bậc 1/2</t>
  </si>
  <si>
    <t>C2202</t>
  </si>
  <si>
    <t>NB222.1202</t>
  </si>
  <si>
    <t>Thuyển trưởng (Nhóm I), Tàu khách có sức chở từ trên 12 người đến 50 người; phà có trọng tải toàn phần đến 50 tấn; đoàn lai có trọng tải toàn phần đến 400 tấn; phương tiện có tổng công suất máy chính từ trên 15 mã lực đến 150  mã lực bậc 2/2</t>
  </si>
  <si>
    <t>C3102</t>
  </si>
  <si>
    <t>NB223.1102</t>
  </si>
  <si>
    <t>Thuyển trưởng (Nhóm I), Tàu khách có sức chở từ trên 50 người đến 100 người; phà có trọng tải toàn phần trên 50 tấn đến 150 tấn; phương tiện chở hàng có trọng tải toàn phần trên 150 tấn đến 500 tấn; đoàn lai có trọng tải toàn phần trên 400 tấn đến 1000 tấn; phương tiện có tổng công suất máy chính từ trên 150 mã lực đến 400  mã lực bậc 1/2</t>
  </si>
  <si>
    <t>C3202</t>
  </si>
  <si>
    <t>NB223.1202</t>
  </si>
  <si>
    <t>Thuyển trưởng (Nhóm I), Tàu khách có sức chở từ trên 50 người đến 100 người; phà có trọng tải toàn phần trên 50 tấn đến 150 tấn; phương tiện chở hàng có trọng tải toàn phần trên 150 tấn đến 500 tấn; đoàn lai có trọng tải toàn phần trên 400 tấn đến 1000 tấn; phương tiện có tổng công suất máy chính từ trên 150 mã lực đến 400  mã lực bậc 2/2</t>
  </si>
  <si>
    <t>C4102</t>
  </si>
  <si>
    <t>NB224.1102</t>
  </si>
  <si>
    <t>Thuyền trưởng (Nhóm I), Tàu khách có sức chở trên 100 người; phà có trọng tải toàn phần trên 150 tấn; phương tiện chở hàng có trọng tải toàn phần trên 500 tấn; đoàn lai có trọng tải toàn phần trên 1000 tấn; phương tiện có tổng công suất máy chính trên 400  mã lực bậc 1/2</t>
  </si>
  <si>
    <t>C4202</t>
  </si>
  <si>
    <t>NB224.1202</t>
  </si>
  <si>
    <t>Thuyền trưởng (Nhóm I), Tàu khách có sức chở trên 100 người; phà có trọng tải toàn phần trên 150 tấn; phương tiện chở hàng có trọng tải toàn phần trên 500 tấn; đoàn lai có trọng tải toàn phần trên 1000 tấn; phương tiện có tổng công suất máy chính trên 400  mã lực bậc 2/2</t>
  </si>
  <si>
    <t>D1102</t>
  </si>
  <si>
    <t>NB221.2102</t>
  </si>
  <si>
    <t>Đại phó, máy trưởng (Nhóm I), Phương tiện không có động cơ có trọng tải toàn phần từ 5 tấn đến 15 tấn; phương tiện có trọng tải động cơ có công suất máy chính từ 5 mã lực đến 15 mã lực hoặc sức chở từ 5 người đến 12 người bậc 1/2</t>
  </si>
  <si>
    <t>D1202</t>
  </si>
  <si>
    <t>NB221.2202</t>
  </si>
  <si>
    <t>Đại phó, máy trưởng (Nhóm I), Phương tiện không có động cơ có trọng tải toàn phần từ 5 tấn đến 15 tấn; phương tiện có trọng tải động cơ có công suất máy chính từ 5 mã lực đến 15 mã lực hoặc sức chở từ 5 người đến 12 người bậc 2/2</t>
  </si>
  <si>
    <t>D2102</t>
  </si>
  <si>
    <t>NB222.2102</t>
  </si>
  <si>
    <t>Đại phó, máy trưởng (Nhóm I), Tàu khách có sức chở từ trên 12 người đến 50 người; phà có trọng tải toàn phần đến 50 tấn; đoàn lai có trọng tải toàn phần đến 400 tấn; phương tiện có tổng công suất máy chính từ trên 15 mã lực đến 150  mã lực bậc 1/2</t>
  </si>
  <si>
    <t>D2202</t>
  </si>
  <si>
    <t>NB222.2202</t>
  </si>
  <si>
    <t>Đại phó, máy trưởng (Nhóm I), Tàu khách có sức chở từ trên 12 người đến 50 người; phà có trọng tải toàn phần đến 50 tấn; đoàn lai có trọng tải toàn phần đến 400 tấn; phương tiện có tổng công suất máy chính từ trên 15 mã lực đến 150  mã lực bậc 2/2</t>
  </si>
  <si>
    <t>D3102</t>
  </si>
  <si>
    <t>NB223.2102</t>
  </si>
  <si>
    <t>Đại phó, máy trưởng (Nhóm I), Tàu khách có sức chở từ trên 50 người đến 100 người; phà có trọng tải toàn phần trên 50 tấn đến 150 tấn; phương tiện chở hàng có trọng tải toàn phần trên 150 tấn đến 500 tấn; đoàn lai có trọng tải toàn phần trên 400 tấn đến 1000 tấn; phương tiện có tổng công suất máy chính từ trên 150 mã lực đến 400  mã lực bậc 1/2</t>
  </si>
  <si>
    <t>D3202</t>
  </si>
  <si>
    <t>NB223.2202</t>
  </si>
  <si>
    <t>Đại phó, máy trưởng (Nhóm I), Tàu khách có sức chở từ trên 50 người đến 100 người; phà có trọng tải toàn phần trên 50 tấn đến 150 tấn; phương tiện chở hàng có trọng tải toàn phần trên 150 tấn đến 500 tấn; đoàn lai có trọng tải toàn phần trên 400 tấn đến 1000 tấn; phương tiện có tổng công suất máy chính từ trên 150 mã lực đến 400  mã lực bậc 2/2</t>
  </si>
  <si>
    <t>D4102</t>
  </si>
  <si>
    <t>NB224.2102</t>
  </si>
  <si>
    <t>Đại phó, máy trưởng (Nhóm I), Tàu khách có sức chở trên 100 người; phà có trọng tải toàn phần trên 150 tấn; phương tiện chở hàng có trọng tải toàn phần trên 500 tấn; đoàn lai có trọng tải toàn phần trên 1000 tấn; phương tiện có tổng công suất máy chính trên 400  mã lực bậc 1/2</t>
  </si>
  <si>
    <t>D4202</t>
  </si>
  <si>
    <t>NB224.2202</t>
  </si>
  <si>
    <t>Đại phó, máy trưởng (Nhóm I), Tàu khách có sức chở trên 100 người; phà có trọng tải toàn phần trên 150 tấn; phương tiện chở hàng có trọng tải toàn phần trên 500 tấn; đoàn lai có trọng tải toàn phần trên 1000 tấn; phương tiện có tổng công suất máy chính trên 400  mã lực bậc 2/2</t>
  </si>
  <si>
    <t>E2102</t>
  </si>
  <si>
    <t>NB222.3102</t>
  </si>
  <si>
    <t>Thuyền phó 2, máy 2 - (Nhóm I), Tàu khách có sức chở từ trên 12 người đến 50 người; phà có trọng tải toàn phần đến 50 tấn; đoàn lai có trọng tải toàn phần đến 400 tấn; phương tiện có tổng công suất máy chính từ trên 15 mã lực đến 150  mã lực bậc 1/2</t>
  </si>
  <si>
    <t>E2202</t>
  </si>
  <si>
    <t>NB222.3202</t>
  </si>
  <si>
    <t>Thuyền phó 2, máy 2 - (Nhóm I), Tàu khách có sức chở từ trên 12 người đến 50 người; phà có trọng tải toàn phần đến 50 tấn; đoàn lai có trọng tải toàn phần đến 400 tấn; phương tiện có tổng công suất máy chính từ trên 15 mã lực đến 150  mã lực bậc 2/2</t>
  </si>
  <si>
    <t>E3102</t>
  </si>
  <si>
    <t>NB223.3102</t>
  </si>
  <si>
    <t>Thuyền phó 2, máy 2 (Nhóm I), Tàu khách có sức chở từ trên 50 người đến 100 người; phà có trọng tải toàn phần trên 50 tấn đến 150 tấn; phương tiện chở hàng có trọng tải toàn phần trên 150 tấn đến 500 tấn; đoàn lai có trọng tải toàn phần trên 400 tấn đến 1000 tấn; phương tiện có tổng công suất máy chính từ trên 150 mã lực đến 400  mã lực bậc 1/2</t>
  </si>
  <si>
    <t>E3202</t>
  </si>
  <si>
    <t>NB223.3202</t>
  </si>
  <si>
    <t>Thuyền phó 2, máy 2 (Nhóm I), Tàu khách có sức chở từ trên 50 người đến 100 người; phà có trọng tải toàn phần trên 50 tấn đến 150 tấn; phương tiện chở hàng có trọng tải toàn phần trên 150 tấn đến 500 tấn; đoàn lai có trọng tải toàn phần trên 400 tấn đến 1000 tấn; phương tiện có tổng công suất máy chính từ trên 150 mã lực đến 400  mã lực bậc 2/2</t>
  </si>
  <si>
    <t>E4102</t>
  </si>
  <si>
    <t>NB224.3102</t>
  </si>
  <si>
    <t>Thuyền phó 2, máy 2 (Nhóm I), Tàu khách có sức chở trên 100 người; phà có trọng tải toàn phần trên 150 tấn; phương tiện chở hàng có trọng tải toàn phần trên 500 tấn; đoàn lai có trọng tải toàn phần trên 1000 tấn; phương tiện có tổng công suất máy chính trên 400  mã lực bậc 1/2</t>
  </si>
  <si>
    <t>E4202</t>
  </si>
  <si>
    <t>NB224.3202</t>
  </si>
  <si>
    <t>Thuyền phó 2, máy 2 (Nhóm I), Tàu khách có sức chở trên 100 người; phà có trọng tải toàn phần trên 150 tấn; phương tiện chở hàng có trọng tải toàn phần trên 500 tấn; đoàn lai có trọng tải toàn phần trên 1000 tấn; phương tiện có tổng công suất máy chính trên 400  mã lực bậc 2/2</t>
  </si>
  <si>
    <t>F1104</t>
  </si>
  <si>
    <t>NB211.1104</t>
  </si>
  <si>
    <t>Thuỷ thủ - tàu vận tải biển bậc 1/4</t>
  </si>
  <si>
    <t>F1204</t>
  </si>
  <si>
    <t>NB211.1204</t>
  </si>
  <si>
    <t>Thuỷ thủ - tàu vận tải biển bậc 2/4</t>
  </si>
  <si>
    <t>F1304</t>
  </si>
  <si>
    <t>NB211.1304</t>
  </si>
  <si>
    <t>Thuỷ thủ - tàu vận tải biển bậc 3/4</t>
  </si>
  <si>
    <t>F1404</t>
  </si>
  <si>
    <t>NB211.1404</t>
  </si>
  <si>
    <t>Thuỷ thủ - tàu vận tải biển bậc 4/4</t>
  </si>
  <si>
    <t>G1104</t>
  </si>
  <si>
    <t>NB211.2104</t>
  </si>
  <si>
    <t>Thợ máy kiêm cơ khí, thợ bm - tàu vận tải biển bậc 1/4</t>
  </si>
  <si>
    <t>G1204</t>
  </si>
  <si>
    <t>NB211.2204</t>
  </si>
  <si>
    <t>Thợ máy kiêm cơ khí, thợ bm - tàu vận tải biển bậc 2/4</t>
  </si>
  <si>
    <t>G1304</t>
  </si>
  <si>
    <t>NB211.2304</t>
  </si>
  <si>
    <t>Thợ máy kiêm cơ khí, thợ bm - tàu vận tải biển bậc 3/4</t>
  </si>
  <si>
    <t>G1404</t>
  </si>
  <si>
    <t>NB211.2404</t>
  </si>
  <si>
    <t>Thợ máy kiêm cơ khí, thợ bm - tàu vận tải biển bậc 4/4</t>
  </si>
  <si>
    <t>H1104</t>
  </si>
  <si>
    <t>NB211.3104</t>
  </si>
  <si>
    <t>Thợ máy, điện, vô tuyến điện - tàu vận tải biển bậc 1/4</t>
  </si>
  <si>
    <t>H1204</t>
  </si>
  <si>
    <t>NB211.3204</t>
  </si>
  <si>
    <t>Thợ máy, điện, vô tuyến điện - tàu vận tải biển bậc 2/4</t>
  </si>
  <si>
    <t>H1304</t>
  </si>
  <si>
    <t>NB211.3304</t>
  </si>
  <si>
    <t>Thợ máy, điện, vô tuyến điện - tàu vận tải biển bậc 3/4</t>
  </si>
  <si>
    <t>H1404</t>
  </si>
  <si>
    <t>NB211.3404</t>
  </si>
  <si>
    <t>Thợ máy, điện, vô tuyến điện - tàu vận tải biển bậc 4/4</t>
  </si>
  <si>
    <t>I1104</t>
  </si>
  <si>
    <t>NB211.4104</t>
  </si>
  <si>
    <t>Phục vụ viên - tàu vận tải biển bậc 1/4</t>
  </si>
  <si>
    <t>I1204</t>
  </si>
  <si>
    <t>NB211.4204</t>
  </si>
  <si>
    <t>Phục vụ viên - tàu vận tải biển bậc 2/4</t>
  </si>
  <si>
    <t>I1304</t>
  </si>
  <si>
    <t>NB211.4304</t>
  </si>
  <si>
    <t>Phục vụ viên - tàu vận tải biển bậc 3/4</t>
  </si>
  <si>
    <t>I1404</t>
  </si>
  <si>
    <t>NB211.4404</t>
  </si>
  <si>
    <t>Phục vụ viên - tàu vận tải biển bậc 4/4</t>
  </si>
  <si>
    <t>J1104</t>
  </si>
  <si>
    <t>NB211.5104</t>
  </si>
  <si>
    <t>Cấp dưỡng - tàu vận tải biển bậc 1/4</t>
  </si>
  <si>
    <t>J1204</t>
  </si>
  <si>
    <t>NB211.5204</t>
  </si>
  <si>
    <t>Cấp dưỡng - tàu vận tải biển bậc 2/4</t>
  </si>
  <si>
    <t>J1304</t>
  </si>
  <si>
    <t>NB211.5304</t>
  </si>
  <si>
    <t>Cấp dưỡng - tàu vận tải biển bậc 3/4</t>
  </si>
  <si>
    <t>J1404</t>
  </si>
  <si>
    <t>NB211.5404</t>
  </si>
  <si>
    <t>Cấp dưỡng - tàu vận tải biển bậc 4/4</t>
  </si>
  <si>
    <t>K1104</t>
  </si>
  <si>
    <t>NB212.1104</t>
  </si>
  <si>
    <t>Thủy thủ Nhóm I, tàu vận tải dọc sông bậc 1/4</t>
  </si>
  <si>
    <t>K1204</t>
  </si>
  <si>
    <t>NB212.1204</t>
  </si>
  <si>
    <t>Thủy thủ Nhóm I, tàu vận tải dọc sông bậc 2/4</t>
  </si>
  <si>
    <t>K1304</t>
  </si>
  <si>
    <t>NB212.1304</t>
  </si>
  <si>
    <t>Thủy thủ Nhóm I, tàu vận tải dọc sông bậc 3/4</t>
  </si>
  <si>
    <t>K1404</t>
  </si>
  <si>
    <t>NB212.1404</t>
  </si>
  <si>
    <t>Thủy thủ Nhóm I, tàu vận tải dọc sông bậc 4/4</t>
  </si>
  <si>
    <t>K2104</t>
  </si>
  <si>
    <t>NB212.2104</t>
  </si>
  <si>
    <t>Thủy thủ Nhóm II, tàu vận tải sang ngang bậc 1/4</t>
  </si>
  <si>
    <t>K2204</t>
  </si>
  <si>
    <t>NB212.2204</t>
  </si>
  <si>
    <t>Thủy thủ Nhóm II, tàu vận tải sang ngang bậc 2/4</t>
  </si>
  <si>
    <t>K2304</t>
  </si>
  <si>
    <t>NB212.2304</t>
  </si>
  <si>
    <t>Thủy thủ Nhóm II, tàu vận tải sang ngang bậc 3/4</t>
  </si>
  <si>
    <t>K2404</t>
  </si>
  <si>
    <t>NB212.2404</t>
  </si>
  <si>
    <t>Thủy thủ Nhóm II, tàu vận tải sang ngang bậc 4/4</t>
  </si>
  <si>
    <t>L1104</t>
  </si>
  <si>
    <t>NB212.3104</t>
  </si>
  <si>
    <t>Thợ máy, thợ điện Nhóm I, tàu vận tải dọc sông bậc 1/4</t>
  </si>
  <si>
    <t>L1204</t>
  </si>
  <si>
    <t>NB212.3204</t>
  </si>
  <si>
    <t>Thợ máy, thợ điện Nhóm I, tàu vận tải dọc sông bậc 2/4</t>
  </si>
  <si>
    <t>L1304</t>
  </si>
  <si>
    <t>NB212.3304</t>
  </si>
  <si>
    <t>Thợ máy, thợ điện Nhóm I, tàu vận tải dọc sông bậc 3/4</t>
  </si>
  <si>
    <t>L1404</t>
  </si>
  <si>
    <t>NB212.3404</t>
  </si>
  <si>
    <t>Thợ máy, thợ điện Nhóm I, tàu vận tải dọc sông bậc 4/4</t>
  </si>
  <si>
    <t>L2104</t>
  </si>
  <si>
    <t>NB212.4104</t>
  </si>
  <si>
    <t>Thợ máy, thợ điện Nhóm II, tàu vận tải sang ngang bậc 1/4</t>
  </si>
  <si>
    <t>L2204</t>
  </si>
  <si>
    <t>NB212.4204</t>
  </si>
  <si>
    <t>Thợ máy, thợ điện Nhóm II, tàu vận tải sang ngang bậc 2/4</t>
  </si>
  <si>
    <t>L2304</t>
  </si>
  <si>
    <t>NB212.4304</t>
  </si>
  <si>
    <t>Thợ máy, thợ điện Nhóm II, tàu vận tải sang ngang bậc 3/4</t>
  </si>
  <si>
    <t>L2404</t>
  </si>
  <si>
    <t>NB212.4404</t>
  </si>
  <si>
    <t>Thợ máy, thợ điện Nhóm II, tàu vận tải sang ngang bậc 4/4</t>
  </si>
  <si>
    <t>M1104</t>
  </si>
  <si>
    <t>NB212.5104</t>
  </si>
  <si>
    <t>Phục vụ viên, tàu vận tải sông bậc 1/4</t>
  </si>
  <si>
    <t>M1204</t>
  </si>
  <si>
    <t>NB212.5204</t>
  </si>
  <si>
    <t>Phục vụ viên, tàu vận tải sông bậc 2/4</t>
  </si>
  <si>
    <t>M1274</t>
  </si>
  <si>
    <t>NB212.5274</t>
  </si>
  <si>
    <t>Phục vụ viên, tàu vận tải sông bậc 2,7/4</t>
  </si>
  <si>
    <t>N602.27.04</t>
  </si>
  <si>
    <t>Thợ máy, thợ điện bậc 2,7/4</t>
  </si>
  <si>
    <t>M1304</t>
  </si>
  <si>
    <t>NB212.5304</t>
  </si>
  <si>
    <t>Phục vụ viên, tàu vận tải sông bậc 3/4</t>
  </si>
  <si>
    <t>NB212.5404</t>
  </si>
  <si>
    <t>Phục vụ viên, tàu vận tải sông bậc 4/4</t>
  </si>
  <si>
    <t>N1102</t>
  </si>
  <si>
    <t>Thợ lặn, bậc 1/2</t>
  </si>
  <si>
    <t>NB7.1102</t>
  </si>
  <si>
    <t>Thợ lặn cấp 1 bậc 1/2</t>
  </si>
  <si>
    <t>N1204</t>
  </si>
  <si>
    <t>Thợ lặn, bậc 2/2</t>
  </si>
  <si>
    <t>NB7.1202</t>
  </si>
  <si>
    <t>Thợ lặn cấp 1 bậc 2/2</t>
  </si>
  <si>
    <t>O1102</t>
  </si>
  <si>
    <t>NB511.1102</t>
  </si>
  <si>
    <t>Thuyền trưởng (tàu hút, tàu cuốc từ 300m3/h  đến dưới 800m3/h) bậc 1/2</t>
  </si>
  <si>
    <t>O1202</t>
  </si>
  <si>
    <t>NB511.1202</t>
  </si>
  <si>
    <t>Thuyền trưởng (tàu hút, tàu cuốc từ 300m3/h  đến dưới 800m3/h) bậc 2/2</t>
  </si>
  <si>
    <t>O2102</t>
  </si>
  <si>
    <t>NB512.1102</t>
  </si>
  <si>
    <t>Thuyền trưởng (Tàu hút, tàu cuốc từ 800m3/h trở lên) bậc 1/2</t>
  </si>
  <si>
    <t>O2202</t>
  </si>
  <si>
    <t>NB512.1202</t>
  </si>
  <si>
    <t>Thuyền trưởng (Tàu hút, tàu cuốc từ 800m3/h trở lên) bậc 2/2</t>
  </si>
  <si>
    <t>O3102</t>
  </si>
  <si>
    <t>NB511.2102</t>
  </si>
  <si>
    <t>Máy trưởng, thuyền trưởng tàu cuốc, tàu hút phun, tàu NV bằng gầu ngoạm từ 300m3/h  đến dưới 800m3/h bậc 1/2</t>
  </si>
  <si>
    <t>O3202</t>
  </si>
  <si>
    <t>NB511.2202</t>
  </si>
  <si>
    <t>Máy trưởng, thuyền trưởng tàu cuốc, tàu hút phun, tàu NV bằng gầu ngoạm từ 300m3/h  đến dưới 800m3/h bậc 2/2</t>
  </si>
  <si>
    <t>O4102</t>
  </si>
  <si>
    <t>NB512.2102</t>
  </si>
  <si>
    <t>Máy trưởng, thuyền trưởng tàu cuốc, tàu hút phun, tàu NV bằng gầu ngoạm (Tàu hút, tàu cuốc từ 800m3/h trở lên) bậc 1/2</t>
  </si>
  <si>
    <t>O4202</t>
  </si>
  <si>
    <t>NB512.2202</t>
  </si>
  <si>
    <t>Máy trưởng, thuyền trưởng tàu cuốc, tàu hút phun, tàu NV bằng gầu ngoạm (Tàu hút, tàu cuốc từ 800m3/h trở lên) bậc 2/2</t>
  </si>
  <si>
    <t>O5102</t>
  </si>
  <si>
    <t>NB511.3102</t>
  </si>
  <si>
    <t>Điện trưởng, đại phó tàu cuốc; kỹ thuật viên cuốc 1, tàu hút bụng; thuyền phó 2, máy 3 tàu hút bụng; máy 3, kỹ thuật viên cuốc 2 tàu cuốc, tàu hút phun, tàu NV bằng gầu ngoạm (Tàu hút, tàu cuốc từ 300m3/h  đến dưới 800m3/h) bậc 1/2</t>
  </si>
  <si>
    <t>O5202</t>
  </si>
  <si>
    <t>NB511.3202</t>
  </si>
  <si>
    <t>Điện trưởng, đại phó tàu cuốc; kỹ thuật viên cuốc 1, tàu hút bụng; thuyền phó 2, máy 3 tàu hút bụng; máy 3, kỹ thuật viên cuốc 2 tàu cuốc, tàu hút phun, tàu NV bằng gầu ngoạm (Tàu hút, tàu cuốc từ 300m3/h  đến dưới 800m3/h) bậc 2/2</t>
  </si>
  <si>
    <t>O6102</t>
  </si>
  <si>
    <t>NB512.3102</t>
  </si>
  <si>
    <t>Điện trưởng, đại phó tàu cuốc; kỹ thuật viên cuốc 1, tàu hút bụng; thuyền phó 2, máy 3 tàu hút bụng; máy 3, kỹ thuật viên cuốc 2 tàu cuốc, tàu hút phun, tàu NV bằng gầu ngoạm (Tàu hút, tàu cuốc từ 800m3/h trở lên) bậc 1/2</t>
  </si>
  <si>
    <t>O6202</t>
  </si>
  <si>
    <t>NB512.3202</t>
  </si>
  <si>
    <t>Điện trưởng, đại phó tàu cuốc; kỹ thuật viên cuốc 1, tàu hút bụng; thuyền phó 2, máy 3 tàu hút bụng; máy 3, kỹ thuật viên cuốc 2 tàu cuốc, tàu hút phun, tàu NV bằng gầu ngoạm (Tàu hút, tàu cuốc từ 800m3/h trở lên) bậc 2/2</t>
  </si>
  <si>
    <t>O7102</t>
  </si>
  <si>
    <t>NB511.5102</t>
  </si>
  <si>
    <t>Thuyền phó 2 tàu cuốc, kỹ thuật viên cuốc 2 tàu hút; thuyền phó 3, máy 4 tàu hút bụng; máy 3, kỹ thuật viên cuốc 3 tàu cuốc, tàu hút phun, tàu NV bằng gầu ngoạm (Tàu hút, tàu cuốc từ 300m3/h  đến dưới 800m3/h) bậc 1/2</t>
  </si>
  <si>
    <t>O7202</t>
  </si>
  <si>
    <t>NB511.5202</t>
  </si>
  <si>
    <t>Thuyền phó 2 tàu cuốc, kỹ thuật viên cuốc 2 tàu hút; thuyền phó 3, máy 4 tàu hút bụng; máy 3, kỹ thuật viên cuốc 3 tàu cuốc, tàu hút phun, tàu NV bằng gầu ngoạm (Tàu hút, tàu cuốc từ 300m3/h  đến dưới 800m3/h) bậc 2/2</t>
  </si>
  <si>
    <t>O8102</t>
  </si>
  <si>
    <t>NB512.5102</t>
  </si>
  <si>
    <t>Thuyền phó 2 tàu cuốc, kỹ thuật viên cuốc 2 tàu hút; thuyền phó 3, máy 4 tàu hút bụng; máy 3, kỹ thuật viên cuốc 3 tàu cuốc, tàu hút phun, tàu NV bằng gầu ngoạm (Tàu hút, tàu cuốc từ 800m3/h trở lên) bậc 1/2</t>
  </si>
  <si>
    <t>N81010.02</t>
  </si>
  <si>
    <t>Thuyền phó  tàu cuốc, kỹ thuật viên cuốc 2 tàu hút (Từ 800m3/h trở lên) bậc 1/2</t>
  </si>
  <si>
    <t>O8202</t>
  </si>
  <si>
    <t>NB512.5202</t>
  </si>
  <si>
    <t>Thuyền phó 2 tàu cuốc, kỹ thuật viên cuốc 2 tàu hút; thuyền phó 3, máy 4 tàu hút bụng; máy 3, kỹ thuật viên cuốc 3 tàu cuốc, tàu hút phun, tàu NV bằng gầu ngoạm (Tàu hút, tàu cuốc từ 800m3/h trở lên) bậc 2/2</t>
  </si>
  <si>
    <t>N810.20.02</t>
  </si>
  <si>
    <t>Thuyền phó  tàu cuốc, kỹ thuật viên cuốc 2 tàu hút (Từ 800m3/h trở lên) bậc 2/2</t>
  </si>
  <si>
    <t>O9102</t>
  </si>
  <si>
    <t>NB511.6102</t>
  </si>
  <si>
    <t>Thuyền phó 3 tàu cuốc, tàu hút phun, tàu NV bằng gầu ngoạm, kỹ thuật viên cuốc 3 tàu hút bụng (Tàu hút, tàu cuốc từ 300m3/h  đến dưới 800m3/h) bậc 1/2</t>
  </si>
  <si>
    <t>O9202</t>
  </si>
  <si>
    <t>NB511.6202</t>
  </si>
  <si>
    <t>Thuyền phó 3 tàu cuốc, tàu hút phun, tàu NV bằng gầu ngoạm, kỹ thuật viên cuốc 3 tàu hút bụng (Tàu hút, tàu cuốc từ 300m3/h  đến dưới 800m3/h) bậc 2/2</t>
  </si>
  <si>
    <t>O9102a</t>
  </si>
  <si>
    <t>Thuyền phó 3 tàu hút từ 800m3/h, bậc 1/2</t>
  </si>
  <si>
    <t>NB512.6102</t>
  </si>
  <si>
    <t>Thuyền phó 3 tàu cuốc, tàu hút phun, tàu NV bằng gầu ngoạm, kỹ thuật viên cuốc 3 tàu hút bụng (Tàu hút, tàu cuốc từ 800m3/h trở lên) bậc 1/2</t>
  </si>
  <si>
    <t>O9202a</t>
  </si>
  <si>
    <t>Thuyền phó 3 tàu hút từ 800m3/h, bậc 2/2</t>
  </si>
  <si>
    <t>NB512.6202</t>
  </si>
  <si>
    <t>Thuyền phó 3 tàu cuốc, tàu hút phun, tàu NV bằng gầu ngoạm, kỹ thuật viên cuốc 3 tàu hút bụng (Tàu hút, tàu cuốc từ 800m3/h trở lên) bậc 2/2</t>
  </si>
  <si>
    <t>P1102</t>
  </si>
  <si>
    <t>NB521.1102</t>
  </si>
  <si>
    <t>Thuyển trưởng (Tàu nạo vét sông, tàu hút dưới 150m3/h) bậc 1/2</t>
  </si>
  <si>
    <t>P1202</t>
  </si>
  <si>
    <t>NB521.1202</t>
  </si>
  <si>
    <t>Thuyển trưởng (Tàu nạo vét sông, tàu hút dưới 150m3/h) bậc 2/2</t>
  </si>
  <si>
    <t>P2102</t>
  </si>
  <si>
    <t>NB522.1102</t>
  </si>
  <si>
    <t>Thuyển trưởng (Tàu hút từ 150m3/h đến 300m3/h) bậc 1/2</t>
  </si>
  <si>
    <t>P2202</t>
  </si>
  <si>
    <t>NB522.1202</t>
  </si>
  <si>
    <t>Thuyển trưởng (Tàu hút từ 150m3/h đến 300m3/h) bậc 2/2</t>
  </si>
  <si>
    <t>P3102</t>
  </si>
  <si>
    <t>NB523.1102</t>
  </si>
  <si>
    <t>Thuyển trưởng (Tàu hút trên 300m3/h, tàu cuốc dưới 300m3/h) bậc 1/2</t>
  </si>
  <si>
    <t>P3202</t>
  </si>
  <si>
    <t>NB523.1202</t>
  </si>
  <si>
    <t>Thuyển trưởng (Tàu hút trên 300m3/h, tàu cuốc dưới 300m3/h) bậc 2/2</t>
  </si>
  <si>
    <t>P4102</t>
  </si>
  <si>
    <t>NB521.2102</t>
  </si>
  <si>
    <t>Máy trưởng (Tàu nạo vét sông, tàu hút dưới 150m3/h) bậc 1/2</t>
  </si>
  <si>
    <t>P4202</t>
  </si>
  <si>
    <t>NB521.2202</t>
  </si>
  <si>
    <t>Máy trưởng (Tàu nạo vét sông, tàu hút dưới 150m3/h) bậc 2/2</t>
  </si>
  <si>
    <t>P5102</t>
  </si>
  <si>
    <t>NB522.2102</t>
  </si>
  <si>
    <t>Máy trưởng (Tàu hút từ 150m3/h đến 300m3/h) bậc 1/2</t>
  </si>
  <si>
    <t>P5202</t>
  </si>
  <si>
    <t>NB522.2202</t>
  </si>
  <si>
    <t>Máy trưởng (Tàu hút từ 150m3/h đến 300m3/h) bậc 2/2</t>
  </si>
  <si>
    <t>P6102</t>
  </si>
  <si>
    <t>NB523.2102</t>
  </si>
  <si>
    <t>Máy trưởng (Tàu hút trên 300m3/h, tàu cuốc dưới 300m3/h) bậc 1/2</t>
  </si>
  <si>
    <t>P6202</t>
  </si>
  <si>
    <t>NB523.2202</t>
  </si>
  <si>
    <t>Máy trưởng (Tàu hút trên 300m3/h, tàu cuốc dưới 300m3/h) bậc 2/2</t>
  </si>
  <si>
    <t>P7102</t>
  </si>
  <si>
    <t>NB523.3102</t>
  </si>
  <si>
    <t>Điện trưởng (Tàu hút trên 300m3/h, tàu cuốc dưới 300m3/h) bậc 1/2</t>
  </si>
  <si>
    <t>P7202</t>
  </si>
  <si>
    <t>NB523.3202</t>
  </si>
  <si>
    <t>Điện trưởng (Tàu hút trên 300m3/h, tàu cuốc dưới 300m3/h) bậc 2/2</t>
  </si>
  <si>
    <t>NB513.4304</t>
  </si>
  <si>
    <t>Phục vụ viên (Tàu nạo vét biển - Chức danh không theo nhóm tàu) bậc 3/4</t>
  </si>
  <si>
    <t>NB524.3304</t>
  </si>
  <si>
    <t>Phục vụ viên (Tàu nạo vét sông - Chức danh không theo nhóm tàu) bậc 3/4</t>
  </si>
  <si>
    <t>NB513.4274</t>
  </si>
  <si>
    <t>Phục vụ viên (Tàu nạo vét biển - Chức danh không theo nhóm tàu) bậc 2,7/4</t>
  </si>
  <si>
    <t>NB524.3274</t>
  </si>
  <si>
    <t>Phục vụ viên (Tàu nạo vét sông - Chức danh không theo nhóm tàu) bậc 2,7/4</t>
  </si>
  <si>
    <t>BẢNG QUY ĐỊNH HỆ SỐ LƯƠNG CÔNG NHÂN</t>
  </si>
  <si>
    <t>1. Theo nghị định 205</t>
  </si>
  <si>
    <t>công</t>
  </si>
  <si>
    <t>NB511.4102</t>
  </si>
  <si>
    <t>Đại phó, máy 2 tàu hút bụng; máy 2, kỹ thuật viên cuốc 1 tàu cuốc, tàu hút phun, tàu NV bằng gầu ngoạm (Tàu hút, tàu cuốc từ 300m3/h  đến dưới 800m3/h) bậc 1/2</t>
  </si>
  <si>
    <t>NB511.4202</t>
  </si>
  <si>
    <t>Đại phó, máy 2 tàu hút bụng; máy 2, kỹ thuật viên cuốc 1 tàu cuốc, tàu hút phun, tàu NV bằng gầu ngoạm (Tàu hút, tàu cuốc từ 300m3/h  đến dưới 800m3/h) bậc 2/2</t>
  </si>
  <si>
    <t>NB511.7102</t>
  </si>
  <si>
    <t>Quản trị trưởng, thuỷ thủ trưởng (Tàu hút, tàu cuốc từ 300m3/h  đến dưới 800m3/h) bậc 1/2</t>
  </si>
  <si>
    <t>NB511.7202</t>
  </si>
  <si>
    <t>Quản trị trưởng, thuỷ thủ trưởng (Tàu hút, tàu cuốc từ 300m3/h  đến dưới 800m3/h) bậc 2/2</t>
  </si>
  <si>
    <t>NB512.4102</t>
  </si>
  <si>
    <t>Đại phó, máy 2 tàu hút bụng; máy 2, kỹ thuật viên cuốc 1 tàu cuốc, tàu hút phun, tàu NV bằng gầu ngoạm (Tàu hút, tàu cuốc từ 800m3/h trở lên) bậc 1/2</t>
  </si>
  <si>
    <t>NB512.4202</t>
  </si>
  <si>
    <t>Đại phó, máy 2 tàu hút bụng; máy 2, kỹ thuật viên cuốc 1 tàu cuốc, tàu hút phun, tàu NV bằng gầu ngoạm (Tàu hút, tàu cuốc từ 800m3/h trở lên) bậc 2/2</t>
  </si>
  <si>
    <t>NB512.7102</t>
  </si>
  <si>
    <t>Quản trị trưởng, thuỷ thủ trưởng (Tàu hút, tàu cuốc từ 800m3/h trở lên) bậc 1/2</t>
  </si>
  <si>
    <t>NB512.7202</t>
  </si>
  <si>
    <t>Quản trị trưởng, thuỷ thủ trưởng (Tàu hút, tàu cuốc từ 800m3/h trở lên) bậc 2/2</t>
  </si>
  <si>
    <t>NB513.1104</t>
  </si>
  <si>
    <t>Thợ máy kiêm cơ khí (Tàu nạo vét biển - Chức danh không theo nhóm tàu) bậc 1/4</t>
  </si>
  <si>
    <t>NB513.1204</t>
  </si>
  <si>
    <t>Thợ máy kiêm cơ khí (Tàu nạo vét biển - Chức danh không theo nhóm tàu) bậc 2/4</t>
  </si>
  <si>
    <t>NB513.1304</t>
  </si>
  <si>
    <t>Thợ máy kiêm cơ khí (Tàu nạo vét biển - Chức danh không theo nhóm tàu) bậc 3/4</t>
  </si>
  <si>
    <t>NB513.1404</t>
  </si>
  <si>
    <t>Thợ máy kiêm cơ khí (Tàu nạo vét biển - Chức danh không theo nhóm tàu) bậc 4/4</t>
  </si>
  <si>
    <t>NB513.2104</t>
  </si>
  <si>
    <t>Thợ máy, điện, điện báo (Tàu nạo vét biển - Chức danh không theo nhóm tàu) bậc 1/4</t>
  </si>
  <si>
    <t>NB513.2204</t>
  </si>
  <si>
    <t>Thợ máy, điện, điện báo (Tàu nạo vét biển - Chức danh không theo nhóm tàu) bậc 2/4</t>
  </si>
  <si>
    <t>NB513.2304</t>
  </si>
  <si>
    <t>Thợ máy, điện, điện báo (Tàu nạo vét biển - Chức danh không theo nhóm tàu) bậc 3/4</t>
  </si>
  <si>
    <t>NB513.2404</t>
  </si>
  <si>
    <t>Thợ máy, điện, điện báo (Tàu nạo vét biển - Chức danh không theo nhóm tàu) bậc 4/4</t>
  </si>
  <si>
    <t>NB513.3104</t>
  </si>
  <si>
    <t>Thuỷ thủ, thợ cuốc (Tàu nạo vét biển - Chức danh không theo nhóm tàu) bậc 1/4</t>
  </si>
  <si>
    <t>NB513.3204</t>
  </si>
  <si>
    <t>Thuỷ thủ, thợ cuốc (Tàu nạo vét biển - Chức danh không theo nhóm tàu) bậc 2/4</t>
  </si>
  <si>
    <t>NB513.3304</t>
  </si>
  <si>
    <t>Thuỷ thủ, thợ cuốc (Tàu nạo vét biển - Chức danh không theo nhóm tàu) bậc 3/4</t>
  </si>
  <si>
    <t>NB513.3404</t>
  </si>
  <si>
    <t>Thuỷ thủ, thợ cuốc (Tàu nạo vét biển - Chức danh không theo nhóm tàu) bậc 4/4</t>
  </si>
  <si>
    <t>NB513.4104</t>
  </si>
  <si>
    <t>Phục vụ viên (Tàu nạo vét biển - Chức danh không theo nhóm tàu) bậc 1/4</t>
  </si>
  <si>
    <t>NB513.4204</t>
  </si>
  <si>
    <t>Phục vụ viên (Tàu nạo vét biển - Chức danh không theo nhóm tàu) bậc 2/4</t>
  </si>
  <si>
    <t>NB513.4404</t>
  </si>
  <si>
    <t>Phục vụ viên (Tàu nạo vét biển - Chức danh không theo nhóm tàu) bậc 4/4</t>
  </si>
  <si>
    <t>NB513.5104</t>
  </si>
  <si>
    <t>Cấp dưỡng (Tàu nạo vét biển - Chức danh không theo nhóm tàu) bậc 1/4</t>
  </si>
  <si>
    <t>NB513.5204</t>
  </si>
  <si>
    <t>Cấp dưỡng (Tàu nạo vét biển - Chức danh không theo nhóm tàu) bậc 2/4</t>
  </si>
  <si>
    <t>NB513.5304</t>
  </si>
  <si>
    <t>Cấp dưỡng (Tàu nạo vét biển - Chức danh không theo nhóm tàu) bậc 3/4</t>
  </si>
  <si>
    <t>NB513.5404</t>
  </si>
  <si>
    <t>Cấp dưỡng (Tàu nạo vét biển - Chức danh không theo nhóm tàu) bậc 4/4</t>
  </si>
  <si>
    <t>NB521.3102</t>
  </si>
  <si>
    <t>Máy 2, kỹ thuật viên cuốc 1 (Tàu nạo vét sông, tàu hút dưới 150m3/h) bậc 1/2</t>
  </si>
  <si>
    <t>NB521.3202</t>
  </si>
  <si>
    <t>Máy 2, kỹ thuật viên cuốc 1 (Tàu nạo vét sông, tàu hút dưới 150m3/h) bậc 2/2</t>
  </si>
  <si>
    <t>NB521.4102</t>
  </si>
  <si>
    <t>Máy 3, kỹ thuật viên cuốc 2 (Tàu nạo vét sông, tàu hút dưới 150m3/h) bậc 1/2</t>
  </si>
  <si>
    <t>NB521.4202</t>
  </si>
  <si>
    <t>Máy 3, kỹ thuật viên cuốc 2 (Tàu nạo vét sông, tàu hút dưới 150m3/h) bậc 2/2</t>
  </si>
  <si>
    <t>NB522.3102</t>
  </si>
  <si>
    <t>Máy 2, kỹ thuật viên cuốc 1 (Tàu hút từ 150m3/h đến 300m3/h) bậc 1/2</t>
  </si>
  <si>
    <t>NB522.3202</t>
  </si>
  <si>
    <t>Máy 2, kỹ thuật viên cuốc 1 (Tàu hút từ 150m3/h đến 300m3/h) bậc 2/2</t>
  </si>
  <si>
    <t>Máy 3, kỹ thuật viên cuốc 2 (Tàu hút từ 150m3/h đến 300m3/h) bậc 1/2</t>
  </si>
  <si>
    <t>Máy 3, kỹ thuật viên cuốc 2 (Tàu hút từ 150m3/h đến 300m3/h) bậc 2/2</t>
  </si>
  <si>
    <t>NB523.4102</t>
  </si>
  <si>
    <t>Máy 2, kỹ thuật viên cuốc 1 (Tàu hút trên 300m3/h, tàu cuốc dưới 300m3/h) bậc 1/2</t>
  </si>
  <si>
    <t>NB523.4202</t>
  </si>
  <si>
    <t>Máy 2, kỹ thuật viên cuốc 1 (Tàu hút trên 300m3/h, tàu cuốc dưới 300m3/h) bậc 2/2</t>
  </si>
  <si>
    <t>NB523.5102</t>
  </si>
  <si>
    <t>Máy 3, kỹ thuật viên cuốc 2 (Tàu hút trên 300m3/h, tàu cuốc dưới 300m3/h) bậc 1/2</t>
  </si>
  <si>
    <t>NB523.5202</t>
  </si>
  <si>
    <t>Máy 3, kỹ thuật viên cuốc 2 (Tàu hút trên 300m3/h, tàu cuốc dưới 300m3/h) bậc 2/2</t>
  </si>
  <si>
    <t>NB523.6102</t>
  </si>
  <si>
    <t>Máy 4, kỹ thuật viên cuốc 3 (Tàu hút trên 300m3/h, tàu cuốc dưới 300m3/h) bậc 1/2</t>
  </si>
  <si>
    <t>NB523.6202</t>
  </si>
  <si>
    <t>Máy 4, kỹ thuật viên cuốc 3 (Tàu hút trên 300m3/h, tàu cuốc dưới 300m3/h) bậc 2/2</t>
  </si>
  <si>
    <t>NB523.7102</t>
  </si>
  <si>
    <t>Quản trị trưởng, thuỷ thủ trưởng (Tàu hút trên 300m3/h, tàu cuốc dưới 300m3/h) bậc 1/2</t>
  </si>
  <si>
    <t>NB523.7202</t>
  </si>
  <si>
    <t>Quản trị trưởng, thuỷ thủ trưởng (Tàu hút trên 300m3/h, tàu cuốc dưới 300m3/h) bậc 2/2</t>
  </si>
  <si>
    <t>NB524.1104</t>
  </si>
  <si>
    <t>Thợ máy, điện, điện báo (Tàu nạo vét sông - Chức danh không theo nhóm tàu) bậc 1/4</t>
  </si>
  <si>
    <t>NB524.1204</t>
  </si>
  <si>
    <t>Thợ máy, điện, điện báo (Tàu nạo vét sông - Chức danh không theo nhóm tàu) bậc 2/4</t>
  </si>
  <si>
    <t>NB524.1304</t>
  </si>
  <si>
    <t>Thợ máy, điện, điện báo (Tàu nạo vét sông - Chức danh không theo nhóm tàu) bậc 3/4</t>
  </si>
  <si>
    <t>NB524.1404</t>
  </si>
  <si>
    <t>Thợ máy, điện, điện báo (Tàu nạo vét sông - Chức danh không theo nhóm tàu) bậc 4/4</t>
  </si>
  <si>
    <t>NB524.2104</t>
  </si>
  <si>
    <t>Thuỷ thủ (Tàu nạo vét sông - Chức danh không theo nhóm tàu) bậc 1/4</t>
  </si>
  <si>
    <t>NB524.2204</t>
  </si>
  <si>
    <t>Thuỷ thủ (Tàu nạo vét sông - Chức danh không theo nhóm tàu) bậc 2/4</t>
  </si>
  <si>
    <t>NB524.2304</t>
  </si>
  <si>
    <t>Thuỷ thủ (Tàu nạo vét sông - Chức danh không theo nhóm tàu) bậc 3/4</t>
  </si>
  <si>
    <t>NB524.2404</t>
  </si>
  <si>
    <t>Thuỷ thủ (Tàu nạo vét sông - Chức danh không theo nhóm tàu) bậc 4/4</t>
  </si>
  <si>
    <t>NB524.3104</t>
  </si>
  <si>
    <t>Phục vụ viên (Tàu nạo vét sông - Chức danh không theo nhóm tàu) bậc 1/4</t>
  </si>
  <si>
    <t>NB524.3204</t>
  </si>
  <si>
    <t>Phục vụ viên (Tàu nạo vét sông - Chức danh không theo nhóm tàu) bậc 2/4</t>
  </si>
  <si>
    <t>NB524.3404</t>
  </si>
  <si>
    <t>Phục vụ viên (Tàu nạo vét sông - Chức danh không theo nhóm tàu) bậc 4/4</t>
  </si>
  <si>
    <t>NB524.4104</t>
  </si>
  <si>
    <t>Cấp dưỡng (Tàu nạo vét sông - Chức danh không theo nhóm tàu) bậc 1/4</t>
  </si>
  <si>
    <t>NB524.4204</t>
  </si>
  <si>
    <t>Cấp dưỡng (Tàu nạo vét sông - Chức danh không theo nhóm tàu) bậc 2/4</t>
  </si>
  <si>
    <t>NB524.4304</t>
  </si>
  <si>
    <t>Cấp dưỡng (Tàu nạo vét sông - Chức danh không theo nhóm tàu) bậc 3/4</t>
  </si>
  <si>
    <t>NB524.4404</t>
  </si>
  <si>
    <t>Cấp dưỡng (Tàu nạo vét sông - Chức danh không theo nhóm tàu) bậc 4/4</t>
  </si>
  <si>
    <t>NB531.1102</t>
  </si>
  <si>
    <t>Thuyển trưởng (Tàu trục vớt và cứu hộ, tàu thả phao dưới 3000CV) bậc 1/2</t>
  </si>
  <si>
    <t>NB531.1202</t>
  </si>
  <si>
    <t>Thuyển trưởng (Tàu trục vớt và cứu hộ, tàu thả phao dưới 3000CV) bậc 2/2</t>
  </si>
  <si>
    <t>NB531.2102</t>
  </si>
  <si>
    <t>Máy trưởng (Tàu trục vớt và cứu hộ, tàu thả phao dưới 3000CV) bậc 1/2</t>
  </si>
  <si>
    <t>NB531.2202</t>
  </si>
  <si>
    <t>Máy trưởng (Tàu trục vớt và cứu hộ, tàu thả phao dưới 3000CV) bậc 2/2</t>
  </si>
  <si>
    <t>NB531.3102</t>
  </si>
  <si>
    <t>Đại phó, máy 2 (Tàu trục vớt và cứu hộ, tàu thả phao dưới 3000CV) bậc 1/2</t>
  </si>
  <si>
    <t>NB531.3202</t>
  </si>
  <si>
    <t>Đại phó, máy 2 (Tàu trục vớt và cứu hộ, tàu thả phao dưới 3000CV) bậc 2/2</t>
  </si>
  <si>
    <t>NB531.4102</t>
  </si>
  <si>
    <t>Thuyền phó 2, máy 3 (Tàu trục vớt và cứu hộ, tàu thả phao dưới 3000CV) bậc 1/2</t>
  </si>
  <si>
    <t>NB531.4202</t>
  </si>
  <si>
    <t>Thuyền phó 2, máy 3 (Tàu trục vớt và cứu hộ, tàu thả phao dưới 3000CV) bậc 2/2</t>
  </si>
  <si>
    <t>NB531.5102</t>
  </si>
  <si>
    <t>Thuyền phó 3, máy 4 (Tàu trục vớt và cứu hộ, tàu thả phao dưới 3000CV) bậc 1/2</t>
  </si>
  <si>
    <t>NB531.5202</t>
  </si>
  <si>
    <t>Thuyền phó 3, máy 4 (Tàu trục vớt và cứu hộ, tàu thả phao dưới 3000CV) bậc 2/2</t>
  </si>
  <si>
    <t>NB531.6102</t>
  </si>
  <si>
    <t>Sĩ quan điện (Tàu trục vớt và cứu hộ, tàu thả phao dưới 3000CV) bậc 1/2</t>
  </si>
  <si>
    <t>NB531.6202</t>
  </si>
  <si>
    <t>Sĩ quan điện (Tàu trục vớt và cứu hộ, tàu thả phao dưới 3000CV) bậc 2/2</t>
  </si>
  <si>
    <t>NB531.7102</t>
  </si>
  <si>
    <t>Sĩ quan kinh tế, vô tuyến điện và thủ trưởng (Tàu trục vớt và cứu hộ, tàu thả phao dưới 3000CV) bậc 1/2</t>
  </si>
  <si>
    <t>NB531.7202</t>
  </si>
  <si>
    <t>Sĩ quan kinh tế, vô tuyến điện và thủ trưởng (Tàu trục vớt và cứu hộ, tàu thả phao dưới 3000CV) bậc 2/2</t>
  </si>
  <si>
    <t>NB532.1102</t>
  </si>
  <si>
    <t>Thuyển trưởng (Tàu trục vớt và cứu hộ, tàu thả phao từ 3000 CV đến 40000 CV) bậc 1/2</t>
  </si>
  <si>
    <t>NB532.1202</t>
  </si>
  <si>
    <t>Thuyển trưởng (Tàu trục vớt và cứu hộ, tàu thả phao từ 3000 CV đến 40000 CV) bậc 2/2</t>
  </si>
  <si>
    <t>NB532.2102</t>
  </si>
  <si>
    <t>Máy trưởng (Tàu trục vớt và cứu hộ, tàu thả phao từ 3000 CV đến 40000 CV) bậc 1/2</t>
  </si>
  <si>
    <t>NB532.2202</t>
  </si>
  <si>
    <t>Máy trưởng (Tàu trục vớt và cứu hộ, tàu thả phao từ 3000 CV đến 40000 CV) bậc 2/2</t>
  </si>
  <si>
    <t>NB532.3102</t>
  </si>
  <si>
    <t>Đại phó, máy 2 (Tàu trục vớt và cứu hộ, tàu thả phao từ 3000 CV đến 40000 CV) bậc 1/2</t>
  </si>
  <si>
    <t>NB532.3202</t>
  </si>
  <si>
    <t>Đại phó, máy 2 (Tàu trục vớt và cứu hộ, tàu thả phao từ 3000 CV đến 40000 CV) bậc 2/2</t>
  </si>
  <si>
    <t>NB532.4102</t>
  </si>
  <si>
    <t>Thuyền phó 2, máy 3 (Tàu trục vớt và cứu hộ, tàu thả phao từ 3000 CV đến 40000 CV) bậc 1/2</t>
  </si>
  <si>
    <t>NB532.4202</t>
  </si>
  <si>
    <t>Thuyền phó 2, máy 3 (Tàu trục vớt và cứu hộ, tàu thả phao từ 3000 CV đến 40000 CV) bậc 2/2</t>
  </si>
  <si>
    <t>NB532.5102</t>
  </si>
  <si>
    <t>Thuyền phó 3, máy 4 (Tàu trục vớt và cứu hộ, tàu thả phao từ 3000 CV đến 40000 CV) bậc 1/2</t>
  </si>
  <si>
    <t>NB532.5202</t>
  </si>
  <si>
    <t>Thuyền phó 3, máy 4 (Tàu trục vớt và cứu hộ, tàu thả phao từ 3000 CV đến 40000 CV) bậc 2/2</t>
  </si>
  <si>
    <t>NB532.6102</t>
  </si>
  <si>
    <t>Sĩ quan điện (Tàu trục vớt và cứu hộ, tàu thả phao từ 3000 CV đến 40000 CV) bậc 1/2</t>
  </si>
  <si>
    <t>NB532.6202</t>
  </si>
  <si>
    <t>Sĩ quan điện (Tàu trục vớt và cứu hộ, tàu thả phao từ 3000 CV đến 40000 CV) bậc 2/2</t>
  </si>
  <si>
    <t>NB532.7102</t>
  </si>
  <si>
    <t>Sĩ quan kinh tế, vô tuyến điện và thủ trưởng (Tàu trục vớt và cứu hộ, tàu thả phao từ 3000 CV đến 40000 CV) bậc 1/2</t>
  </si>
  <si>
    <t>NB532.7202</t>
  </si>
  <si>
    <t>Sĩ quan kinh tế, vô tuyến điện và thủ trưởng (Tàu trục vớt và cứu hộ, tàu thả phao từ 3000 CV đến 40000 CV) bậc 2/2</t>
  </si>
  <si>
    <t>NB533.1102</t>
  </si>
  <si>
    <t>Thuyền trưởng (Tàu trục vớt và cứu hộ, tàu thả phao trên 4000CV) bậc 1/2</t>
  </si>
  <si>
    <t>NB533.1202</t>
  </si>
  <si>
    <t>Thuyền trưởng (Tàu trục vớt và cứu hộ, tàu thả phao trên 4000CV) bậc 2/2</t>
  </si>
  <si>
    <t>NB533.2102</t>
  </si>
  <si>
    <t>Máy trưởng (Tàu trục vớt và cứu hộ, tàu thả phao trên 4000CV) bậc 1/2</t>
  </si>
  <si>
    <t>NB533.2202</t>
  </si>
  <si>
    <t>Máy trưởng (Tàu trục vớt và cứu hộ, tàu thả phao trên 4000CV) bậc 2/2</t>
  </si>
  <si>
    <t>NB533.3102</t>
  </si>
  <si>
    <t>Đại phó, máy 2 (Tàu trục vớt và cứu hộ, tàu thả phao trên 4000CV) bậc 1/2</t>
  </si>
  <si>
    <t>NB533.3202</t>
  </si>
  <si>
    <t>Đại phó, máy 2 (Tàu trục vớt và cứu hộ, tàu thả phao trên 4000CV) bậc 2/2</t>
  </si>
  <si>
    <t>NB533.4102</t>
  </si>
  <si>
    <t>Thuyền phó 2, máy 3 (Tàu trục vớt và cứu hộ, tàu thả phao trên 4000CV) bậc 1/2</t>
  </si>
  <si>
    <t>NB533.4202</t>
  </si>
  <si>
    <t>Thuyền phó 2, máy 3 (Tàu trục vớt và cứu hộ, tàu thả phao trên 4000CV) bậc 2/2</t>
  </si>
  <si>
    <t>NB533.5102</t>
  </si>
  <si>
    <t>Thuyền phó 3, máy 4 (Tàu trục vớt và cứu hộ, tàu thả phao trên 4000CV) bậc 1/2</t>
  </si>
  <si>
    <t>NB533.5202</t>
  </si>
  <si>
    <t>Thuyền phó 3, máy 4 (Tàu trục vớt và cứu hộ, tàu thả phao trên 4000CV) bậc 2/2</t>
  </si>
  <si>
    <t>NB533.6102</t>
  </si>
  <si>
    <t>Sĩ quan điện (Tàu trục vớt và cứu hộ, tàu thả phao trên 4000CV) bậc 1/2</t>
  </si>
  <si>
    <t>NB533.6202</t>
  </si>
  <si>
    <t>Sĩ quan điện (Tàu trục vớt và cứu hộ, tàu thả phao trên 4000CV) bậc 2/2</t>
  </si>
  <si>
    <t>NB533.7102</t>
  </si>
  <si>
    <t>Sĩ quan kinh tế, vô tuyến điện và thủ trưởng (Tàu trục vớt và cứu hộ, tàu thả phao trên 4000CV) bậc 1/2</t>
  </si>
  <si>
    <t>NB533.7202</t>
  </si>
  <si>
    <t>Sĩ quan kinh tế, vô tuyến điện và thủ trưởng (Tàu trục vớt và cứu hộ, tàu thả phao trên 4000CV) bậc 2/2</t>
  </si>
  <si>
    <t>NB7.1104</t>
  </si>
  <si>
    <t>NB7.1204</t>
  </si>
  <si>
    <t>NB7.1304</t>
  </si>
  <si>
    <t xml:space="preserve">Thợ lặn, bậc 3/4 </t>
  </si>
  <si>
    <t>NB7.1404</t>
  </si>
  <si>
    <t>NC.1108</t>
  </si>
  <si>
    <t>Kỹ sư bậc 1,0/8</t>
  </si>
  <si>
    <t>NC.1208</t>
  </si>
  <si>
    <t>Kỹ sư bậc 2,0/8</t>
  </si>
  <si>
    <t>NC.1258</t>
  </si>
  <si>
    <t>Kỹ sư bậc 2,5/8</t>
  </si>
  <si>
    <t>NC.1278</t>
  </si>
  <si>
    <t>Kỹ sư bậc 2,7/8</t>
  </si>
  <si>
    <t>NC.1308</t>
  </si>
  <si>
    <t>Kỹ sư bậc 3,0/8</t>
  </si>
  <si>
    <t>NC.1328</t>
  </si>
  <si>
    <t>Kỹ sư bậc 3,2/8</t>
  </si>
  <si>
    <t>NC.1338</t>
  </si>
  <si>
    <t>Kỹ sư bậc 3,3/8</t>
  </si>
  <si>
    <t>NC.1358</t>
  </si>
  <si>
    <t>Kỹ sư bậc 3,5/8</t>
  </si>
  <si>
    <t>NC.1378</t>
  </si>
  <si>
    <t>Kỹ sư bậc 3,7/8</t>
  </si>
  <si>
    <t>NC.1408</t>
  </si>
  <si>
    <t>Kỹ sư bậc 4,0/8</t>
  </si>
  <si>
    <t>NC.1428</t>
  </si>
  <si>
    <t>Kỹ sư bậc 4,2/8</t>
  </si>
  <si>
    <t>NC.1438</t>
  </si>
  <si>
    <t>Kỹ sư bậc 4,3/8</t>
  </si>
  <si>
    <t>NC.1458</t>
  </si>
  <si>
    <t>Kỹ sư bậc 4,5/8</t>
  </si>
  <si>
    <t>NC.1478</t>
  </si>
  <si>
    <t>Kỹ sư bậc 4,7/8</t>
  </si>
  <si>
    <t>NC.1508</t>
  </si>
  <si>
    <t>Kỹ sư bậc 5,0/8</t>
  </si>
  <si>
    <t>NC.1528</t>
  </si>
  <si>
    <t>Kỹ sư bậc 5,2/8</t>
  </si>
  <si>
    <t>NC.1538</t>
  </si>
  <si>
    <t>Kỹ sư bậc 5,3/8</t>
  </si>
  <si>
    <t>NC.1558</t>
  </si>
  <si>
    <t>Kỹ sư bậc 5,5/8</t>
  </si>
  <si>
    <t>NC.1578</t>
  </si>
  <si>
    <t>Kỹ sư bậc 5,7/8</t>
  </si>
  <si>
    <t>NC.1608</t>
  </si>
  <si>
    <t>Kỹ sư bậc 6,0/8</t>
  </si>
  <si>
    <t>NC.1628</t>
  </si>
  <si>
    <t>Kỹ sư bậc 6,2/8</t>
  </si>
  <si>
    <t>NC.1638</t>
  </si>
  <si>
    <t>Kỹ sư bậc 6,3/8</t>
  </si>
  <si>
    <t>NC.1658</t>
  </si>
  <si>
    <t>Kỹ sư bậc 6,5/8</t>
  </si>
  <si>
    <t>NC.1678</t>
  </si>
  <si>
    <t>Kỹ sư bậc 6,7/8</t>
  </si>
  <si>
    <t>NC.1708</t>
  </si>
  <si>
    <t>Kỹ sư bậc 7,0/8</t>
  </si>
  <si>
    <t>NC.1728</t>
  </si>
  <si>
    <t>Kỹ sư bậc 7,2/8</t>
  </si>
  <si>
    <t>NC.1738</t>
  </si>
  <si>
    <t>Kỹ sư bậc 7,3/8</t>
  </si>
  <si>
    <t>NC.1758</t>
  </si>
  <si>
    <t>Kỹ sư bậc 7,5/8</t>
  </si>
  <si>
    <t>NC.1778</t>
  </si>
  <si>
    <t>Kỹ sư bậc 7,7/8</t>
  </si>
  <si>
    <t>NC.1808</t>
  </si>
  <si>
    <t>Kỹ sư bậc 8,0/8</t>
  </si>
  <si>
    <t>2. Theo thông tư số 01/2015/TT-BXD</t>
  </si>
  <si>
    <t>Công</t>
  </si>
  <si>
    <t>Nhân công Nhóm II, bậc 1/7</t>
  </si>
  <si>
    <t>Nhân công Nhóm II, bậc 2/7</t>
  </si>
  <si>
    <t>Nhân công Nhóm II, bậc 2,5/7</t>
  </si>
  <si>
    <t>Nhân công Nhóm II, bậc 2,7/7</t>
  </si>
  <si>
    <t>Nhân công Nhóm II, bậc 3,0/7</t>
  </si>
  <si>
    <t>Nhân công Nhóm II, bậc 3,2/7</t>
  </si>
  <si>
    <t>Nhân công Nhóm II, bậc 3,3/7</t>
  </si>
  <si>
    <t>Nhân công Nhóm II, bậc 3,5/7</t>
  </si>
  <si>
    <t>Nhân công Nhóm II, bậc 3,7/7</t>
  </si>
  <si>
    <t>Nhân công Nhóm II, bậc 4/7</t>
  </si>
  <si>
    <t>Nhân công Nhóm II, bậc 4,2/7</t>
  </si>
  <si>
    <t>Nhân công Nhóm II, bậc 4,3/7</t>
  </si>
  <si>
    <t>Nhân công Nhóm II, bậc 4,5/7</t>
  </si>
  <si>
    <t>Nhân công Nhóm II, bậc 4,7/7</t>
  </si>
  <si>
    <t>Nhân công Nhóm II, bậc 5/7</t>
  </si>
  <si>
    <t>Nhân công Nhóm II, bậc 5,2/7</t>
  </si>
  <si>
    <t>Nhân công Nhóm II, bậc 5,5/7</t>
  </si>
  <si>
    <t>Nhân công Nhóm II, bậc 6/7</t>
  </si>
  <si>
    <t>Nhân công Nhóm II, bậc 7/7</t>
  </si>
  <si>
    <t>n201.10.08</t>
  </si>
  <si>
    <t>Kỹ sư bậc 1/8</t>
  </si>
  <si>
    <t>n201.20.08</t>
  </si>
  <si>
    <t>Kỹ sư bậc 2/8</t>
  </si>
  <si>
    <t>n201.30.08</t>
  </si>
  <si>
    <t>Kỹ sư bậc 3/8</t>
  </si>
  <si>
    <t>n201.40.08</t>
  </si>
  <si>
    <t>Kỹ sư bậc 4/8</t>
  </si>
  <si>
    <t>n201.45.08</t>
  </si>
  <si>
    <t>n201.50.08</t>
  </si>
  <si>
    <t>Kỹ sư bậc 5/8</t>
  </si>
  <si>
    <t>n201.60.08</t>
  </si>
  <si>
    <t>Kỹ sư bậc 6/8</t>
  </si>
  <si>
    <t>n201.70.08</t>
  </si>
  <si>
    <t>Kỹ sư bậc 7/8</t>
  </si>
  <si>
    <t>n201.80.08</t>
  </si>
  <si>
    <t>Kỹ sư bậc 8/8</t>
  </si>
  <si>
    <t>n301.10.02</t>
  </si>
  <si>
    <t>Nghệ nhân bậc 1/2</t>
  </si>
  <si>
    <t>n301.20.02</t>
  </si>
  <si>
    <t>Nghệ nhân bậc 2/2</t>
  </si>
  <si>
    <t>N708.10.02</t>
  </si>
  <si>
    <t>Máy 2, kỹ thuật viên cuốc 1, thuyền phó (Tàu hút dưới 150m3/h) bậc 1/2</t>
  </si>
  <si>
    <t>N708.20.02</t>
  </si>
  <si>
    <t>Máy 2, kỹ thuật viên cuốc 1, thuyền phó (Tàu hút dưới 150m3/h) bậc 2/2</t>
  </si>
  <si>
    <t>N709.10.02</t>
  </si>
  <si>
    <t>Máy 2, kỹ thuật viên cuốc 1, thuyền phó (Tàu hút từ 150m3/h  đến 300m3/h) bậc 1/2</t>
  </si>
  <si>
    <t>N709.20.02</t>
  </si>
  <si>
    <t>Máy 2, kỹ thuật viên cuốc 1, thuyền phó (Tàu hút từ 150m3/h  đến 300m3/h) bậc 2/2</t>
  </si>
  <si>
    <t>N710.10.02</t>
  </si>
  <si>
    <t>Máy 2, kỹ thuật viên cuốc 1, thuyền phó (Tàu hút trên 300m3/h, tàu cuốc dưới 300m3/h) bậc 1/2</t>
  </si>
  <si>
    <t>N710.20.02</t>
  </si>
  <si>
    <t>Máy 2, kỹ thuật viên cuốc 1, thuyền phó (Tàu hút trên 300m3/h, tàu cuốc dưới 300m3/h) bậc 2/2</t>
  </si>
  <si>
    <t>N711.10.02</t>
  </si>
  <si>
    <t>Kỹ thuật viên cuốc 2 (Tàu hút dưới 150m3/h) bậc 1/2</t>
  </si>
  <si>
    <t>N711.20.02</t>
  </si>
  <si>
    <t>Kỹ thuật viên cuốc 2 (Tàu hút dưới 150m3/h) bậc 2/2</t>
  </si>
  <si>
    <t>N712.10.02</t>
  </si>
  <si>
    <t>Kỹ thuật viên cuốc 2 (Tàu hút từ 150m3/h  đến 300m3/h) bậc 1/2</t>
  </si>
  <si>
    <t>N712.20.02</t>
  </si>
  <si>
    <t>Kỹ thuật viên cuốc 2 (Tàu hút từ 150m3/h  đến 300m3/h) bậc 2/2</t>
  </si>
  <si>
    <t>N713.10.02</t>
  </si>
  <si>
    <t>Kỹ thuật viên cuốc 2 (Tàu hút trên 300m3/h, tàu cuốc dưới 300m3/h) bậc 1/2</t>
  </si>
  <si>
    <t>N713.20.02</t>
  </si>
  <si>
    <t>Kỹ thuật viên cuốc 2 (Tàu hút trên 300m3/h, tàu cuốc dưới 300m3/h) bậc 2/2</t>
  </si>
  <si>
    <t>Máy 2; kỹ thuật viên cuốc 1 tàu cuốc, tàu hút phun, tàu đào gầu ngoạm (Từ 800m3/h trở lên) bậc 2/2</t>
  </si>
  <si>
    <t>N901.10.04</t>
  </si>
  <si>
    <t>Thợ lặn bậc 1/4</t>
  </si>
  <si>
    <t>N901.20.04</t>
  </si>
  <si>
    <t>Thợ lặn bậc 2/4</t>
  </si>
  <si>
    <t>N901.20.04a</t>
  </si>
  <si>
    <t>Thợ lặn  bậc 2/4 (giờ công</t>
  </si>
  <si>
    <t>N901.30.04</t>
  </si>
  <si>
    <t>Thợ lặn bậc 3/4</t>
  </si>
  <si>
    <t>N901.40.04</t>
  </si>
  <si>
    <t>Thợ lặn bậc 4/4</t>
  </si>
  <si>
    <t>N903.10.04</t>
  </si>
  <si>
    <t>Thợ lặn cấp 2 bậc 1/2</t>
  </si>
  <si>
    <t>3. Theo thông tư số 26/TT-BLĐ-TBXH</t>
  </si>
  <si>
    <t>Nhân công DVCI (cung cấp điện nước sạch) nhóm I, bậc 1,0/7</t>
  </si>
  <si>
    <t>Nhân công DVCI (cung cấp điện nước sạch) nhóm I, bậc 2,0/7</t>
  </si>
  <si>
    <t>Nhân công DVCI (cung cấp điện nước sạch) nhóm I, bậc 2,5/7</t>
  </si>
  <si>
    <t>Nhân công DVCI (cung cấp điện nước sạch) nhóm I, bậc 2,7/7</t>
  </si>
  <si>
    <t>Nhân công DVCI (cung cấp điện nước sạch) nhóm I, bậc 3,0/7</t>
  </si>
  <si>
    <t>Nhân công DVCI (cung cấp điện nước sạch) nhóm I, bậc 3,2/7</t>
  </si>
  <si>
    <t>Nhân công DVCI (cung cấp điện nước sạch) nhóm I, bậc 3,3/7</t>
  </si>
  <si>
    <t>Nhân công DVCI (cung cấp điện nước sạch) nhóm I, bậc 3,5/7</t>
  </si>
  <si>
    <t>Nhân công DVCI (cung cấp điện nước sạch) nhóm I, bậc 3,7/7</t>
  </si>
  <si>
    <t>Nhân công DVCI (cung cấp điện nước sạch) nhóm I, bậc 4,0/7</t>
  </si>
  <si>
    <t>Nhân công DVCI (cung cấp điện nước sạch) nhóm I, bậc 4,2/7</t>
  </si>
  <si>
    <t>Nhân công DVCI (cung cấp điện nước sạch) nhóm I, bậc 4,3/7</t>
  </si>
  <si>
    <t>Nhân công DVCI (cung cấp điện nước sạch) nhóm I, bậc 4,5/7</t>
  </si>
  <si>
    <t>Nhân công DVCI (cung cấp điện nước sạch) nhóm I, bậc 4,7/7</t>
  </si>
  <si>
    <t>Nhân công DVCI (cung cấp điện nước sạch) nhóm I, bậc 5,0/7</t>
  </si>
  <si>
    <t>Nhân công DVCI (cung cấp điện nước sạch) nhóm I, bậc 5,2/7</t>
  </si>
  <si>
    <t>Nhân công DVCI (cung cấp điện nước sạch) nhóm I, bậc 5,5/7</t>
  </si>
  <si>
    <t>Nhân công DVCI (cung cấp điện nước sạch) nhóm I, bậc 6,0/7</t>
  </si>
  <si>
    <t>Nhân công DVCI (cung cấp điện nước sạch) nhóm I, bậc 7,0/7</t>
  </si>
  <si>
    <t>b. Nhóm 2: điều kiện lao động nặng nhọc</t>
  </si>
  <si>
    <t>NCI.6.2.10.07</t>
  </si>
  <si>
    <t>Nhân công DVCI (cung cấp điện nước sạch) nhóm II, bậc 1,0/7</t>
  </si>
  <si>
    <t>NCI.6.2.20.07</t>
  </si>
  <si>
    <t>Nhân công DVCI (cung cấp điện nước sạch) nhóm II, bậc 2,0/7</t>
  </si>
  <si>
    <t>NCI.6.2.25.07</t>
  </si>
  <si>
    <t>Nhân công DVCI (cung cấp điện nước sạch) nhóm II, bậc 2,5/7</t>
  </si>
  <si>
    <t>NCI.6.2.27.07</t>
  </si>
  <si>
    <t>Nhân công DVCI (cung cấp điện nước sạch) nhóm II, bậc 2,7/7</t>
  </si>
  <si>
    <t>NCI.6.2.30.07</t>
  </si>
  <si>
    <t>Nhân công DVCI (cung cấp điện nước sạch) nhóm II, bậc 3,0/7</t>
  </si>
  <si>
    <t>NCI.6.2.32.07</t>
  </si>
  <si>
    <t>Nhân công DVCI (cung cấp điện nước sạch) nhóm II, bậc 3,2/7</t>
  </si>
  <si>
    <t>NCI.6.2.33.07</t>
  </si>
  <si>
    <t>Nhân công DVCI (cung cấp điện nước sạch) nhóm II, bậc 3,3/7</t>
  </si>
  <si>
    <t>NCI.6.2.35.07</t>
  </si>
  <si>
    <t>Nhân công DVCI (cung cấp điện nước sạch) nhóm II, bậc 3,5/7</t>
  </si>
  <si>
    <t>NCI.6.2.37.07</t>
  </si>
  <si>
    <t>Nhân công DVCI (cung cấp điện nước sạch) nhóm II, bậc 3,7/7</t>
  </si>
  <si>
    <t>NCI.6.2.40.07</t>
  </si>
  <si>
    <t>Nhân công DVCI (cung cấp điện nước sạch) nhóm II, bậc 4,0/7</t>
  </si>
  <si>
    <t>NCI.6.2.42.07</t>
  </si>
  <si>
    <t>Nhân công DVCI (cung cấp điện nước sạch) nhóm II, bậc 4,2/7</t>
  </si>
  <si>
    <t>NCI.6.2.43.07</t>
  </si>
  <si>
    <t>Nhân công DVCI (cung cấp điện nước sạch) nhóm II, bậc 4,3/7</t>
  </si>
  <si>
    <t>NCI.6.2.45.07</t>
  </si>
  <si>
    <t>Nhân công DVCI (cung cấp điện nước sạch) nhóm II, bậc 4,5/7</t>
  </si>
  <si>
    <t>NCI.6.2.47.07</t>
  </si>
  <si>
    <t>Nhân công DVCI (cung cấp điện nước sạch) nhóm II, bậc 4,7/7</t>
  </si>
  <si>
    <t>NCI.6.2.50.07</t>
  </si>
  <si>
    <t>Nhân công DVCI (cung cấp điện nước sạch) nhóm II, bậc 5,0/7</t>
  </si>
  <si>
    <t>NCI.6.2.52.07</t>
  </si>
  <si>
    <t>Nhân công DVCI (cung cấp điện nước sạch) nhóm II, bậc 5,2/7</t>
  </si>
  <si>
    <t>NCI.6.2.55.07</t>
  </si>
  <si>
    <t>Nhân công DVCI (cung cấp điện nước sạch) nhóm II, bậc 5,5/7</t>
  </si>
  <si>
    <t>NCI.6.2.60.07</t>
  </si>
  <si>
    <t>Nhân công DVCI (cung cấp điện nước sạch) nhóm II, bậc 6,0/7</t>
  </si>
  <si>
    <t>NCI.6.2.70.07</t>
  </si>
  <si>
    <t>Nhân công DVCI (cung cấp điện nước sạch) nhóm II, bậc 7,0/7</t>
  </si>
  <si>
    <t>c. Nhóm 3: điều kiện lao động đặc biệt nặng nhọc, độc hại, nguy hiểm</t>
  </si>
  <si>
    <t>NCI.6.3.10.07</t>
  </si>
  <si>
    <t>Nhân công DVCI (cung cấp điện nước sạch) nhóm III, bậc 1,0/7</t>
  </si>
  <si>
    <t>NCI.6.3.20.07</t>
  </si>
  <si>
    <t>Nhân công DVCI (cung cấp điện nước sạch) nhóm III, bậc 2,0/7</t>
  </si>
  <si>
    <t>NCI.6.3.25.07</t>
  </si>
  <si>
    <t>NCI.6.3.27.07</t>
  </si>
  <si>
    <t>NCI.6.3.30.07</t>
  </si>
  <si>
    <t>Nhân công DVCI (cung cấp điện nước sạch) nhóm III, bậc 3,0/7</t>
  </si>
  <si>
    <t>NCI.6.3.32.07</t>
  </si>
  <si>
    <t>Nhân công DVCI (cung cấp điện nước sạch) nhóm III, bậc 3,2/7</t>
  </si>
  <si>
    <t>NCI.6.3.33.07</t>
  </si>
  <si>
    <t>Nhân công DVCI (cung cấp điện nước sạch) nhóm III, bậc 3,3/7</t>
  </si>
  <si>
    <t>NCI.6.3.35.07</t>
  </si>
  <si>
    <t>Nhân công DVCI (cung cấp điện nước sạch) nhóm III, bậc 3,5/7</t>
  </si>
  <si>
    <t>NCI.6.3.37.07</t>
  </si>
  <si>
    <t>Nhân công DVCI (cung cấp điện nước sạch) nhóm III, bậc 3,7/7</t>
  </si>
  <si>
    <t>NCI.6.3.40.07</t>
  </si>
  <si>
    <t>Nhân công DVCI (cung cấp điện nước sạch) nhóm III, bậc 4,0/7</t>
  </si>
  <si>
    <t>NCI.6.3.42.07</t>
  </si>
  <si>
    <t>Nhân công DVCI (cung cấp điện nước sạch) nhóm III, bậc 4,2/7</t>
  </si>
  <si>
    <t>NCI.6.3.43.07</t>
  </si>
  <si>
    <t>Nhân công DVCI (cung cấp điện nước sạch) nhóm III, bậc 4,3/7</t>
  </si>
  <si>
    <t>NCI.6.3.45.07</t>
  </si>
  <si>
    <t>Nhân công DVCI (cung cấp điện nước sạch) nhóm III, bậc 4,5/7</t>
  </si>
  <si>
    <t>NCI.6.3.47.07</t>
  </si>
  <si>
    <t>Nhân công DVCI (cung cấp điện nước sạch) nhóm III, bậc 4,7/7</t>
  </si>
  <si>
    <t>NCI.6.3.50.07</t>
  </si>
  <si>
    <t>Nhân công DVCI (cung cấp điện nước sạch) nhóm III, bậc 5,0/7</t>
  </si>
  <si>
    <t>NCI.6.3.52.07</t>
  </si>
  <si>
    <t>Nhân công DVCI (cung cấp điện nước sạch) nhóm III, bậc 5,2/7</t>
  </si>
  <si>
    <t>NCI.6.3.55.07</t>
  </si>
  <si>
    <t>Nhân công DVCI (cung cấp điện nước sạch) nhóm III, bậc 5,5/7</t>
  </si>
  <si>
    <t>NCI.6.3.60.07</t>
  </si>
  <si>
    <t>Nhân công DVCI (cung cấp điện nước sạch) nhóm III, bậc 6,0/7</t>
  </si>
  <si>
    <t>NCI.6.3.70.07</t>
  </si>
  <si>
    <t>Nhân công DVCI (cung cấp điện nước sạch) nhóm III, bậc 7,0/7</t>
  </si>
  <si>
    <t>D. Theo Thông tư 26 - Phần dịch vụ công ích (Quản lý, bảo trì, duy tu các công trình giao thông, đê điều, nông nghiệp, thùy lợi, thủy sản)</t>
  </si>
  <si>
    <t>a. Nhóm 1: điều kiện lao động bình thường</t>
  </si>
  <si>
    <t>Nhân công DVCI (bảo trì, duy tu công trình GT) nhóm I, bậc 1,0/7</t>
  </si>
  <si>
    <t>Nhân công DVCI (bảo trì, duy tu công trình GT) nhóm I, bậc 2,0/7</t>
  </si>
  <si>
    <t>Nhân công DVCI (bảo trì, duy tu công trình GT) nhóm I, bậc 2,5/7</t>
  </si>
  <si>
    <t>Nhân công DVCI (bảo trì, duy tu công trình GT) nhóm I, bậc 2,7/7</t>
  </si>
  <si>
    <t>Nhân công DVCI (bảo trì, duy tu công trình GT) nhóm I, bậc 3,0/7</t>
  </si>
  <si>
    <t>Nhân công DVCI (bảo trì, duy tu công trình GT) nhóm I, bậc 3,2/7</t>
  </si>
  <si>
    <t>Nhân công DVCI (bảo trì, duy tu công trình GT) nhóm I, bậc 3,3/7</t>
  </si>
  <si>
    <t>Nhân công DVCI (bảo trì, duy tu công trình GT) nhóm I, bậc 3,5/7</t>
  </si>
  <si>
    <t>Nhân công DVCI (bảo trì, duy tu công trình GT) nhóm I, bậc 3,7/7</t>
  </si>
  <si>
    <t>Nhân công DVCI (bảo trì, duy tu công trình GT) nhóm I, bậc 4,0/7</t>
  </si>
  <si>
    <t>Nhân công DVCI (bảo trì, duy tu công trình GT) nhóm I, bậc 4,2/7</t>
  </si>
  <si>
    <t>Nhân công DVCI (bảo trì, duy tu công trình GT) nhóm I, bậc 4,3/7</t>
  </si>
  <si>
    <t>Nhân công DVCI (bảo trì, duy tu công trình GT) nhóm I, bậc 4,5/7</t>
  </si>
  <si>
    <t>Nhân công DVCI (bảo trì, duy tu công trình GT) nhóm I, bậc 4,7/7</t>
  </si>
  <si>
    <t>Nhân công DVCI (bảo trì, duy tu công trình GT) nhóm I, bậc 5,0/7</t>
  </si>
  <si>
    <t>Nhân công DVCI (bảo trì, duy tu công trình GT) nhóm I, bậc 5,2/7</t>
  </si>
  <si>
    <t>Nhân công DVCI (bảo trì, duy tu công trình GT) nhóm I, bậc 5,5/7</t>
  </si>
  <si>
    <t>Nhân công DVCI (bảo trì, duy tu công trình GT) nhóm I, bậc 6,0/7</t>
  </si>
  <si>
    <t>Nhân công DVCI (bảo trì, duy tu công trình GT) nhóm I, bậc 7,0/7</t>
  </si>
  <si>
    <t>NCI.5.2.10.07</t>
  </si>
  <si>
    <t>Nhân công DVCI (bảo trì, duy tu công trình GT) nhóm II, bậc 1,0/7</t>
  </si>
  <si>
    <t>NCI.5.2.20.07</t>
  </si>
  <si>
    <t>Nhân công DVCI (bảo trì, duy tu công trình GT) nhóm II, bậc 2,0/7</t>
  </si>
  <si>
    <t>NCI.5.2.25.07</t>
  </si>
  <si>
    <t>Nhân công DVCI (bảo trì, duy tu công trình GT) nhóm II, bậc 2,5/7</t>
  </si>
  <si>
    <t>NCI.5.2.27.07</t>
  </si>
  <si>
    <t>Nhân công DVCI (bảo trì, duy tu công trình GT) nhóm II, bậc 2,7/7</t>
  </si>
  <si>
    <t>NCI.5.2.30.07</t>
  </si>
  <si>
    <t>Nhân công DVCI (bảo trì, duy tu công trình GT) nhóm II, bậc 3,0/7</t>
  </si>
  <si>
    <t>NCI.5.2.32.07</t>
  </si>
  <si>
    <t>Nhân công DVCI (bảo trì, duy tu công trình GT) nhóm II, bậc 3,2/7</t>
  </si>
  <si>
    <t>NCI.5.2.33.07</t>
  </si>
  <si>
    <t>Nhân công DVCI (bảo trì, duy tu công trình GT) nhóm II, bậc 3,3/7</t>
  </si>
  <si>
    <t>NCI.5.2.35.07</t>
  </si>
  <si>
    <t>Nhân công DVCI (bảo trì, duy tu công trình GT) nhóm II, bậc 3,5/7</t>
  </si>
  <si>
    <t>NCI.5.2.37.07</t>
  </si>
  <si>
    <t>Nhân công DVCI (bảo trì, duy tu công trình GT) nhóm II, bậc 3,7/7</t>
  </si>
  <si>
    <t>NCI.5.2.40.07</t>
  </si>
  <si>
    <t>Nhân công DVCI (bảo trì, duy tu công trình GT) nhóm II, bậc 4,0/7</t>
  </si>
  <si>
    <t>NCI.5.2.42.07</t>
  </si>
  <si>
    <t>Nhân công DVCI (bảo trì, duy tu công trình GT) nhóm II, bậc 4,2/7</t>
  </si>
  <si>
    <t>NCI.5.2.43.07</t>
  </si>
  <si>
    <t>Nhân công DVCI (bảo trì, duy tu công trình GT) nhóm II, bậc 4,3/7</t>
  </si>
  <si>
    <t>NCI.5.2.45.07</t>
  </si>
  <si>
    <t>Nhân công DVCI (bảo trì, duy tu công trình GT) nhóm II, bậc 4,5/7</t>
  </si>
  <si>
    <t>NCI.5.2.47.07</t>
  </si>
  <si>
    <t>Nhân công DVCI (bảo trì, duy tu công trình GT) nhóm II, bậc 4,7/7</t>
  </si>
  <si>
    <t>NCI.5.2.50.07</t>
  </si>
  <si>
    <t>Nhân công DVCI (bảo trì, duy tu công trình GT) nhóm II, bậc 5,0/7</t>
  </si>
  <si>
    <t>NCI.5.2.52.07</t>
  </si>
  <si>
    <t>Nhân công DVCI (bảo trì, duy tu công trình GT) nhóm II, bậc 5,2/7</t>
  </si>
  <si>
    <t>NCI.5.2.55.07</t>
  </si>
  <si>
    <t>Nhân công DVCI (bảo trì, duy tu công trình GT) nhóm II, bậc 5,5/7</t>
  </si>
  <si>
    <t>NCI.5.2.60.07</t>
  </si>
  <si>
    <t>Nhân công DVCI (bảo trì, duy tu công trình GT) nhóm II, bậc 6,0/7</t>
  </si>
  <si>
    <t>NCI.5.2.70.07</t>
  </si>
  <si>
    <t>Nhân công DVCI (bảo trì, duy tu công trình GT) nhóm II, bậc 7,0/7</t>
  </si>
  <si>
    <t>NCI.5.3.10.07</t>
  </si>
  <si>
    <t>Nhân công DVCI (bảo trì, duy tu công trình GT) nhóm III, bậc 1,0/7</t>
  </si>
  <si>
    <t>NCI.5.3.20.07</t>
  </si>
  <si>
    <t>Nhân công DVCI (bảo trì, duy tu công trình GT) nhóm III, bậc 2,0/7</t>
  </si>
  <si>
    <t>NCI.5.3.25.07</t>
  </si>
  <si>
    <t>Nhân công DVCI (bảo trì, duy tu công trình GT) nhóm III, bậc 2,5/7</t>
  </si>
  <si>
    <t>NCI.5.3.27.07</t>
  </si>
  <si>
    <t>Nhân công DVCI (bảo trì, duy tu công trình GT) nhóm III, bậc 2,7/7</t>
  </si>
  <si>
    <t>NCI.5.3.30.07</t>
  </si>
  <si>
    <t>Nhân công DVCI (bảo trì, duy tu công trình GT) nhóm III, bậc 3,0/7</t>
  </si>
  <si>
    <t>NCI.5.3.32.07</t>
  </si>
  <si>
    <t>Nhân công DVCI (bảo trì, duy tu công trình GT) nhóm III, bậc 3,2/7</t>
  </si>
  <si>
    <t>NCI.5.3.33.07</t>
  </si>
  <si>
    <t>Nhân công DVCI (bảo trì, duy tu công trình GT) nhóm III, bậc 3,3/7</t>
  </si>
  <si>
    <t>NCI.5.3.35.07</t>
  </si>
  <si>
    <t>Nhân công DVCI (bảo trì, duy tu công trình GT) nhóm III, bậc 3,5/7</t>
  </si>
  <si>
    <t>NCI.5.3.37.07</t>
  </si>
  <si>
    <t>Nhân công DVCI (bảo trì, duy tu công trình GT) nhóm III, bậc 3,7/7</t>
  </si>
  <si>
    <t>NCI.5.3.40.07</t>
  </si>
  <si>
    <t>Nhân công DVCI (bảo trì, duy tu công trình GT) nhóm III, bậc 4,0/7</t>
  </si>
  <si>
    <t>NCI.5.3.42.07</t>
  </si>
  <si>
    <t>Nhân công DVCI (bảo trì, duy tu công trình GT) nhóm III, bậc 4,2/7</t>
  </si>
  <si>
    <t>NCI.5.3.43.07</t>
  </si>
  <si>
    <t>Nhân công DVCI (bảo trì, duy tu công trình GT) nhóm III, bậc 4,3/7</t>
  </si>
  <si>
    <t>NCI.5.3.45.07</t>
  </si>
  <si>
    <t>Nhân công DVCI (bảo trì, duy tu công trình GT) nhóm III, bậc 4,5/7</t>
  </si>
  <si>
    <t>NCI.5.3.47.07</t>
  </si>
  <si>
    <t>Nhân công DVCI (bảo trì, duy tu công trình GT) nhóm III, bậc 4,7/7</t>
  </si>
  <si>
    <t>NCI.5.3.50.07</t>
  </si>
  <si>
    <t>Nhân công DVCI (bảo trì, duy tu công trình GT) nhóm III, bậc 5,0/7</t>
  </si>
  <si>
    <t>NCI.5.3.52.07</t>
  </si>
  <si>
    <t>Nhân công DVCI (bảo trì, duy tu công trình GT) nhóm III, bậc 5,2/7</t>
  </si>
  <si>
    <t>NCI.5.3.55.07</t>
  </si>
  <si>
    <t>Nhân công DVCI (bảo trì, duy tu công trình GT) nhóm III, bậc 5,5/7</t>
  </si>
  <si>
    <t>NCI.5.3.60.07</t>
  </si>
  <si>
    <t>Nhân công DVCI (bảo trì, duy tu công trình GT) nhóm III, bậc 6,0/7</t>
  </si>
  <si>
    <t>NCI.5.3.70.07</t>
  </si>
  <si>
    <t>Nhân công DVCI (bảo trì, duy tu công trình GT) nhóm III, bậc 7,0/7</t>
  </si>
  <si>
    <t>NCI.1.1.10.04</t>
  </si>
  <si>
    <t>Chuyên viên cao cấp, kỹ sư cao cấp (DVCI), bậc 1/4</t>
  </si>
  <si>
    <t>NCI.1.1.20.04</t>
  </si>
  <si>
    <t>Chuyên viên cao cấp, kỹ sư cao cấp (DVCI), bậc 2/4</t>
  </si>
  <si>
    <t>NCI.1.1.30.04</t>
  </si>
  <si>
    <t>Chuyên viên cao cấp, kỹ sư cao cấp (DVCI), bậc 3/4</t>
  </si>
  <si>
    <t>NCI.1.1.40.04</t>
  </si>
  <si>
    <t>Chuyên viên cao cấp, kỹ sư cao cấp (DVCI), bậc 4/4</t>
  </si>
  <si>
    <t>NCI.1.1.10.06</t>
  </si>
  <si>
    <t>Chuyên viên kỹ sư chính (DVCI), bậc 1/6</t>
  </si>
  <si>
    <t>NCI.1.1.20.06</t>
  </si>
  <si>
    <t>Chuyên viên kỹ sư chính (DVCI), bậc 2/6</t>
  </si>
  <si>
    <t>NCI.1.1.30.06</t>
  </si>
  <si>
    <t>Chuyên viên kỹ sư chính (DVCI), bậc 3/6</t>
  </si>
  <si>
    <t>NCI.1.1.40.06</t>
  </si>
  <si>
    <t>Chuyên viên kỹ sư chính (DVCI), bậc 4/6</t>
  </si>
  <si>
    <t>NCI.1.1.50.06</t>
  </si>
  <si>
    <t>Chuyên viên kỹ sư chính (DVCI), bậc 5/6</t>
  </si>
  <si>
    <t>NCI.1.1.60.06</t>
  </si>
  <si>
    <t>Chuyên viên kỹ sư chính (DVCI), bậc 6/6</t>
  </si>
  <si>
    <t>NCI.1.1.10.08</t>
  </si>
  <si>
    <t>Chuyên viên kỹ sư chính (DVCI), bậc 1/8</t>
  </si>
  <si>
    <t>NCI.1.1.20.08</t>
  </si>
  <si>
    <t>Chuyên viên kỹ sư chính (DVCI), bậc 2/8</t>
  </si>
  <si>
    <t>NCI.1.1.30.08</t>
  </si>
  <si>
    <t>Chuyên viên kỹ sư chính (DVCI), bậc 3/8</t>
  </si>
  <si>
    <t>NCI.1.1.40.08</t>
  </si>
  <si>
    <t>Chuyên viên kỹ sư chính (DVCI), bậc 4/8</t>
  </si>
  <si>
    <t>NCI.1.1.50.08</t>
  </si>
  <si>
    <t>Chuyên viên kỹ sư chính (DVCI), bậc 5/8</t>
  </si>
  <si>
    <t>NCI.1.1.60.08</t>
  </si>
  <si>
    <t>Chuyên viên kỹ sư chính (DVCI), bậc 6/8</t>
  </si>
  <si>
    <t>NCI.1.1.70.08</t>
  </si>
  <si>
    <t>Chuyên viên kỹ sư chính (DVCI), bậc 7/8</t>
  </si>
  <si>
    <t>NCI.1.1.80.08</t>
  </si>
  <si>
    <t>Chuyên viên kỹ sư chính (DVCI), bậc 8/8</t>
  </si>
  <si>
    <t>NCI.1.1.10.12</t>
  </si>
  <si>
    <t>Cán sự kỹ thuật viên (DVCI), bậc 1/12</t>
  </si>
  <si>
    <t>NCI.1.1.20.12</t>
  </si>
  <si>
    <t>Cán sự kỹ thuật viên (DVCI), bậc 2/12</t>
  </si>
  <si>
    <t>NCI.1.1.30.12</t>
  </si>
  <si>
    <t>Cán sự kỹ thuật viên (DVCI), bậc 3/12</t>
  </si>
  <si>
    <t>NCI.1.1.40.12</t>
  </si>
  <si>
    <t>Cán sự kỹ thuật viên (DVCI), bậc 4/12</t>
  </si>
  <si>
    <t>NCI.1.1.50.12</t>
  </si>
  <si>
    <t>Cán sự kỹ thuật viên (DVCI), bậc 5/12</t>
  </si>
  <si>
    <t>NCI.1.1.60.12</t>
  </si>
  <si>
    <t>Cán sự kỹ thuật viên (DVCI), bậc 6/12</t>
  </si>
  <si>
    <t>NCI.1.1.70.12</t>
  </si>
  <si>
    <t>Cán sự kỹ thuật viên (DVCI), bậc 7/12</t>
  </si>
  <si>
    <t>NCI.1.1.80.12</t>
  </si>
  <si>
    <t>Cán sự kỹ thuật viên (DVCI), bậc 8/12</t>
  </si>
  <si>
    <t>NCI.1.1.90.12</t>
  </si>
  <si>
    <t>Cán sự kỹ thuật viên (DVCI), bậc 9/12</t>
  </si>
  <si>
    <t>Cán sự kỹ thuật viên (DVCI), bậc 10/12</t>
  </si>
  <si>
    <t>NCI.1.1.11.12</t>
  </si>
  <si>
    <t>Cán sự kỹ thuật viên (DVCI), bậc 11/12</t>
  </si>
  <si>
    <t>NCI.1.1.12.12</t>
  </si>
  <si>
    <t>Cán sự kỹ thuật viên (DVCI), bậc 12/12</t>
  </si>
  <si>
    <t>Thủy thủ (DVCI), bậc 1/4</t>
  </si>
  <si>
    <t>Thủy thủ (DVCI), bậc 2/4</t>
  </si>
  <si>
    <t>Thủy thủ (DVCI), bậc 3/4</t>
  </si>
  <si>
    <t>Thủy thủ (DVCI), bậc 4/4</t>
  </si>
  <si>
    <t>Thợ máy kiêm cơ khí, thợ bơm (DVCI), bậc 1/4</t>
  </si>
  <si>
    <t>Thợ máy kiêm cơ khí, thợ bơm (DVCI), bậc 2/4</t>
  </si>
  <si>
    <t>Thợ máy kiêm cơ khí, thợ bơm (DVCI), bậc 3/4</t>
  </si>
  <si>
    <t>Thợ máy kiêm cơ khí, thợ bơm (DVCI), bậc 4/4</t>
  </si>
  <si>
    <t>Thợ máy, thợ điện, vô tuyến điện (DVCI), bậc 1/4</t>
  </si>
  <si>
    <t>Thợ máy, thợ điện, vô tuyến điện (DVCI), bậc 2/4</t>
  </si>
  <si>
    <t>Thợ máy, thợ điện, vô tuyến điện (DVCI), bậc 3/4</t>
  </si>
  <si>
    <t>Thợ máy, thợ điện, vô tuyến điện (DVCI), bậc 4/4</t>
  </si>
  <si>
    <t>Phục vụ viên (DVCI), bậc 1/4</t>
  </si>
  <si>
    <t>Phục vụ viên (DVCI), bậc 2/4</t>
  </si>
  <si>
    <t>Phục vụ viên (DVCI), bậc 3/4</t>
  </si>
  <si>
    <t>Phục vụ viên (DVCI), bậc 4/4</t>
  </si>
  <si>
    <t>Cấp dưỡng (DVCI), bậc 1/4</t>
  </si>
  <si>
    <t>Cấp dưỡng (DVCI), bậc 2/4</t>
  </si>
  <si>
    <t>Cấp dưỡng (DVCI), bậc 3/4</t>
  </si>
  <si>
    <t>Cấp dưỡng (DVCI), bậc 4/4</t>
  </si>
  <si>
    <t>Thủy thủ nhóm I (DVCI), tàu vận tải dọc sông, bậc 1/4</t>
  </si>
  <si>
    <t>Thủy thủ nhóm I (DVCI), tàu vận tải dọc sông, bậc 2/4</t>
  </si>
  <si>
    <t>Thủy thủ nhóm I (DVCI), tàu vận tải dọc sông, bậc 3/4</t>
  </si>
  <si>
    <t>Thủy thủ nhóm I (DVCI), tàu vận tải dọc sông, bậc 4/4</t>
  </si>
  <si>
    <t>Thủy thủ nhóm II (DVCI), tàu vận tải ngang sông, bậc 1/4</t>
  </si>
  <si>
    <t>Thủy thủ nhóm II (DVCI), tàu vận tải ngang sông, bậc 2/4</t>
  </si>
  <si>
    <t>Thủy thủ nhóm II (DVCI), tàu vận tải ngang sông, bậc 3/4</t>
  </si>
  <si>
    <t>Thủy thủ nhóm II (DVCI), tàu vận tải ngang sông, bậc 4/4</t>
  </si>
  <si>
    <t>Thợ máy, thợ điện nhóm I (DVCI), tàu vận tải dọc sông, bậc 1/4</t>
  </si>
  <si>
    <t>Thợ máy, thợ điện nhóm I (DVCI), tàu vận tải dọc sông, bậc 2/4</t>
  </si>
  <si>
    <t>Thợ máy, thợ điện nhóm I (DVCI), tàu vận tải dọc sông, bậc 3/4</t>
  </si>
  <si>
    <t>Thợ máy, thợ điện nhóm I (DVCI), tàu vận tải dọc sông, bậc 4/4</t>
  </si>
  <si>
    <t>Thợ máy, thợ điện nhóm II (DVCI), tàu vận tải ngang sông, bậc 1/4</t>
  </si>
  <si>
    <t>Thợ máy, thợ điện nhóm II (DVCI), tàu vận tải ngang sông, bậc 2/4</t>
  </si>
  <si>
    <t>Thợ máy, thợ điện nhóm II (DVCI), tàu vận tải ngang sông, bậc 3/4</t>
  </si>
  <si>
    <t>Thợ máy, thợ điện nhóm II (DVCI), tàu vận tải ngang sông, bậc 4/4</t>
  </si>
  <si>
    <t>Phục vụ viên (DVCI), bậc 2,7/4</t>
  </si>
  <si>
    <t>Đại phó, máy trưởng (DVCI), phương tiện từ 5 đến 15 tấn, bậc 1/2</t>
  </si>
  <si>
    <t>Đại phó, máy trưởng (DVCI), phương tiện từ 5 đến 15 tấn, bậc 2/2</t>
  </si>
  <si>
    <t>Thuyền trưởng (DVCI), phương tiện trọng tải đến 50 tấn, bậc 1/2</t>
  </si>
  <si>
    <t>Thuyền trưởng (DVCI), phương tiện trọng tải đến 50 tấn, bậc 2/2</t>
  </si>
  <si>
    <t>Đại phó, máy trưởng (DVCI),  phương tiện trọng tải đến 50 tấn, bậc 1/2</t>
  </si>
  <si>
    <t>Đại phó, máy trưởng (DVCI),  phương tiện trọng tải đến 50 tấn, bậc 2/2</t>
  </si>
  <si>
    <t>Thuyền phó 2, máy 2 (DVCI),  phương tiện trọng tải đến 50 tấn, bậc 1/2</t>
  </si>
  <si>
    <t>Thuyền phó 2, máy 2 (DVCI),  phương tiện trọng tải đến 50 tấn, bậc 2/2</t>
  </si>
  <si>
    <t>Thuyền trưởng (DVCI), phương tiện trọng tải từ 50 tấn đến 150 tấn, bậc 1/2</t>
  </si>
  <si>
    <t>Thuyền trưởng (DVCI), phương tiện trọng tải từ 50 tấn đến 150 tấn, bậc 2/2</t>
  </si>
  <si>
    <t>Đại phó, máy trưởng (DVCI),  phương tiện trọng tải từ 50 tấn đến 150 tấn, bậc 1/2</t>
  </si>
  <si>
    <t>Đại phó, máy trưởng (DVCI),  phương tiện trọng tải từ 50 tấn đến 150 tấn, bậc 2/2</t>
  </si>
  <si>
    <t>Thuyền phó 2, máy 2 (DVCI),  phương tiện trọng tải từ 50 tấn đến 150 tấn, bậc 1/2</t>
  </si>
  <si>
    <t>Thuyền phó 2, máy 2 (DVCI),  phương tiện trọng tải từ 50 tấn đến 150 tấn, bậc 2/2</t>
  </si>
  <si>
    <t>Thuyền trưởng (DVCI), phương tiện trọng tải trên 150 tấn, bậc 1/2</t>
  </si>
  <si>
    <t>Thuyền trưởng (DVCI), phương tiện trọng tải trên 150 tấn, bậc 2/2</t>
  </si>
  <si>
    <t>Đại phó, máy trưởng (DVCI),  phương tiện trọng tải trên 150 tấn, bậc 1/2</t>
  </si>
  <si>
    <t>Đại phó, máy trưởng (DVCI),  phương tiện trọng tải trên 150 tấn, bậc 2/2</t>
  </si>
  <si>
    <t>Thuyền phó 2, máy 2 (DVCI),  phương tiện trọng tải trên 150 tấn, bậc 1/2</t>
  </si>
  <si>
    <t>Thuyền phó 2, máy 2 (DVCI),  phương tiện trọng tải trên 150 tấn, bậc 2/2</t>
  </si>
  <si>
    <t>Thợ lặn (DVCI), bậc 1/4</t>
  </si>
  <si>
    <t>Thợ lặn (DVCI), bậc 2/4</t>
  </si>
  <si>
    <t>Thợ lặn (DVCI), bậc 3/4</t>
  </si>
  <si>
    <t>Thợ lặn (DVCI), bậc 4/4</t>
  </si>
  <si>
    <t>Thợ lặn cấp 1 (DVCI), bậc 1/2</t>
  </si>
  <si>
    <t>Thợ lặn cấp 1 (DVCI), bậc 2/2</t>
  </si>
  <si>
    <r>
      <t>T * HS</t>
    </r>
    <r>
      <rPr>
        <vertAlign val="subscript"/>
        <sz val="12"/>
        <rFont val="Times New Roman"/>
        <family val="1"/>
      </rPr>
      <t>CPC</t>
    </r>
  </si>
  <si>
    <r>
      <t>(T+C) * HS</t>
    </r>
    <r>
      <rPr>
        <vertAlign val="subscript"/>
        <sz val="12"/>
        <rFont val="Times New Roman"/>
        <family val="1"/>
      </rPr>
      <t>TNCTTT</t>
    </r>
  </si>
  <si>
    <r>
      <t xml:space="preserve"> - Hệ số Vật liệu của từng hạng mục tương ứng (HS</t>
    </r>
    <r>
      <rPr>
        <vertAlign val="subscript"/>
        <sz val="12"/>
        <rFont val="Times New Roman"/>
        <family val="1"/>
      </rPr>
      <t>VL</t>
    </r>
    <r>
      <rPr>
        <sz val="12"/>
        <rFont val="Times New Roman"/>
        <family val="1"/>
      </rPr>
      <t xml:space="preserve">) </t>
    </r>
  </si>
  <si>
    <r>
      <t xml:space="preserve"> - Hệ số Nhân công của từng hạng mục tương ứng (HS</t>
    </r>
    <r>
      <rPr>
        <vertAlign val="subscript"/>
        <sz val="12"/>
        <rFont val="Times New Roman"/>
        <family val="1"/>
      </rPr>
      <t>NC</t>
    </r>
    <r>
      <rPr>
        <sz val="12"/>
        <rFont val="Times New Roman"/>
        <family val="1"/>
      </rPr>
      <t>)</t>
    </r>
  </si>
  <si>
    <r>
      <t xml:space="preserve"> - Hệ số Máy thi công của từng hạng mục tương ứng (HS</t>
    </r>
    <r>
      <rPr>
        <vertAlign val="subscript"/>
        <sz val="12"/>
        <rFont val="Times New Roman"/>
        <family val="1"/>
      </rPr>
      <t>MTC</t>
    </r>
    <r>
      <rPr>
        <sz val="12"/>
        <rFont val="Times New Roman"/>
        <family val="1"/>
      </rPr>
      <t>)</t>
    </r>
  </si>
  <si>
    <r>
      <t xml:space="preserve"> - Hệ số Chi phí chung (HS</t>
    </r>
    <r>
      <rPr>
        <vertAlign val="subscript"/>
        <sz val="12"/>
        <rFont val="Times New Roman"/>
        <family val="1"/>
      </rPr>
      <t>CPC</t>
    </r>
    <r>
      <rPr>
        <sz val="12"/>
        <rFont val="Times New Roman"/>
        <family val="1"/>
      </rPr>
      <t>) - đvt: %</t>
    </r>
  </si>
  <si>
    <r>
      <t xml:space="preserve"> - Hệ số Thu nhập chịu thuế tính trước (HS</t>
    </r>
    <r>
      <rPr>
        <vertAlign val="subscript"/>
        <sz val="12"/>
        <rFont val="Times New Roman"/>
        <family val="1"/>
      </rPr>
      <t>TNCTTT</t>
    </r>
    <r>
      <rPr>
        <sz val="12"/>
        <rFont val="Times New Roman"/>
        <family val="1"/>
      </rPr>
      <t>) - đvt: %</t>
    </r>
  </si>
  <si>
    <t>GIÁ TRỊ (Đ)</t>
  </si>
  <si>
    <t>1/7</t>
  </si>
  <si>
    <t>2/7</t>
  </si>
  <si>
    <t>2,5/7</t>
  </si>
  <si>
    <t>2,7/7</t>
  </si>
  <si>
    <t>3,0/7</t>
  </si>
  <si>
    <t>3,2/7</t>
  </si>
  <si>
    <t>3,3/7</t>
  </si>
  <si>
    <t>3,5/7</t>
  </si>
  <si>
    <t>3,7/7</t>
  </si>
  <si>
    <t>4/7</t>
  </si>
  <si>
    <t>4,2/7</t>
  </si>
  <si>
    <t>4,3/7</t>
  </si>
  <si>
    <t>4,5/7</t>
  </si>
  <si>
    <t>4,7/7</t>
  </si>
  <si>
    <t>5/7</t>
  </si>
  <si>
    <t>5,2/7</t>
  </si>
  <si>
    <t>5,5/7</t>
  </si>
  <si>
    <t>6/7</t>
  </si>
  <si>
    <t>7/7</t>
  </si>
  <si>
    <t>3/7</t>
  </si>
  <si>
    <t>1/4 loại &lt;3,5 tấn</t>
  </si>
  <si>
    <t>2/4 loại &lt;3,5 tấn</t>
  </si>
  <si>
    <t>3/4 loại &lt;3,5 tấn</t>
  </si>
  <si>
    <t>4/4 loại &lt;3,5 tấn</t>
  </si>
  <si>
    <t>1/4 loại 3,5÷7,5 tấn</t>
  </si>
  <si>
    <t>2/4 loại 3,5÷7,5 tấn</t>
  </si>
  <si>
    <t>3/4 loại 3,5÷7,5 tấn</t>
  </si>
  <si>
    <t>4/4 loại 3,5÷7,5 tấn</t>
  </si>
  <si>
    <t>1/4 loại 7,5÷16,5 tấn</t>
  </si>
  <si>
    <t>2/4 loại 7,5÷16,5 tấn</t>
  </si>
  <si>
    <t>3/4 loại 7,5÷16,5 tấn</t>
  </si>
  <si>
    <t>4/4 loại 7,5÷16,5 tấn</t>
  </si>
  <si>
    <t>1/4 loại 16,5÷25 tấn</t>
  </si>
  <si>
    <t>2/4 loại 16,5÷25 tấn</t>
  </si>
  <si>
    <t>3/4 loại 16,5÷25 tấn</t>
  </si>
  <si>
    <t>4/4 loại 16,5÷25 tấn</t>
  </si>
  <si>
    <t>1/4 loại 25÷40 tấn</t>
  </si>
  <si>
    <t>2/4 loại 25÷40 tấn</t>
  </si>
  <si>
    <t>3/4 loại 25÷40 tấn</t>
  </si>
  <si>
    <t>4/4 loại 25÷40 tấn</t>
  </si>
  <si>
    <t>1/4 loại ≥40 tấn</t>
  </si>
  <si>
    <t>2/4 loại ≥40 tấn</t>
  </si>
  <si>
    <t>3/4 loại ≥40 tấn</t>
  </si>
  <si>
    <t>4/4 loại ≥40 tấn</t>
  </si>
  <si>
    <t>Thuỷ thủ 1/4</t>
  </si>
  <si>
    <t>Thuỷ thủ 2/4</t>
  </si>
  <si>
    <t>Thuỷ thủ 3/4</t>
  </si>
  <si>
    <t>Thuỷ thủ 4/4</t>
  </si>
  <si>
    <t>Thợ máy (cơ khí) tàu biển 1/4</t>
  </si>
  <si>
    <t>Thợ máy (cơ khí) tàu biển 2/4</t>
  </si>
  <si>
    <t>Thợ máy (cơ khí) tàu biển 3/4</t>
  </si>
  <si>
    <t>Thợ máy (cơ khí) tàu biển 4/4</t>
  </si>
  <si>
    <t>Thợ máy (điện) tàu biển 1/4</t>
  </si>
  <si>
    <t>Thợ máy (điện) tàu biển 2/4</t>
  </si>
  <si>
    <t>Thợ máy (điện) tàu biển 3/4</t>
  </si>
  <si>
    <t>Thợ máy (điện) tàu biển 4/4</t>
  </si>
  <si>
    <t>Phục vụ viên tàu biển 1/4</t>
  </si>
  <si>
    <t>Phục vụ viên tàu biển 2/4</t>
  </si>
  <si>
    <t>Phục vụ viên tàu biển 3/4</t>
  </si>
  <si>
    <t>Phục vụ viên tàu biển 4/4</t>
  </si>
  <si>
    <t>Cấp dưỡng tàu biển 1/4</t>
  </si>
  <si>
    <t>Cấp dưỡng tàu biển 2/4</t>
  </si>
  <si>
    <t>Cấp dưỡng tàu biển 3/4</t>
  </si>
  <si>
    <t>Cấp dưỡng tàu biển 4/4</t>
  </si>
  <si>
    <t>Thủy thủ nhóm I, 1/4</t>
  </si>
  <si>
    <t>Thủy thủ nhóm I, 2/4</t>
  </si>
  <si>
    <t>Thủy thủ nhóm I, 3/4</t>
  </si>
  <si>
    <t>Thủy thủ nhóm I, 4/4</t>
  </si>
  <si>
    <t>Thủy thủ nhóm II, 1/4</t>
  </si>
  <si>
    <t>Thủy thủ nhóm II, 2/4</t>
  </si>
  <si>
    <t>Thủy thủ nhóm II, 3/4</t>
  </si>
  <si>
    <t>Thủy thủ nhóm II, 4/4</t>
  </si>
  <si>
    <t>Thợ máy (điện) nhóm I,  1/4</t>
  </si>
  <si>
    <t>Thợ máy (điện) nhóm I,  2/4</t>
  </si>
  <si>
    <t>Thợ máy (điện) nhóm I,  3/4</t>
  </si>
  <si>
    <t>Thợ máy (điện) nhóm I,  4/4</t>
  </si>
  <si>
    <t>Thợ máy (điện) nhóm II, 1/4</t>
  </si>
  <si>
    <t>Thợ máy (điện) nhóm II, 2/4</t>
  </si>
  <si>
    <t>Thợ máy (điện) nhóm II, 3/4</t>
  </si>
  <si>
    <t>Thợ máy (điện) nhóm II, 4/4</t>
  </si>
  <si>
    <t>Lái xe nhóm 1 bậc 1/4</t>
  </si>
  <si>
    <t>Lái xe nhóm 1 bậc 2/4</t>
  </si>
  <si>
    <t>Lái xe nhóm 1 bậc 3/4</t>
  </si>
  <si>
    <t>Lái xe nhóm 1 bậc 4/4</t>
  </si>
  <si>
    <t>Lái xe nhóm 2 bậc 1/4</t>
  </si>
  <si>
    <t>Lái xe nhóm 2 bậc 2/4</t>
  </si>
  <si>
    <t>Lái xe nhóm 2 bậc 3/4</t>
  </si>
  <si>
    <t>Lái xe nhóm 2 bậc 4/4</t>
  </si>
  <si>
    <t>Lái xe nhóm 3 bậc 1/4</t>
  </si>
  <si>
    <t>Lái xe nhóm 3 bậc 2/4</t>
  </si>
  <si>
    <t>Lái xe nhóm 3 bậc 3/4</t>
  </si>
  <si>
    <t>Lái xe nhóm 3 bậc 4/4</t>
  </si>
  <si>
    <t>1,0/7</t>
  </si>
  <si>
    <t>2,0/7</t>
  </si>
  <si>
    <t>4,0/7</t>
  </si>
  <si>
    <t>5,0/7</t>
  </si>
  <si>
    <t>6,0/7</t>
  </si>
  <si>
    <t>7,0/7</t>
  </si>
  <si>
    <t>lít</t>
  </si>
  <si>
    <t>kWh</t>
  </si>
  <si>
    <t>kg</t>
  </si>
  <si>
    <t>Bảng tính giá vữa</t>
  </si>
  <si>
    <t>BẢNG CHIẾT TÍNH ĐƠN GIÁ VỮA</t>
  </si>
  <si>
    <t>GiaVua</t>
  </si>
  <si>
    <t>Cự ly vận chuyển</t>
  </si>
  <si>
    <t>Thành phần hao phí</t>
  </si>
  <si>
    <t>Cát xây dựng</t>
  </si>
  <si>
    <t>Đá các loại</t>
  </si>
  <si>
    <t>Xi măng bao</t>
  </si>
  <si>
    <t>Sắt, thép các loại</t>
  </si>
  <si>
    <r>
      <t>100 m</t>
    </r>
    <r>
      <rPr>
        <b/>
        <vertAlign val="superscript"/>
        <sz val="13"/>
        <rFont val="Times New Roman"/>
        <family val="1"/>
      </rPr>
      <t>3</t>
    </r>
    <r>
      <rPr>
        <b/>
        <sz val="13"/>
        <rFont val="Times New Roman"/>
        <family val="1"/>
      </rPr>
      <t>/km</t>
    </r>
  </si>
  <si>
    <t>100 tấn/km</t>
  </si>
  <si>
    <t>Phương tiện vận chuyển</t>
  </si>
  <si>
    <r>
      <t>Chi phí lưu thông khác
C</t>
    </r>
    <r>
      <rPr>
        <b/>
        <vertAlign val="subscript"/>
        <sz val="8"/>
        <rFont val="Arial"/>
        <family val="2"/>
      </rPr>
      <t>LTK</t>
    </r>
  </si>
  <si>
    <t>Thành tiền
 ca máy</t>
  </si>
  <si>
    <t>Σ Hao phí
 ca máy</t>
  </si>
  <si>
    <t>Khối 
lượng</t>
  </si>
  <si>
    <t>Giá 
mua</t>
  </si>
  <si>
    <t>CuocDM</t>
  </si>
  <si>
    <t>Bảng quy định định mức cước vận chuyển hàng hóa bằng ô tô</t>
  </si>
  <si>
    <t>Bảng tính chi phí vận chuyển bằng ô tô</t>
  </si>
  <si>
    <t>CPKS</t>
  </si>
  <si>
    <t>Chi phí khảo sát</t>
  </si>
  <si>
    <t>ĐÁNH DẤU VẬN CHUYỂN</t>
  </si>
  <si>
    <t>LÊN CAO</t>
  </si>
  <si>
    <t>BỐC XẾP</t>
  </si>
  <si>
    <t>SANG NGANG</t>
  </si>
  <si>
    <t>LOẠI
VẬN CHUYỂN</t>
  </si>
  <si>
    <t>Trong đó phần vận chuyển</t>
  </si>
  <si>
    <t>Định mức
 ca máy vận chuyển</t>
  </si>
  <si>
    <t>Hệ số quy đổi
loại đường</t>
  </si>
  <si>
    <t>Loại 
đường</t>
  </si>
  <si>
    <t>Hệ số quy đổi
nhóm VT</t>
  </si>
  <si>
    <t>Ô tô tự đổ 7 tấn</t>
  </si>
  <si>
    <t>Ô tô vận tải thùng 20 tấn</t>
  </si>
  <si>
    <t>M0610.0115</t>
  </si>
  <si>
    <t>Ô tô vận tải thùng 15 tấn</t>
  </si>
  <si>
    <t>M0610.0114</t>
  </si>
  <si>
    <t>Ô tô vận tải thùng 12 tấn</t>
  </si>
  <si>
    <t>M0610.0112</t>
  </si>
  <si>
    <t>Ô tô vận tải thùng 10 tấn</t>
  </si>
  <si>
    <t>M0610.0111</t>
  </si>
  <si>
    <t>Ô tô vận tải thùng 7 tấn</t>
  </si>
  <si>
    <t>M0610.0110</t>
  </si>
  <si>
    <t>Ô tô vận tải thùng 5 tấn</t>
  </si>
  <si>
    <t>M0610.0108</t>
  </si>
  <si>
    <t>Ô tô tự đổ 27 tấn</t>
  </si>
  <si>
    <t>M0610.0129</t>
  </si>
  <si>
    <t>Ô tô tự đổ 22 tấn</t>
  </si>
  <si>
    <t>M0610.0127</t>
  </si>
  <si>
    <t>Ô tô tự đổ 12 tấn</t>
  </si>
  <si>
    <t>M0610.0124</t>
  </si>
  <si>
    <t>Ô tô tự đổ 10 tấn</t>
  </si>
  <si>
    <t>M0610.0123</t>
  </si>
  <si>
    <t>M0610.0121</t>
  </si>
  <si>
    <r>
      <t>Hệ số điều chỉnh 
(K</t>
    </r>
    <r>
      <rPr>
        <vertAlign val="subscript"/>
        <sz val="13"/>
        <rFont val="Times New Roman"/>
        <family val="1"/>
      </rPr>
      <t>đc</t>
    </r>
    <r>
      <rPr>
        <sz val="13"/>
        <rFont val="Times New Roman"/>
        <family val="1"/>
      </rPr>
      <t>)</t>
    </r>
  </si>
  <si>
    <t>Ô tô tự đổ 5 tấn</t>
  </si>
  <si>
    <t>M0610.0119</t>
  </si>
  <si>
    <t>L6</t>
  </si>
  <si>
    <t>L5</t>
  </si>
  <si>
    <t>L4</t>
  </si>
  <si>
    <t>L3</t>
  </si>
  <si>
    <t>L2</t>
  </si>
  <si>
    <t>L1</t>
  </si>
  <si>
    <t>Mã phương tiện</t>
  </si>
  <si>
    <t>Loại đường mặc định</t>
  </si>
  <si>
    <t>Phương tiện mặc định:</t>
  </si>
  <si>
    <t>LOẠI ĐƯỜNG VÀ HỆ SỐ ĐIỀU CHỈNH</t>
  </si>
  <si>
    <t>PHƯƠNG TIỆN VẬN CHUYỂN</t>
  </si>
  <si>
    <t>ĐỊNH MỨC CƯỚC VẬN CHUYỂN HÀNG HÓA</t>
  </si>
  <si>
    <t>Đơn giá vận chuyển</t>
  </si>
  <si>
    <t>Theo bảng giá cước</t>
  </si>
  <si>
    <t>Theo định mức máy</t>
  </si>
  <si>
    <t>CPVC_588</t>
  </si>
  <si>
    <r>
      <t xml:space="preserve">BẢNG TỔNG HỢP CHI PHÍ BÙ NHIÊN LIỆU, TIỀN LƯƠNG
</t>
    </r>
    <r>
      <rPr>
        <b/>
        <sz val="16"/>
        <color indexed="10"/>
        <rFont val="Times New Roman"/>
        <family val="1"/>
      </rPr>
      <t>DÙNG CHO VẬN CHUYỂN</t>
    </r>
  </si>
  <si>
    <r>
      <t xml:space="preserve">BẢNG TÍNH GIÁ CA MÁY BÙ NHIÊN LIỆU, TIỀN LƯƠNG THỢ ĐIỀU KHIỂN
</t>
    </r>
    <r>
      <rPr>
        <b/>
        <sz val="16"/>
        <color indexed="10"/>
        <rFont val="Times New Roman"/>
        <family val="1"/>
      </rPr>
      <t>DÙNG CHO  VẬN CHUYỂN</t>
    </r>
  </si>
  <si>
    <r>
      <t xml:space="preserve">BẢNG CHIẾT TÍNH  ĐƠN GIÁ CA MÁY VẬN CHUYỂN THEO CÁCH TRỰC TIẾP
</t>
    </r>
    <r>
      <rPr>
        <b/>
        <sz val="16"/>
        <color indexed="10"/>
        <rFont val="Times New Roman"/>
        <family val="1"/>
      </rPr>
      <t>DÙNG CHO VẬN CHUYỂN</t>
    </r>
  </si>
  <si>
    <t>CPTT</t>
  </si>
  <si>
    <t>1.1</t>
  </si>
  <si>
    <t>2.1</t>
  </si>
  <si>
    <t>Giá thành dự toán</t>
  </si>
  <si>
    <t>Lợi nhuận định mức</t>
  </si>
  <si>
    <t>THKP_DVCI</t>
  </si>
  <si>
    <t>Tổng hợp kinh phí dịch vụ công ích</t>
  </si>
  <si>
    <t>K10</t>
  </si>
  <si>
    <t>K12</t>
  </si>
  <si>
    <t>K15</t>
  </si>
  <si>
    <t>Văn bản 
hướng dẫn</t>
  </si>
  <si>
    <t>QĐ 957/QĐ-BXD</t>
  </si>
  <si>
    <t>CLNC</t>
  </si>
  <si>
    <t>Chênh lệch nhân công</t>
  </si>
  <si>
    <t>CLMTC</t>
  </si>
  <si>
    <t>Chênh lệch máy thi công</t>
  </si>
  <si>
    <t>BÁO CÁO KẾT QUẢ THẨM ĐỊNH BẢNG DỰ TOÁN</t>
  </si>
  <si>
    <t>CTCM_VC</t>
  </si>
  <si>
    <t>BuGCM_VC</t>
  </si>
  <si>
    <t>BuNLTL_VC</t>
  </si>
  <si>
    <t>Chiết tính ca máy cho phần vận chuyển theo định mức</t>
  </si>
  <si>
    <t>Bù giá ca máy cho phần vận chuyển theo định mức</t>
  </si>
  <si>
    <t>Bù nhiên liệu, tiền lương cho phần vận chuyển</t>
  </si>
  <si>
    <t>1.2</t>
  </si>
  <si>
    <r>
      <t>G</t>
    </r>
    <r>
      <rPr>
        <b/>
        <vertAlign val="subscript"/>
        <sz val="11"/>
        <rFont val="Times New Roman"/>
        <family val="1"/>
      </rPr>
      <t>K</t>
    </r>
  </si>
  <si>
    <t>K6</t>
  </si>
  <si>
    <r>
      <t>G</t>
    </r>
    <r>
      <rPr>
        <b/>
        <vertAlign val="subscript"/>
        <sz val="11"/>
        <rFont val="Times New Roman"/>
        <family val="1"/>
      </rPr>
      <t>TB</t>
    </r>
  </si>
  <si>
    <t>Mã 
phương tiện</t>
  </si>
  <si>
    <t>Tổng cự ly
(Km)</t>
  </si>
  <si>
    <t>Loại vật liệu
bốc lên &amp; xuống</t>
  </si>
  <si>
    <t>HS QĐ</t>
  </si>
  <si>
    <t>Bốc lên</t>
  </si>
  <si>
    <t>Bốc xuống</t>
  </si>
  <si>
    <t>CP
bốc lên &amp; xuống</t>
  </si>
  <si>
    <t>Định mức
 NC</t>
  </si>
  <si>
    <t>Loại
 NC</t>
  </si>
  <si>
    <t>Đơn giá
 NC</t>
  </si>
  <si>
    <t>BẢNG QUY ĐỊNH ĐỊNH MỨC BỐC LÊN, BỐC XUỐNG VẬT TƯ</t>
  </si>
  <si>
    <t>Mã hiệu định mức</t>
  </si>
  <si>
    <t>Tên vật tư</t>
  </si>
  <si>
    <t>Loại CP</t>
  </si>
  <si>
    <t>Đơn vị quy đổi</t>
  </si>
  <si>
    <t>AM.1101</t>
  </si>
  <si>
    <t>AM.1102</t>
  </si>
  <si>
    <t>Đất các loại</t>
  </si>
  <si>
    <t>AM.1103</t>
  </si>
  <si>
    <t>AM.1104</t>
  </si>
  <si>
    <t>Đá hộc</t>
  </si>
  <si>
    <t>AM.12011</t>
  </si>
  <si>
    <t>AM.12021</t>
  </si>
  <si>
    <t>Gạch xây các loại</t>
  </si>
  <si>
    <t>viên</t>
  </si>
  <si>
    <t>AM.12031</t>
  </si>
  <si>
    <t>Gạch ốp, lát các loại</t>
  </si>
  <si>
    <t>AM.12041</t>
  </si>
  <si>
    <t>AM.12051</t>
  </si>
  <si>
    <t>Đá ốp, lát các loại</t>
  </si>
  <si>
    <t>AM.12061</t>
  </si>
  <si>
    <t>AM.12071</t>
  </si>
  <si>
    <t>AM.12081</t>
  </si>
  <si>
    <t>Tre, cây chống</t>
  </si>
  <si>
    <t>100cây</t>
  </si>
  <si>
    <t>cây</t>
  </si>
  <si>
    <t>BẢNG QUY ĐỊNH NHÂN CÔNG</t>
  </si>
  <si>
    <t>Mã NC</t>
  </si>
  <si>
    <t>Mặc định:</t>
  </si>
  <si>
    <t>NC bốc lên</t>
  </si>
  <si>
    <t>NC bốc xuống</t>
  </si>
  <si>
    <t>Danh sách nhân công</t>
  </si>
  <si>
    <t>NC1</t>
  </si>
  <si>
    <t>NC nhóm I, bậc 1/7</t>
  </si>
  <si>
    <t>NC2</t>
  </si>
  <si>
    <t>NC nhóm I, bậc 2/7</t>
  </si>
  <si>
    <t>NC3</t>
  </si>
  <si>
    <t>NC nhóm I, bậc 2,5/7</t>
  </si>
  <si>
    <t>NC4</t>
  </si>
  <si>
    <t>NC nhóm I, bậc 2,7/7</t>
  </si>
  <si>
    <t>NC5</t>
  </si>
  <si>
    <t>NC nhóm I, bậc 3,0/7</t>
  </si>
  <si>
    <t>NC6</t>
  </si>
  <si>
    <t>NC nhóm I, bậc 3,2/7</t>
  </si>
  <si>
    <t>NC7</t>
  </si>
  <si>
    <t>NC nhóm I, bậc 3,3/7</t>
  </si>
  <si>
    <t>NC8</t>
  </si>
  <si>
    <t>NC nhóm I, bậc 3,5/7</t>
  </si>
  <si>
    <t>NC9</t>
  </si>
  <si>
    <t>NC nhóm I, bậc 3,7/7</t>
  </si>
  <si>
    <t>NC10</t>
  </si>
  <si>
    <t>NC nhóm I, bậc 4/7</t>
  </si>
  <si>
    <t>NC11</t>
  </si>
  <si>
    <t>NC nhóm I, bậc 4,2/7</t>
  </si>
  <si>
    <t>NC12</t>
  </si>
  <si>
    <t>NC nhóm I, bậc 4,3/7</t>
  </si>
  <si>
    <t>NC13</t>
  </si>
  <si>
    <t>NC nhóm I, bậc 4,5/7</t>
  </si>
  <si>
    <t>NC14</t>
  </si>
  <si>
    <t>NC nhóm I, bậc 4,7/7</t>
  </si>
  <si>
    <t>NC15</t>
  </si>
  <si>
    <t>NC nhóm I, bậc 5/7</t>
  </si>
  <si>
    <t>NC16</t>
  </si>
  <si>
    <t>NC nhóm I, bậc 5,2/7</t>
  </si>
  <si>
    <t>NC17</t>
  </si>
  <si>
    <t>NC nhóm I, bậc 5,5/7</t>
  </si>
  <si>
    <t>NC18</t>
  </si>
  <si>
    <t>NC nhóm I, bậc 6/7</t>
  </si>
  <si>
    <t>NC19</t>
  </si>
  <si>
    <t>NC nhóm I, bậc 7/7</t>
  </si>
  <si>
    <t>NC20</t>
  </si>
  <si>
    <t>NC nhóm II, bậc 1/7</t>
  </si>
  <si>
    <t>NC21</t>
  </si>
  <si>
    <t>NC nhóm II, bậc 2/7</t>
  </si>
  <si>
    <t>NC22</t>
  </si>
  <si>
    <t>NC nhóm II, bậc 2,5/7</t>
  </si>
  <si>
    <t>NC23</t>
  </si>
  <si>
    <t>NC nhóm II, bậc 2,7/7</t>
  </si>
  <si>
    <t>NC24</t>
  </si>
  <si>
    <t>NC nhóm II, bậc 3,0/7</t>
  </si>
  <si>
    <t>NC25</t>
  </si>
  <si>
    <t>NC nhóm II, bậc 3,2/7</t>
  </si>
  <si>
    <t>NC26</t>
  </si>
  <si>
    <t>NC nhóm II, bậc 3,5/7</t>
  </si>
  <si>
    <t>NC27</t>
  </si>
  <si>
    <t>NC nhóm II, bậc 3,7/7</t>
  </si>
  <si>
    <t>NC28</t>
  </si>
  <si>
    <t>NC nhóm II, bậc 4/7</t>
  </si>
  <si>
    <t>NC29</t>
  </si>
  <si>
    <t>NC nhóm II, bậc 4,2/7</t>
  </si>
  <si>
    <t>NC30</t>
  </si>
  <si>
    <t>NC nhóm II, bậc 4,3/7</t>
  </si>
  <si>
    <t>NC31</t>
  </si>
  <si>
    <t>NC nhóm II, bậc 4,5/7</t>
  </si>
  <si>
    <t>NC32</t>
  </si>
  <si>
    <t>NC nhóm II, bậc 4,7/7</t>
  </si>
  <si>
    <t>NC33</t>
  </si>
  <si>
    <t>NC nhóm II, bậc 5/7</t>
  </si>
  <si>
    <t>NC34</t>
  </si>
  <si>
    <t>NC nhóm II, bậc 5,2/7</t>
  </si>
  <si>
    <t>NC35</t>
  </si>
  <si>
    <t>NC nhóm II, bậc 5,5/7</t>
  </si>
  <si>
    <t>NC36</t>
  </si>
  <si>
    <t>NC nhóm II, bậc 6/7</t>
  </si>
  <si>
    <t>PP tính
NC&amp;MTC</t>
  </si>
  <si>
    <t>CPTC_588</t>
  </si>
  <si>
    <t>Chi phí trung chuyển và bốc xếp vật liệu</t>
  </si>
  <si>
    <t>BẢNG TÍNH CHI PHÍ TRUNG CHUYỂN VÀ BỐC XẾP</t>
  </si>
  <si>
    <t>VC thủ công</t>
  </si>
  <si>
    <t>Tổng chi phí trung chuyến</t>
  </si>
  <si>
    <t>Mã máy
 HM</t>
  </si>
  <si>
    <t>Mã NC HM</t>
  </si>
  <si>
    <t>Mã VT
HM</t>
  </si>
  <si>
    <t>10m 
khởi điểm</t>
  </si>
  <si>
    <r>
      <t>Chi phí trung chuyển bốc xếp
C</t>
    </r>
    <r>
      <rPr>
        <b/>
        <vertAlign val="subscript"/>
        <sz val="8"/>
        <rFont val="Arial"/>
        <family val="2"/>
      </rPr>
      <t>CTC</t>
    </r>
  </si>
  <si>
    <t>NC trung chuyển</t>
  </si>
  <si>
    <t>VẬN CHUYỂN THỦ CÔNG</t>
  </si>
  <si>
    <t>10m khởi điểm</t>
  </si>
  <si>
    <t>10 tiếp theo</t>
  </si>
  <si>
    <t>Khối
lượng</t>
  </si>
  <si>
    <t>Giá cước
Đường bộ</t>
  </si>
  <si>
    <t>Giá cước đường sông</t>
  </si>
  <si>
    <t>Dưới cước cố định</t>
  </si>
  <si>
    <t>Trên cước cố định</t>
  </si>
  <si>
    <t>Nhóm
 vật tư</t>
  </si>
  <si>
    <t>Tổng 
KL</t>
  </si>
  <si>
    <t>HS
VL</t>
  </si>
  <si>
    <t>HS
NC</t>
  </si>
  <si>
    <t>HS
MTC</t>
  </si>
  <si>
    <t>ĐG VL
(Gốc)</t>
  </si>
  <si>
    <t>ĐG NC
(Gốc)</t>
  </si>
  <si>
    <t>ĐG MTC
(Gốc)</t>
  </si>
  <si>
    <t>ĐG VLP
(Gốc)</t>
  </si>
  <si>
    <t>hsttpk</t>
  </si>
  <si>
    <r>
      <t xml:space="preserve"> - Hệ số Trực tiếp phí khác (HS</t>
    </r>
    <r>
      <rPr>
        <vertAlign val="subscript"/>
        <sz val="12"/>
        <rFont val="Times New Roman"/>
        <family val="1"/>
      </rPr>
      <t>TTPK</t>
    </r>
    <r>
      <rPr>
        <sz val="12"/>
        <rFont val="Times New Roman"/>
        <family val="1"/>
      </rPr>
      <t>)</t>
    </r>
  </si>
  <si>
    <r>
      <t xml:space="preserve"> - Hệ số Thuế giá trị gia tăng (HS</t>
    </r>
    <r>
      <rPr>
        <vertAlign val="subscript"/>
        <sz val="12"/>
        <rFont val="Times New Roman"/>
        <family val="1"/>
      </rPr>
      <t>VAT</t>
    </r>
    <r>
      <rPr>
        <sz val="12"/>
        <rFont val="Times New Roman"/>
        <family val="1"/>
      </rPr>
      <t>) - đvt: %</t>
    </r>
  </si>
  <si>
    <r>
      <t xml:space="preserve"> - Hệ số Nhà tạm tại hiện trường để ở và điều hành thi công (HS</t>
    </r>
    <r>
      <rPr>
        <vertAlign val="subscript"/>
        <sz val="12"/>
        <rFont val="Times New Roman"/>
        <family val="1"/>
      </rPr>
      <t>NT</t>
    </r>
    <r>
      <rPr>
        <sz val="12"/>
        <rFont val="Times New Roman"/>
        <family val="1"/>
      </rPr>
      <t>)- đvt: %</t>
    </r>
  </si>
  <si>
    <t>hsvat</t>
  </si>
  <si>
    <t>hsnt</t>
  </si>
  <si>
    <t>Định mức
10 m tiếp</t>
  </si>
  <si>
    <t>BẢNG TÍNH TIỀN LƯƠNG CÔNG NHÂN TRUNG CHUYỂN</t>
  </si>
  <si>
    <t>NC_TC</t>
  </si>
  <si>
    <t>Bảng chiết tính nhân công trung chuyển</t>
  </si>
  <si>
    <t>HỆ SỐ
QUY ĐỔI</t>
  </si>
  <si>
    <t>BẢNG DỰ TOÁN</t>
  </si>
  <si>
    <t>BẢNG PHÂN TÍCH BÙ GIÁ VẬN CHUYỂN CHO CÔNG TÁC</t>
  </si>
  <si>
    <t>VẬN CHUYỂN</t>
  </si>
  <si>
    <t>PT_BVC_CV</t>
  </si>
  <si>
    <t>Phân tích bù vận chuyển cho công việc</t>
  </si>
  <si>
    <t>1+ 2 + 3 + 4 + 5+ 6+7</t>
  </si>
  <si>
    <t>TT09/2016/TT-BTC</t>
  </si>
  <si>
    <t>(Theo TT09/2016/TT-BTC ngày 18/1/2016)</t>
  </si>
  <si>
    <t>Cự ly 10 tiếp
(10m)</t>
  </si>
  <si>
    <t>DakLak_DVCI</t>
  </si>
  <si>
    <t>THKP_CI</t>
  </si>
  <si>
    <t>Tong hop kinh phi  _CI</t>
  </si>
  <si>
    <t>BẢNG TỔNG HỢP KINH PHÍ DỊCH VỤ CÔNG ÍCH</t>
  </si>
  <si>
    <t>Chi phí quản lý chung</t>
  </si>
  <si>
    <t>Giá thành dự toán trước thuế</t>
  </si>
  <si>
    <t>Thuế giá trị gia tăng của vật liệu</t>
  </si>
  <si>
    <r>
      <t xml:space="preserve"> - Hệ số lợi nhuận định mức (HS</t>
    </r>
    <r>
      <rPr>
        <vertAlign val="subscript"/>
        <sz val="12"/>
        <rFont val="Times New Roman"/>
        <family val="1"/>
      </rPr>
      <t>LNDM</t>
    </r>
    <r>
      <rPr>
        <sz val="12"/>
        <rFont val="Times New Roman"/>
        <family val="1"/>
      </rPr>
      <t>) - đvt: %</t>
    </r>
  </si>
  <si>
    <r>
      <t>NC * HS</t>
    </r>
    <r>
      <rPr>
        <vertAlign val="subscript"/>
        <sz val="12"/>
        <rFont val="Times New Roman"/>
        <family val="1"/>
      </rPr>
      <t>CPC</t>
    </r>
  </si>
  <si>
    <r>
      <t>(T+C) * HS</t>
    </r>
    <r>
      <rPr>
        <vertAlign val="subscript"/>
        <sz val="12"/>
        <rFont val="Times New Roman"/>
        <family val="1"/>
      </rPr>
      <t>LNDM</t>
    </r>
  </si>
  <si>
    <t>Thuế giá trị gia tăng cho vật liệu</t>
  </si>
  <si>
    <t>GIÁ CA MÁY CHỜ ĐỢI</t>
  </si>
  <si>
    <t>Chi phí xây dựng trước thuế trong Tổng mức đầu tư của dự án</t>
  </si>
  <si>
    <t>Chi phí chung tính theo thông tư 06/2016/TT-BXD</t>
  </si>
  <si>
    <t>Chi phí chung tính theo nhân công</t>
  </si>
  <si>
    <t>KHỐI
 LƯỢNG</t>
  </si>
  <si>
    <t>ĐƠN 
VỊ</t>
  </si>
  <si>
    <t>THI 
CÔNG</t>
  </si>
  <si>
    <t>ĐỊNH
 MỨC</t>
  </si>
  <si>
    <t>VẬT 
TƯ</t>
  </si>
  <si>
    <t>LOẠI 
VẬN CHUYỂN</t>
  </si>
  <si>
    <t>BẢNG PHÂN TÍCH VẬT TƯ VẬN CHUYỂN LÊN CAO</t>
  </si>
  <si>
    <t>VẬN CHUYỂN LÊN CAO</t>
  </si>
  <si>
    <t>BẢNG TỔNG HỢP VẬT TƯ VẬN CHUYỂN LÊN CAO</t>
  </si>
  <si>
    <t>VẬN CHUYỂN NGANG</t>
  </si>
  <si>
    <t>Chi phí di chuyển máy, thiết bị thi công đặc chủng và lực lượng lao động (có tay nghề thuộc biên chế quản lý của doanh nghiệp) đến và ra khỏi công trường</t>
  </si>
  <si>
    <t>Chi phí bảo đảm an toàn giao thông phục vụ thi công (nếu có)</t>
  </si>
  <si>
    <t>Chi phí hoàn trả hạ tầng kỹ thuật do bị ảnh hưởng khi thi công xây dựng công trình (nếu có)</t>
  </si>
  <si>
    <t>Chi phí kho bãi chứa vật liệu (nếu có)</t>
  </si>
  <si>
    <t>Chi phí xây dựng nhà bao che cho máy, nền móng máy, hệ thống cấp điện, khí nén, hệ thống cấp thoát nước tại hiện trường, lắp đặt, tháo dỡ một số loại máy (như trạm trộn bê tông xi măng, trạm trộn bê tông nhựa, cần trục di chuyển trên ray, cần trục tháp, một số loại máy, thiết bị thi công xây dựng khác có tính chất tương tự) và được xác định bằng phương pháp lập dự toán hoặc dự tính chi phí</t>
  </si>
  <si>
    <t>(ký, họ tên)</t>
  </si>
  <si>
    <t>Chứng chỉ hành nghề định giá XD hạng…,số…</t>
  </si>
  <si>
    <r>
      <t>G</t>
    </r>
    <r>
      <rPr>
        <vertAlign val="subscript"/>
        <sz val="12"/>
        <rFont val="Times New Roman"/>
        <family val="1"/>
      </rPr>
      <t>DPXD1</t>
    </r>
    <r>
      <rPr>
        <sz val="12"/>
        <rFont val="Times New Roman"/>
        <family val="1"/>
      </rPr>
      <t>+G</t>
    </r>
    <r>
      <rPr>
        <vertAlign val="subscript"/>
        <sz val="12"/>
        <rFont val="Times New Roman"/>
        <family val="1"/>
      </rPr>
      <t>DPXD2</t>
    </r>
  </si>
  <si>
    <r>
      <t>C</t>
    </r>
    <r>
      <rPr>
        <vertAlign val="subscript"/>
        <sz val="12"/>
        <rFont val="Times New Roman"/>
        <family val="1"/>
      </rPr>
      <t>NT</t>
    </r>
  </si>
  <si>
    <r>
      <t>C</t>
    </r>
    <r>
      <rPr>
        <vertAlign val="subscript"/>
        <sz val="12"/>
        <rFont val="Times New Roman"/>
        <family val="1"/>
      </rPr>
      <t>KKL</t>
    </r>
  </si>
  <si>
    <r>
      <t>C</t>
    </r>
    <r>
      <rPr>
        <vertAlign val="subscript"/>
        <sz val="12"/>
        <rFont val="Times New Roman"/>
        <family val="1"/>
      </rPr>
      <t>K</t>
    </r>
  </si>
  <si>
    <r>
      <t>C</t>
    </r>
    <r>
      <rPr>
        <b/>
        <vertAlign val="subscript"/>
        <sz val="12"/>
        <rFont val="Times New Roman"/>
        <family val="1"/>
      </rPr>
      <t>HMC</t>
    </r>
  </si>
  <si>
    <t>Tong hop kinh phi  _DVCI</t>
  </si>
  <si>
    <t>Tổng cước
 vận chuyển</t>
  </si>
  <si>
    <t>Thành 
tiền</t>
  </si>
  <si>
    <t>Đường
 bộ</t>
  </si>
  <si>
    <t>Thành
 tiền</t>
  </si>
  <si>
    <t>Giá
 mua</t>
  </si>
  <si>
    <t>Kết hợp 
chiều về</t>
  </si>
  <si>
    <t>Theo 
trọng tải</t>
  </si>
  <si>
    <t>Cước 
cơ bản</t>
  </si>
  <si>
    <t>Hàng 
Quá khổ</t>
  </si>
  <si>
    <t>BẢNG TÍNH CHI PHÍ TRUNG CHUYỂN THEO CƯỚC ĐỊA PHƯƠNG</t>
  </si>
  <si>
    <t>Chi phí hao hụt, bảo 
quản tại hiện trường</t>
  </si>
  <si>
    <t>Điều chỉnh 
cước vận chuyển</t>
  </si>
  <si>
    <t>Giá vật liệu đến
 chân công trình</t>
  </si>
  <si>
    <t>Giá đến
 chân CT</t>
  </si>
  <si>
    <t>Phương tiện
 VC</t>
  </si>
  <si>
    <t>ĐƠN
 GIÁ</t>
  </si>
  <si>
    <t>CHÊNH 
LỆCH</t>
  </si>
  <si>
    <t>ĐƠN
 VỊ</t>
  </si>
  <si>
    <t>(Theo Nghị định 205/2004/NĐ-CP ngày 14/12/2004)</t>
  </si>
  <si>
    <t>ĐỊNH 
MỨC</t>
  </si>
  <si>
    <t>BẢNG TỔNG HỢP TỔNG MỨC ĐẦU TƯ XÂY DỰNG CÔNG TRÌNH</t>
  </si>
  <si>
    <r>
      <t>G</t>
    </r>
    <r>
      <rPr>
        <vertAlign val="subscript"/>
        <sz val="11"/>
        <rFont val="Times New Roman"/>
        <family val="1"/>
      </rPr>
      <t>BT,TĐC</t>
    </r>
  </si>
  <si>
    <t>Tổng chi phí đầu tư (1+2+3+4+5+6)</t>
  </si>
  <si>
    <t>GIÁ TRỊ  
TRƯỚC THUẾ</t>
  </si>
  <si>
    <t>THUẾ GIÁ
 TRỊ GIA TĂNG</t>
  </si>
  <si>
    <t>GIÁ TRỊ 
SAU THUẾ</t>
  </si>
  <si>
    <t>BẢNG TÍNH DỰ PHÒNG TRƯỢT GIÁ GÓI THẦU THIẾT BỊ</t>
  </si>
  <si>
    <t>Dự toán thiết bị công trình</t>
  </si>
  <si>
    <r>
      <t>G</t>
    </r>
    <r>
      <rPr>
        <b/>
        <vertAlign val="subscript"/>
        <sz val="12"/>
        <rFont val="Times New Roman"/>
        <family val="1"/>
      </rPr>
      <t>MS</t>
    </r>
  </si>
  <si>
    <r>
      <t>G</t>
    </r>
    <r>
      <rPr>
        <b/>
        <vertAlign val="subscript"/>
        <sz val="12"/>
        <rFont val="Times New Roman"/>
        <family val="1"/>
      </rPr>
      <t>ĐT</t>
    </r>
  </si>
  <si>
    <r>
      <t>G</t>
    </r>
    <r>
      <rPr>
        <b/>
        <vertAlign val="subscript"/>
        <sz val="12"/>
        <rFont val="Times New Roman"/>
        <family val="1"/>
      </rPr>
      <t>LĐ</t>
    </r>
  </si>
  <si>
    <t>Chi phí khác có liên quan</t>
  </si>
  <si>
    <r>
      <t>G</t>
    </r>
    <r>
      <rPr>
        <b/>
        <vertAlign val="subscript"/>
        <sz val="11"/>
        <rFont val="Times New Roman"/>
        <family val="1"/>
      </rPr>
      <t>LĐ</t>
    </r>
  </si>
  <si>
    <r>
      <t>G</t>
    </r>
    <r>
      <rPr>
        <vertAlign val="subscript"/>
        <sz val="11"/>
        <rFont val="Times New Roman"/>
        <family val="1"/>
      </rPr>
      <t>LĐ</t>
    </r>
  </si>
  <si>
    <r>
      <t>G</t>
    </r>
    <r>
      <rPr>
        <b/>
        <vertAlign val="subscript"/>
        <sz val="11"/>
        <rFont val="Times New Roman"/>
        <family val="1"/>
      </rPr>
      <t>ĐT</t>
    </r>
  </si>
  <si>
    <r>
      <t>G</t>
    </r>
    <r>
      <rPr>
        <b/>
        <vertAlign val="subscript"/>
        <sz val="11"/>
        <rFont val="Times New Roman"/>
        <family val="1"/>
      </rPr>
      <t>MS</t>
    </r>
  </si>
  <si>
    <t>TỔNG CỘNG (1+2+3+4)</t>
  </si>
  <si>
    <r>
      <t>G</t>
    </r>
    <r>
      <rPr>
        <vertAlign val="subscript"/>
        <sz val="11"/>
        <rFont val="Times New Roman"/>
        <family val="1"/>
      </rPr>
      <t>MS</t>
    </r>
  </si>
  <si>
    <r>
      <t>G</t>
    </r>
    <r>
      <rPr>
        <vertAlign val="subscript"/>
        <sz val="11"/>
        <rFont val="Times New Roman"/>
        <family val="1"/>
      </rPr>
      <t>ĐT</t>
    </r>
  </si>
  <si>
    <r>
      <t>Chi phí dự phòng (G</t>
    </r>
    <r>
      <rPr>
        <b/>
        <vertAlign val="subscript"/>
        <sz val="12"/>
        <rFont val="Times New Roman"/>
        <family val="1"/>
      </rPr>
      <t xml:space="preserve">DPTB1  </t>
    </r>
    <r>
      <rPr>
        <b/>
        <sz val="12"/>
        <rFont val="Times New Roman"/>
        <family val="1"/>
      </rPr>
      <t>+ G</t>
    </r>
    <r>
      <rPr>
        <b/>
        <vertAlign val="subscript"/>
        <sz val="12"/>
        <rFont val="Times New Roman"/>
        <family val="1"/>
      </rPr>
      <t>DPTB2</t>
    </r>
    <r>
      <rPr>
        <b/>
        <sz val="12"/>
        <rFont val="Times New Roman"/>
        <family val="1"/>
      </rPr>
      <t>)</t>
    </r>
  </si>
  <si>
    <r>
      <t>G</t>
    </r>
    <r>
      <rPr>
        <b/>
        <vertAlign val="subscript"/>
        <sz val="12"/>
        <rFont val="Times New Roman"/>
        <family val="1"/>
      </rPr>
      <t>GTTB</t>
    </r>
  </si>
  <si>
    <t>TỶ LỆ</t>
  </si>
  <si>
    <r>
      <t>Chi phí dự phòng cho yếu tố khối lượng phát sinh  (G</t>
    </r>
    <r>
      <rPr>
        <vertAlign val="subscript"/>
        <sz val="12"/>
        <rFont val="Times New Roman"/>
        <family val="1"/>
      </rPr>
      <t>MS</t>
    </r>
    <r>
      <rPr>
        <sz val="12"/>
        <rFont val="Times New Roman"/>
        <family val="1"/>
      </rPr>
      <t>+G</t>
    </r>
    <r>
      <rPr>
        <vertAlign val="subscript"/>
        <sz val="12"/>
        <rFont val="Times New Roman"/>
        <family val="1"/>
      </rPr>
      <t>ĐT</t>
    </r>
    <r>
      <rPr>
        <sz val="12"/>
        <rFont val="Times New Roman"/>
        <family val="1"/>
      </rPr>
      <t>+G</t>
    </r>
    <r>
      <rPr>
        <vertAlign val="subscript"/>
        <sz val="12"/>
        <rFont val="Times New Roman"/>
        <family val="1"/>
      </rPr>
      <t>LĐ</t>
    </r>
    <r>
      <rPr>
        <sz val="12"/>
        <rFont val="Times New Roman"/>
        <family val="1"/>
      </rPr>
      <t>+G</t>
    </r>
    <r>
      <rPr>
        <vertAlign val="subscript"/>
        <sz val="12"/>
        <rFont val="Times New Roman"/>
        <family val="1"/>
      </rPr>
      <t>K</t>
    </r>
    <r>
      <rPr>
        <sz val="12"/>
        <rFont val="Times New Roman"/>
        <family val="1"/>
      </rPr>
      <t>)*kps</t>
    </r>
  </si>
  <si>
    <t>DT Goi thau TB</t>
  </si>
  <si>
    <t>BẢNG TỔNG HỢP DỰ TOÁN GÓI THẦU MUA SẮM VẬT TƯ, THIẾT BỊ
 LẮP ĐẶT VÀO CÔNG TRÌNH</t>
  </si>
  <si>
    <t>DT Goi thau XD</t>
  </si>
  <si>
    <t>HCM</t>
  </si>
  <si>
    <t>DP KLPS</t>
  </si>
  <si>
    <t>DP Trượt giá</t>
  </si>
  <si>
    <t>DP Tổng</t>
  </si>
  <si>
    <t>BẢNG ĐƠN GIÁ CHI TIẾT</t>
  </si>
  <si>
    <r>
      <t>Thời gian tính toán I</t>
    </r>
    <r>
      <rPr>
        <b/>
        <vertAlign val="subscript"/>
        <sz val="12"/>
        <rFont val="Times New Roman"/>
        <family val="1"/>
      </rPr>
      <t>XDCT</t>
    </r>
    <r>
      <rPr>
        <b/>
        <sz val="12"/>
        <rFont val="Times New Roman"/>
        <family val="1"/>
      </rPr>
      <t xml:space="preserve"> (năm)</t>
    </r>
  </si>
  <si>
    <r>
      <t>Hệ số trượt giá (I</t>
    </r>
    <r>
      <rPr>
        <vertAlign val="subscript"/>
        <sz val="12"/>
        <rFont val="Times New Roman"/>
        <family val="1"/>
      </rPr>
      <t>n+1</t>
    </r>
    <r>
      <rPr>
        <sz val="12"/>
        <rFont val="Times New Roman"/>
        <family val="1"/>
      </rPr>
      <t>/I</t>
    </r>
    <r>
      <rPr>
        <vertAlign val="subscript"/>
        <sz val="12"/>
        <rFont val="Times New Roman"/>
        <family val="1"/>
      </rPr>
      <t>n</t>
    </r>
    <r>
      <rPr>
        <sz val="12"/>
        <rFont val="Times New Roman"/>
        <family val="1"/>
      </rPr>
      <t>)</t>
    </r>
  </si>
  <si>
    <r>
      <t>Chi phí thực hiện dự án theo tiến độ chưa có trượt giá  (V</t>
    </r>
    <r>
      <rPr>
        <vertAlign val="subscript"/>
        <sz val="12"/>
        <rFont val="Times New Roman"/>
        <family val="1"/>
      </rPr>
      <t>T</t>
    </r>
    <r>
      <rPr>
        <sz val="12"/>
        <rFont val="Times New Roman"/>
        <family val="1"/>
      </rPr>
      <t>)</t>
    </r>
  </si>
  <si>
    <r>
      <t>Lãi vay (L</t>
    </r>
    <r>
      <rPr>
        <vertAlign val="subscript"/>
        <sz val="12"/>
        <rFont val="Times New Roman"/>
        <family val="1"/>
      </rPr>
      <t>Vay</t>
    </r>
    <r>
      <rPr>
        <sz val="12"/>
        <rFont val="Times New Roman"/>
        <family val="1"/>
      </rPr>
      <t>)</t>
    </r>
  </si>
  <si>
    <r>
      <t>Chi phí thực hiện dự án đã trừ lãi vay 
(V</t>
    </r>
    <r>
      <rPr>
        <vertAlign val="subscript"/>
        <sz val="12"/>
        <rFont val="Times New Roman"/>
        <family val="1"/>
      </rPr>
      <t>T</t>
    </r>
    <r>
      <rPr>
        <sz val="12"/>
        <rFont val="Times New Roman"/>
        <family val="1"/>
      </rPr>
      <t>-L</t>
    </r>
    <r>
      <rPr>
        <vertAlign val="subscript"/>
        <sz val="12"/>
        <rFont val="Times New Roman"/>
        <family val="1"/>
      </rPr>
      <t>Vay</t>
    </r>
    <r>
      <rPr>
        <sz val="12"/>
        <rFont val="Times New Roman"/>
        <family val="1"/>
      </rPr>
      <t>)</t>
    </r>
  </si>
  <si>
    <t>SỐ 
LƯỢNG</t>
  </si>
  <si>
    <t>Knc</t>
  </si>
  <si>
    <t>tyleDemNC</t>
  </si>
  <si>
    <t>Kmtc</t>
  </si>
  <si>
    <t>TyleDemM</t>
  </si>
  <si>
    <t>THÀNH TIỀN DỰ TOÁN XD</t>
  </si>
  <si>
    <t>HCM1</t>
  </si>
  <si>
    <t>HCM2</t>
  </si>
  <si>
    <t>HCM3</t>
  </si>
  <si>
    <t>Định mức tỷ lệ</t>
  </si>
  <si>
    <t>Tỷ lệ tính trên CPHMC</t>
  </si>
  <si>
    <t>TỶ LỆ HMC</t>
  </si>
  <si>
    <t>TỶ LỆ DỰ PHÒNG</t>
  </si>
  <si>
    <r>
      <t>Hệ số nhân công làm đêm (Knc): Knc=1+T</t>
    </r>
    <r>
      <rPr>
        <b/>
        <vertAlign val="subscript"/>
        <sz val="12"/>
        <rFont val="Times New Roman"/>
        <family val="1"/>
      </rPr>
      <t>1</t>
    </r>
    <r>
      <rPr>
        <b/>
        <sz val="12"/>
        <rFont val="Times New Roman"/>
        <family val="1"/>
      </rPr>
      <t>*30%</t>
    </r>
  </si>
  <si>
    <r>
      <t>Tỷ lệ khối lượng công việc phải làm đêm (T</t>
    </r>
    <r>
      <rPr>
        <vertAlign val="subscript"/>
        <sz val="12"/>
        <rFont val="Times New Roman"/>
        <family val="1"/>
      </rPr>
      <t>1</t>
    </r>
    <r>
      <rPr>
        <sz val="12"/>
        <rFont val="Times New Roman"/>
        <family val="1"/>
      </rPr>
      <t>)</t>
    </r>
  </si>
  <si>
    <t>Hệ số máy thi công làm đêm (Km): Km=1-g+g*Knc</t>
  </si>
  <si>
    <r>
      <t xml:space="preserve">Tỷ lệ tiền lương bình quân trong giá ca máy </t>
    </r>
    <r>
      <rPr>
        <b/>
        <sz val="12"/>
        <rFont val="Times New Roman"/>
        <family val="1"/>
      </rPr>
      <t>(g)</t>
    </r>
  </si>
  <si>
    <t>Tỷ lệ tiền lương bình quân trong GCM</t>
  </si>
  <si>
    <t>(Theo hướng dẫn tại Thông tư số 05/2016/TT-BXD)</t>
  </si>
  <si>
    <t>HỆ SỐ
MTC</t>
  </si>
  <si>
    <t>PP TÍNH</t>
  </si>
  <si>
    <t>HS MÁY TC</t>
  </si>
  <si>
    <t>HS CONFIG</t>
  </si>
  <si>
    <t>KL NL-TL</t>
  </si>
  <si>
    <t>BẢNG CHI TIẾT GIÁ DỰ THẦU</t>
  </si>
  <si>
    <t>BẢNG SỐ 1: HẠNG MỤC 1-  HẠNG MỤC CHUNG</t>
  </si>
  <si>
    <t>Công việc số</t>
  </si>
  <si>
    <t>Mô tả công việc</t>
  </si>
  <si>
    <t>Yêu cầu kỹ thuật/
Chỉ dẫn kỹ thuật</t>
  </si>
  <si>
    <t>Khối lượng</t>
  </si>
  <si>
    <t>C_BL</t>
  </si>
  <si>
    <t>Bảo lãnh thực hiện hợp đồng</t>
  </si>
  <si>
    <t>Khoản</t>
  </si>
  <si>
    <t>C_BH</t>
  </si>
  <si>
    <t>Bảo hiểm Công trình đối với phần thuộc trách nhiệm của nhà thầu</t>
  </si>
  <si>
    <t>C_BHTB</t>
  </si>
  <si>
    <t>Bảo hiểm thiết bị của nhà thầu</t>
  </si>
  <si>
    <t>C_BHTN</t>
  </si>
  <si>
    <t>Bảo hiểm trách nhiệm bên thứ ba</t>
  </si>
  <si>
    <t>C_BTCT</t>
  </si>
  <si>
    <t>Chi phí bảo trì Công trình</t>
  </si>
  <si>
    <t>Tháng</t>
  </si>
  <si>
    <t>C_NT</t>
  </si>
  <si>
    <t>Chi phí xây dựng nhà tạm tại hiện trường để ở và điều hành thi công</t>
  </si>
  <si>
    <t>C_DCTB</t>
  </si>
  <si>
    <t>Chi phí di chuyển thiết bị thi công và lực lượng lao động đến công trường</t>
  </si>
  <si>
    <t>C_Dgtr</t>
  </si>
  <si>
    <t>Chi phí làm đường tránh</t>
  </si>
  <si>
    <t>C_KSGT</t>
  </si>
  <si>
    <t>Chi phí kiểm soát giao thông và bảo trì đường tránh</t>
  </si>
  <si>
    <t>C_DDCT</t>
  </si>
  <si>
    <t>Chi phí dọn dẹp công trường khi hoàn thành</t>
  </si>
  <si>
    <t>ĐẠI DIỆN HỢP PHÁP CỦA NHÀ THẦU</t>
  </si>
  <si>
    <t xml:space="preserve">ĐẠI DIỆN HỢP PHÁP CỦA CHỦ ĐẦU TƯ  </t>
  </si>
  <si>
    <t>[ghi tên, chức danh, ký tên và đóng dấu]</t>
  </si>
  <si>
    <t xml:space="preserve">     [ghi tên, chức danh, ký tên và đóng dấu]</t>
  </si>
  <si>
    <r>
      <rPr>
        <b/>
        <sz val="14"/>
        <rFont val="Times New Roman"/>
        <family val="1"/>
      </rPr>
      <t xml:space="preserve">BẢNG TỔNG HỢP GIÁ DỰ THẦU </t>
    </r>
    <r>
      <rPr>
        <b/>
        <sz val="11"/>
        <rFont val="Times New Roman"/>
        <family val="1"/>
      </rPr>
      <t xml:space="preserve">
(Áp dụng đối với hợp đồng trọn gói)</t>
    </r>
  </si>
  <si>
    <r>
      <t>Mô tả công việc mời thầu</t>
    </r>
    <r>
      <rPr>
        <b/>
        <vertAlign val="superscript"/>
        <sz val="11"/>
        <rFont val="Times New Roman"/>
        <family val="1"/>
      </rPr>
      <t>(1)</t>
    </r>
  </si>
  <si>
    <t>Yêu cầu kỹ thuật/Chỉ dẫn kỹ thuật</t>
  </si>
  <si>
    <t>Khối lượng mời thầu</t>
  </si>
  <si>
    <t>Đơn giá dự thầu</t>
  </si>
  <si>
    <t>Hạng mục 1: Hạng mục chung</t>
  </si>
  <si>
    <t>A</t>
  </si>
  <si>
    <t>TCDT</t>
  </si>
  <si>
    <t>GIÁ DỰ THẦU
(Kết chuyển sang đơn dự thầu thuộc hồ sơ đề xuất về tài chính, trang số ….)</t>
  </si>
  <si>
    <t>H_VL</t>
  </si>
  <si>
    <t>BẢNG ĐƠN GIÁ CÔNG NHẬT: 1. NHÂN CÔNG</t>
  </si>
  <si>
    <t>STT_NC</t>
  </si>
  <si>
    <r>
      <t>Mô tả</t>
    </r>
    <r>
      <rPr>
        <b/>
        <vertAlign val="superscript"/>
        <sz val="11"/>
        <rFont val="Times New Roman"/>
        <family val="1"/>
      </rPr>
      <t>(1)</t>
    </r>
  </si>
  <si>
    <r>
      <t>Đơn vị</t>
    </r>
    <r>
      <rPr>
        <b/>
        <vertAlign val="superscript"/>
        <sz val="12"/>
        <rFont val="Times New Roman"/>
        <family val="1"/>
      </rPr>
      <t>(2)</t>
    </r>
  </si>
  <si>
    <r>
      <t>Số lượng danh nghĩa</t>
    </r>
    <r>
      <rPr>
        <b/>
        <vertAlign val="superscript"/>
        <sz val="12"/>
        <rFont val="Times New Roman"/>
        <family val="1"/>
      </rPr>
      <t>(3)</t>
    </r>
  </si>
  <si>
    <r>
      <t>Đơn giá</t>
    </r>
    <r>
      <rPr>
        <b/>
        <vertAlign val="superscript"/>
        <sz val="12"/>
        <rFont val="Times New Roman"/>
        <family val="1"/>
      </rPr>
      <t>(4)</t>
    </r>
  </si>
  <si>
    <r>
      <t>Thành tiền</t>
    </r>
    <r>
      <rPr>
        <b/>
        <vertAlign val="superscript"/>
        <sz val="12"/>
        <rFont val="Times New Roman"/>
        <family val="1"/>
      </rPr>
      <t xml:space="preserve">(5)
</t>
    </r>
    <r>
      <rPr>
        <b/>
        <sz val="12"/>
        <rFont val="Times New Roman"/>
        <family val="1"/>
      </rPr>
      <t>(VNĐ)</t>
    </r>
  </si>
  <si>
    <t>Trưởng nhóm</t>
  </si>
  <si>
    <t>giờ</t>
  </si>
  <si>
    <t>Công nhân phổ thông</t>
  </si>
  <si>
    <t>Thợ nề</t>
  </si>
  <si>
    <t>Thợ hồ</t>
  </si>
  <si>
    <t>Thợ mộc</t>
  </si>
  <si>
    <t>Thợ sắt</t>
  </si>
  <si>
    <t>Lái xe đến 10 tấn</t>
  </si>
  <si>
    <t>…</t>
  </si>
  <si>
    <t>….</t>
  </si>
  <si>
    <t>TC_NC</t>
  </si>
  <si>
    <r>
      <t xml:space="preserve">Tổng giá cho Công nhật: Nhân công
</t>
    </r>
    <r>
      <rPr>
        <sz val="11"/>
        <rFont val="Times New Roman"/>
        <family val="1"/>
      </rPr>
      <t>(kết chuyển sang Bảng Công nhật tổng hợp, trang số ….)</t>
    </r>
  </si>
  <si>
    <t>NC_DD</t>
  </si>
  <si>
    <t>KT_VL</t>
  </si>
  <si>
    <t>H_NC</t>
  </si>
  <si>
    <t>BẢNG ĐƠN GIÁ CÔNG NHẬT: 2. VẬT LIỆU</t>
  </si>
  <si>
    <t>STT_VL</t>
  </si>
  <si>
    <t xml:space="preserve">Xi măng Portland </t>
  </si>
  <si>
    <t>Thanh gia cố thép dẻo có đường kính 16mmØ đến M-31 hoặc tương đương</t>
  </si>
  <si>
    <t>Đường ống gang dẻo (800mm Ø)</t>
  </si>
  <si>
    <t>m</t>
  </si>
  <si>
    <t>TC_VL</t>
  </si>
  <si>
    <r>
      <t xml:space="preserve">Tổng giá cho Công nhật: Vật liệu
</t>
    </r>
    <r>
      <rPr>
        <sz val="11"/>
        <rFont val="Times New Roman"/>
        <family val="1"/>
      </rPr>
      <t>(kết chuyển sang Bảng Công nhật tổng hợp, trang số ….)</t>
    </r>
  </si>
  <si>
    <t>VL_DD</t>
  </si>
  <si>
    <t>KT_NC</t>
  </si>
  <si>
    <t>H_MTC</t>
  </si>
  <si>
    <t>BẢNG ĐƠN GIÁ CÔNG NHẬT: 3. THIẾT BỊ CỦA NHÀ THẦU</t>
  </si>
  <si>
    <t>STT_MTC</t>
  </si>
  <si>
    <t>Máy cẩu bánh xích, 10 -15 tấn</t>
  </si>
  <si>
    <t>Ô tô cần trục, 25-50 tấn</t>
  </si>
  <si>
    <t>Máy đào thủy lực, 170Hp</t>
  </si>
  <si>
    <t>Máy san ủi, 3m, 100Hp</t>
  </si>
  <si>
    <t>Xe téc chở nước, 5000 lít</t>
  </si>
  <si>
    <t>Máy nén khí, 6000 lít/phút</t>
  </si>
  <si>
    <t>TC_MTC</t>
  </si>
  <si>
    <r>
      <t xml:space="preserve">Tổng giá cho Công nhật: Thiết bị của nhà thầu
</t>
    </r>
    <r>
      <rPr>
        <sz val="11"/>
        <rFont val="Times New Roman"/>
        <family val="1"/>
      </rPr>
      <t>(kết chuyển sang Bảng Công nhật tổng hợp, trang số ….)</t>
    </r>
  </si>
  <si>
    <t>MTC_DD</t>
  </si>
  <si>
    <t>KT_MTC</t>
  </si>
  <si>
    <t>H_TH</t>
  </si>
  <si>
    <t>BẢNG CÔNG NHẬT TỔNG HỢP</t>
  </si>
  <si>
    <t>STT_TH</t>
  </si>
  <si>
    <r>
      <t>Thành tiền</t>
    </r>
    <r>
      <rPr>
        <b/>
        <vertAlign val="superscript"/>
        <sz val="12"/>
        <rFont val="Times New Roman"/>
        <family val="1"/>
      </rPr>
      <t xml:space="preserve">
</t>
    </r>
    <r>
      <rPr>
        <b/>
        <sz val="12"/>
        <rFont val="Times New Roman"/>
        <family val="1"/>
      </rPr>
      <t>(VNĐ)</t>
    </r>
  </si>
  <si>
    <t>NC_TH</t>
  </si>
  <si>
    <t>Tổng giá cho Công nhật: Nhân công</t>
  </si>
  <si>
    <t>VL_TH</t>
  </si>
  <si>
    <t>Tổng giá cho Công nhật: Vật liệu</t>
  </si>
  <si>
    <t>MTC_TH</t>
  </si>
  <si>
    <t>Tổng giá cho Công nhật: Thiết bị của nhà thầu.</t>
  </si>
  <si>
    <t>TC_TH</t>
  </si>
  <si>
    <r>
      <t xml:space="preserve">Tổng giá cho Công nhật (B1.1)
</t>
    </r>
    <r>
      <rPr>
        <sz val="11"/>
        <rFont val="Times New Roman"/>
        <family val="1"/>
      </rPr>
      <t>(kết chuyển sang cột “số tiền” của Chi phí công nhật trong Bảng tổng hợp giá dự thầu, trang số ….)</t>
    </r>
  </si>
  <si>
    <t>KT_TH</t>
  </si>
  <si>
    <t>BẢNG KÊ CÁC KHOẢN TẠM TÍNH</t>
  </si>
  <si>
    <t xml:space="preserve">         Phần chi phí cho các khoản tạm tính sẽ được tách riêng và không được xem xét trong quá trình đánh giá hồ sơ dự thầu để so sánh các hồ sơ dự thầu. Giá trúng thầu và giá hợp đồng sẽ bao gồm chi phí cho các khoản tạm tính do nhà thầu chào trong hồ sơ dự thầu. Trường hợp trong quá trình thực hiện hợp đồng, nếu có phát sinh các công việc theo mô tả thì chủ đầu tư sẽ dùng khoản kinh phí cho các khoản tạm tính để thanh toán cho nhà thầu theo quy định trong hợp đồng</t>
  </si>
  <si>
    <t>STT_TT</t>
  </si>
  <si>
    <t>Bảng số</t>
  </si>
  <si>
    <t>Cung cấp và lắp đặt thiết bị tại trạm bơm</t>
  </si>
  <si>
    <t>Cung cấp hệ thống thông khí trong đường ống ngầm</t>
  </si>
  <si>
    <t>TC_TT</t>
  </si>
  <si>
    <r>
      <t xml:space="preserve">Tổng các khoản tạm tính (B1.2)
</t>
    </r>
    <r>
      <rPr>
        <sz val="11"/>
        <rFont val="Times New Roman"/>
        <family val="1"/>
      </rPr>
      <t>(kết chuyển sang cột “số tiền” của Chi phí cho các khoản tạm tính trong Bảng tổng hợp giá dự thầu, trang số ….)</t>
    </r>
  </si>
  <si>
    <t>CT</t>
  </si>
  <si>
    <t>HM</t>
  </si>
  <si>
    <t>DD</t>
  </si>
  <si>
    <t>KT</t>
  </si>
  <si>
    <r>
      <rPr>
        <b/>
        <sz val="14"/>
        <rFont val="Times New Roman"/>
        <family val="1"/>
      </rPr>
      <t xml:space="preserve">BẢNG TỔNG HỢP GIÁ DỰ THẦU </t>
    </r>
    <r>
      <rPr>
        <b/>
        <sz val="11"/>
        <rFont val="Times New Roman"/>
        <family val="1"/>
      </rPr>
      <t xml:space="preserve">
(Áp dụng đối với hợp đồng đơn giá cố định)</t>
    </r>
  </si>
  <si>
    <t>Trang số</t>
  </si>
  <si>
    <t>Số tiền</t>
  </si>
  <si>
    <t>Các hạng mục</t>
  </si>
  <si>
    <t>A1+...+A3</t>
  </si>
  <si>
    <t>HMC1</t>
  </si>
  <si>
    <t>Bảng CP HMC</t>
  </si>
  <si>
    <t>Chi phí dự phòng (B1 + B2)</t>
  </si>
  <si>
    <t>B1+B2</t>
  </si>
  <si>
    <t>Chi phí dự phòng cho các khoản tạm tính</t>
  </si>
  <si>
    <t>B1.1+B1.1</t>
  </si>
  <si>
    <t>CPCN</t>
  </si>
  <si>
    <t>Chi phí công nhật</t>
  </si>
  <si>
    <t>Bảng chi phí công nhật</t>
  </si>
  <si>
    <t>B1.1</t>
  </si>
  <si>
    <t>Chi phí cho các khoản tạm tính khác</t>
  </si>
  <si>
    <t>Bảng chi phí tạm tính</t>
  </si>
  <si>
    <t>B1.2</t>
  </si>
  <si>
    <t>Chi phí dự phòng cho khối lượng phát sinh</t>
  </si>
  <si>
    <t>B2</t>
  </si>
  <si>
    <t>GIÁ DỰ THẦU</t>
  </si>
  <si>
    <t>A+B</t>
  </si>
  <si>
    <r>
      <rPr>
        <b/>
        <sz val="14"/>
        <rFont val="Times New Roman"/>
        <family val="1"/>
      </rPr>
      <t xml:space="preserve">BẢNG TỔNG HỢP GIÁ DỰ THẦU </t>
    </r>
    <r>
      <rPr>
        <b/>
        <sz val="11"/>
        <rFont val="Times New Roman"/>
        <family val="1"/>
      </rPr>
      <t xml:space="preserve">
(Áp dụng đối với hợp đồng đơn giá điều chỉnh)</t>
    </r>
  </si>
  <si>
    <t>B1+B2+Bb</t>
  </si>
  <si>
    <t>Chi phí dự phòng trượt giá</t>
  </si>
  <si>
    <t>Bb</t>
  </si>
  <si>
    <t>HMC_Goithau</t>
  </si>
  <si>
    <t>HD_Trongoi</t>
  </si>
  <si>
    <t>HD_DGCodinh</t>
  </si>
  <si>
    <t>HD_DGDieuchinh</t>
  </si>
  <si>
    <t>CongNhat</t>
  </si>
  <si>
    <t>Tamtinh</t>
  </si>
  <si>
    <t>Duthau_HM</t>
  </si>
  <si>
    <t>Tổng cộng bảng số 01
(Kết chuyển sang cột “số tiền” của hạng mục tương ứng trong Bảng tổng hợp giá dự thầu, trang số ….)</t>
  </si>
  <si>
    <t>C_Mau</t>
  </si>
  <si>
    <t>Chi phí mẫu</t>
  </si>
  <si>
    <t>KSDG</t>
  </si>
  <si>
    <t>THKP_Doc</t>
  </si>
  <si>
    <t>BẢNG ĐƠN GIÁ CHI TIẾT GÓI THẦU</t>
  </si>
  <si>
    <t>(Ký, ghi rõ họ tên chức vụ và đóng dấu)</t>
  </si>
  <si>
    <t xml:space="preserve">Đại diện chủ đầu tư </t>
  </si>
  <si>
    <t>Đại diện tư vấn giám sát ( nếu có )</t>
  </si>
  <si>
    <t>Đại diện nhà thầu</t>
  </si>
  <si>
    <t>Ngày….. tháng….. năm 20…</t>
  </si>
  <si>
    <t xml:space="preserve"> Luỹ kế giá trị thanh toán:</t>
  </si>
  <si>
    <t xml:space="preserve"> + Thanh toán khối lượng hoàn thành:</t>
  </si>
  <si>
    <t xml:space="preserve"> + Thanh toán tạm ứng:</t>
  </si>
  <si>
    <t>6. Giá trị đề nghị thanh toán kỳ này:</t>
  </si>
  <si>
    <t xml:space="preserve">5. Chiết khấu tiền tạm ứng: </t>
  </si>
  <si>
    <t>4. Luỹ kế giá trị khối lượng thực hiện đến cuối kỳ này:</t>
  </si>
  <si>
    <t>3. Số tiền đã thanh toán khối lượng hoàn thành đến cuối kỳ trước:</t>
  </si>
  <si>
    <t>2. Giá trị tạm ứng theo hợp đồng còn lại chưa thu hồi đến cuối kỳ trước:</t>
  </si>
  <si>
    <t xml:space="preserve">1. Giá trị hợp đồng: </t>
  </si>
  <si>
    <t xml:space="preserve">Tổng số: </t>
  </si>
  <si>
    <t>Thực hiện
 kỳ này</t>
  </si>
  <si>
    <t>Luỹ kế đến hết kỳ trước</t>
  </si>
  <si>
    <t>Thực hiện kỳ này</t>
  </si>
  <si>
    <t>Thực hiện</t>
  </si>
  <si>
    <t>Theo hợp đồng</t>
  </si>
  <si>
    <t>Ghi chú</t>
  </si>
  <si>
    <t>Đơn giá
thanh toán</t>
  </si>
  <si>
    <t xml:space="preserve">Khối lượng </t>
  </si>
  <si>
    <t>Tên công việc</t>
  </si>
  <si>
    <t>Số TT</t>
  </si>
  <si>
    <t>Biên bản nghiệm thu số ….. ngày…..tháng…..năm.….</t>
  </si>
  <si>
    <t>Căn cứ xác định:</t>
  </si>
  <si>
    <t>Thanh toán lần thứ:</t>
  </si>
  <si>
    <t>Bên nhận thầu:</t>
  </si>
  <si>
    <t>Bên giao thầu:</t>
  </si>
  <si>
    <t xml:space="preserve">Hợp đồng số:      ngày      tháng      năm  </t>
  </si>
  <si>
    <t xml:space="preserve">Tên gói thầu: </t>
  </si>
  <si>
    <t>BẢNG XÁC ĐỊNH GIÁ TRỊ KHỐI LƯỢNG CÔNG VIỆC HOÀN THÀNH THEO HỢP ĐỒNG ĐỀ NGHỊ THANH TOÁN</t>
  </si>
  <si>
    <t>Phụ lục 03.a</t>
  </si>
  <si>
    <t>Tỷ lệ
Dự thầu</t>
  </si>
  <si>
    <t>Tỷ lệ dự thầu</t>
  </si>
  <si>
    <t xml:space="preserve">Tên dự án:                                                                  </t>
  </si>
  <si>
    <t>Mã dự án:</t>
  </si>
  <si>
    <t>đ</t>
  </si>
  <si>
    <t>PL03a</t>
  </si>
  <si>
    <t>Phụ lục bổ sung hợp đồng số:     ngày     tháng      năm</t>
  </si>
  <si>
    <t>Chủ đầu tư:</t>
  </si>
  <si>
    <t>Nhà thầu:</t>
  </si>
  <si>
    <t>Theo đơn giá 
bổ sung</t>
  </si>
  <si>
    <t>Luỹ kế đến hết kỳ này</t>
  </si>
  <si>
    <t>5. Thanh toán để thu hồi tạm ứng</t>
  </si>
  <si>
    <t xml:space="preserve"> 7. Luỹ kế giá trị thanh toán:</t>
  </si>
  <si>
    <t xml:space="preserve">BẢNG KHỐI LƯỢNG NGHIỆM THU GIAI ĐOẠN </t>
  </si>
  <si>
    <t>HỢP ĐỒNG</t>
  </si>
  <si>
    <t>THỰC HIỆN</t>
  </si>
  <si>
    <t>GIAI ĐOẠN 1</t>
  </si>
  <si>
    <t>LUỸ KẾ
THỰC HIỆN</t>
  </si>
  <si>
    <t>CẦN THỰC HIỆN</t>
  </si>
  <si>
    <t xml:space="preserve">BẢNG QUẢN LÝ KHỐI LƯỢNG NGHIỆM THU GIAI ĐOẠN </t>
  </si>
  <si>
    <t>Mau</t>
  </si>
  <si>
    <t>aaaa</t>
  </si>
  <si>
    <t xml:space="preserve">BẢNG QUẢN LÝ TIỀN TẠM ỨNG THEO GIAI ĐOẠN </t>
  </si>
  <si>
    <t>NỘI DUNG TẠM ỨNG</t>
  </si>
  <si>
    <t>GHI CHÚ TẠM ỨNG</t>
  </si>
  <si>
    <t>GHI CHÚ 1</t>
  </si>
  <si>
    <t>GHI CHÚ 2</t>
  </si>
  <si>
    <t>GHI CHÚ 3</t>
  </si>
  <si>
    <t>GHI CHÚ 4</t>
  </si>
  <si>
    <t>6.1</t>
  </si>
  <si>
    <t>6.2</t>
  </si>
  <si>
    <t>PL03a_A</t>
  </si>
  <si>
    <t>NT_GD</t>
  </si>
  <si>
    <t>QLNT</t>
  </si>
  <si>
    <t>QLTU</t>
  </si>
  <si>
    <t>$B$83:$B$87</t>
  </si>
  <si>
    <t>$B$89:$B$93</t>
  </si>
  <si>
    <t>$B$95:$B$97</t>
  </si>
  <si>
    <t>$B$100:$B$102</t>
  </si>
  <si>
    <t>$B$105:$B$109</t>
  </si>
  <si>
    <t>$E$110:$E$112</t>
  </si>
  <si>
    <t>$B$114:$B$115</t>
  </si>
  <si>
    <t>BẢNG DỰ TOÁN PHÂN THEO NHÓM CÔNG VIỆC</t>
  </si>
  <si>
    <t>Dutoan_Nhom</t>
  </si>
  <si>
    <t>NHÓM</t>
  </si>
  <si>
    <t>VT CHÍNH</t>
  </si>
  <si>
    <t>VL CHÍNH</t>
  </si>
  <si>
    <t>VL PHỤ</t>
  </si>
  <si>
    <t>MÁY THI CÔNG</t>
  </si>
  <si>
    <t>_1134</t>
  </si>
  <si>
    <t>ĐƠN GIÁ GỐC</t>
  </si>
  <si>
    <t>MÁY TC</t>
  </si>
  <si>
    <t>VL+NC+M+TT</t>
  </si>
  <si>
    <t>Bằng chữ : không đồng</t>
  </si>
  <si>
    <t>Bằng chữ: không đồng</t>
  </si>
  <si>
    <t>không đồng</t>
  </si>
  <si>
    <t>Số tiền bằng chữ: không</t>
  </si>
  <si>
    <t>Số tiền bằng chữ: #REF!</t>
  </si>
  <si>
    <t>THKP_Nhom</t>
  </si>
  <si>
    <t>AP</t>
  </si>
  <si>
    <t>Chi phí vật liệu phụ</t>
  </si>
  <si>
    <t>A2</t>
  </si>
  <si>
    <t>TỔNG TẠM ỨNG</t>
  </si>
  <si>
    <t>(Ban hành kèm theo Thông tư số 209/2016/TT-BTC ngày 10/11/2016 của Bộ Tài chính)</t>
  </si>
  <si>
    <t>TT 209/2016/TT-BTC</t>
  </si>
  <si>
    <t>TT 210/2016/TT-BTC</t>
  </si>
  <si>
    <t>Công trình dân dụng</t>
  </si>
  <si>
    <t>Cáp ngầm điện áp &lt; 6KV</t>
  </si>
  <si>
    <t>Cáp ngầm điện áp 6 ÷ 110KV</t>
  </si>
  <si>
    <t>Chi phí TB(tỷ đồng)</t>
  </si>
  <si>
    <t>Chi phí XD +TB(tỷ đồng)</t>
  </si>
  <si>
    <t>D4-A. ĐỊNH MỨC CHI PHÍ THIẾT KẾ KỸ THUẬT, CÔNG TRÌNH NÔNG NGHIỆP VÀ PHÁT TRIỂN NÔNG THÔN, THIẾT KẾ 3 BƯỚC</t>
  </si>
  <si>
    <t>Mạng Internet, Voip, thiết bị mạng NGN</t>
  </si>
  <si>
    <t>Trạm BTS, CS, điện thoại thẻ</t>
  </si>
  <si>
    <t>Chi phí xây dựng và chi phí thiết bị (chưa có thuế GTGT) (tỷ đồng)</t>
  </si>
  <si>
    <t>ĐỊNH MỨC CHI PHÍ BÁO CÁO NGHIÊN CỨU TIỀN KHẢ THI</t>
  </si>
  <si>
    <t>ĐỊNH MỨC CHI PHÍ BÁO CÁO NGHIÊN CỨU KHẢ THI</t>
  </si>
  <si>
    <t>ĐỊNH MỨC CHI PHÍ THẨM TRA BÁO CÁO NGHIÊN CỨU TIỀN KHẢ THI</t>
  </si>
  <si>
    <t>ĐỊNH MỨC CHI PHÍ THẨM TRA BÁO CÁO NGHIÊN CỨU KHẢ THI</t>
  </si>
  <si>
    <t>Thiết kế 1 bước: BCKTKT</t>
  </si>
  <si>
    <t>Thiết kế 2 bước: BCKT+TKBVTC</t>
  </si>
  <si>
    <t>Thiết kế 3 bước:</t>
  </si>
  <si>
    <t>Thiết kế 3 bước: BCTKT+BCKT+TKBVTC</t>
  </si>
  <si>
    <t>Thiết kế 1 bước:</t>
  </si>
  <si>
    <t>Thiết kế 2 bước:</t>
  </si>
  <si>
    <t>Bước 2: Thiết kế bản vẽ thi công</t>
  </si>
  <si>
    <t>Bước 2: Lập báo cáo nghiên cứu khả thi</t>
  </si>
  <si>
    <t>Trong đó chi tiết các địa chỉ nội suy của các loại công trình cụ thể như sau:</t>
  </si>
  <si>
    <t>+ Thẩm tra dự toán</t>
  </si>
  <si>
    <t>+ Thẩm tra thiết kế</t>
  </si>
  <si>
    <t>+ Thiết kế bản vẽ thi công - Công trình thiết kế 2 bước</t>
  </si>
  <si>
    <t xml:space="preserve">Công trình giao thông </t>
  </si>
  <si>
    <t>+ Thiết kế kỹ thuật - công trình thiết kế 3 bước</t>
  </si>
  <si>
    <t>+ Thiết kế bản vẽ thi công - Công trình thiết kế 3 bước:</t>
  </si>
  <si>
    <t>D4-B. ĐỊNH MỨC CHI PHÍ THIẾT KẾ BẢN VẼ THI CÔNG, CÔNG TRÌNH NÔNG NGIỆP VÀ PHÁT TRIỂN NÔNG THÔN, THIẾT KẾ 3 BƯỚC</t>
  </si>
  <si>
    <t>D4-C. ĐỊNH MỨC CHI PHÍ THIẾT KẾ BẢN VẼ THI CÔNG, CÔNG TRÌNH NÔNG NGHỆP VÀ PHÁT TRIỂN NÔNG THÔN, THIẾT KẾ 2 BƯỚC</t>
  </si>
  <si>
    <t>+ Chi phí thiết kế kỹ thuật</t>
  </si>
  <si>
    <t>Bước 3: Thiết kế</t>
  </si>
  <si>
    <t>+ Chi phí thiết kế bản vẽ thi công</t>
  </si>
  <si>
    <t>Chi phí thẩm tra</t>
  </si>
  <si>
    <t>+ Chi phí lập hồ sơ mời thầu</t>
  </si>
  <si>
    <t>+ Chi phí đánh giá hồ sơ dự thầu</t>
  </si>
  <si>
    <t>Chi phí lập hồ sơ mời thầu và đánh giá hồ sơ dự thầu</t>
  </si>
  <si>
    <t>+ Lập hồ sơ mời thầu</t>
  </si>
  <si>
    <t>+ Đánh giá hồ sơ dự thầu</t>
  </si>
  <si>
    <t>Chi phi lập hồ sơ mời thầu và đánh giá hồ sơ dự thầu thiết bị</t>
  </si>
  <si>
    <t>Chi phí lập hồ sơ mời thầu và phân tích đánh giá  hồ sơ dự thầu thiết bị</t>
  </si>
  <si>
    <t>LOẠI TRỪ</t>
  </si>
  <si>
    <t>Bảng chi phí khảo sát</t>
  </si>
  <si>
    <t>GGPMB</t>
  </si>
  <si>
    <t>Tổng mức đầu tư dùng để nội suy</t>
  </si>
  <si>
    <t>VÙNG TÌM THIẾT ĐẶT</t>
  </si>
  <si>
    <t>(Theo Quyết định số 79/QĐ-BXD ngày 15/2/2017 )</t>
  </si>
  <si>
    <t>TV2.1</t>
  </si>
  <si>
    <t>THU NHẬP CHỊU THUẾ TÍNH TRƯỚC</t>
  </si>
  <si>
    <t>CHI PHÍ KHÁC PHỤC VỤ CÔNG TÁC KHẢO SÁT XÂY DỰNG</t>
  </si>
  <si>
    <t>THUẾ GIÁ TRỊ GIA TĂNG</t>
  </si>
  <si>
    <t>CHI PHÍ DỰ PHÒNG</t>
  </si>
  <si>
    <r>
      <t>C</t>
    </r>
    <r>
      <rPr>
        <b/>
        <vertAlign val="subscript"/>
        <sz val="11"/>
        <rFont val="Times New Roman"/>
        <family val="1"/>
      </rPr>
      <t>pvks</t>
    </r>
  </si>
  <si>
    <r>
      <t>T</t>
    </r>
    <r>
      <rPr>
        <b/>
        <vertAlign val="superscript"/>
        <sz val="11"/>
        <rFont val="Times New Roman"/>
        <family val="1"/>
      </rPr>
      <t>GTGT</t>
    </r>
  </si>
  <si>
    <r>
      <t>C</t>
    </r>
    <r>
      <rPr>
        <b/>
        <vertAlign val="subscript"/>
        <sz val="11"/>
        <rFont val="Times New Roman"/>
        <family val="1"/>
      </rPr>
      <t>DP</t>
    </r>
  </si>
  <si>
    <t>CHI PHÍ CHUNG (C) TÍNH BẰNG TỶ LỆ % TRÊN CHI PHÍ NHÂN CÔNG TRONG CHI PHÍ TRỰC TIẾP (T) TRONG CHI PHÍ KHẢO SÁT</t>
  </si>
  <si>
    <t>≤ 1</t>
  </si>
  <si>
    <t>1 ÷ ≤ 2</t>
  </si>
  <si>
    <t>&gt; 2</t>
  </si>
  <si>
    <t>Định mức tỷ lệ chi phí chung C (%)</t>
  </si>
  <si>
    <t>Trong chi phí trực tiếp (tỷ đồng)</t>
  </si>
  <si>
    <t>CHI PHÍ NHÂN CÔNG</t>
  </si>
  <si>
    <t>Chi phí lập phương án kỹ thuật khảo sát, lập báo cáo kết quả khảo sát xây dựng </t>
  </si>
  <si>
    <t>GIÁ THÀNH KHẢO SÁT XÂY DỰNG</t>
  </si>
  <si>
    <r>
      <t>G</t>
    </r>
    <r>
      <rPr>
        <b/>
        <vertAlign val="subscript"/>
        <sz val="11"/>
        <rFont val="Times New Roman"/>
        <family val="1"/>
      </rPr>
      <t>pabc</t>
    </r>
    <r>
      <rPr>
        <b/>
        <sz val="11"/>
        <rFont val="Times New Roman"/>
        <family val="1"/>
      </rPr>
      <t>+G</t>
    </r>
    <r>
      <rPr>
        <b/>
        <vertAlign val="subscript"/>
        <sz val="11"/>
        <rFont val="Times New Roman"/>
        <family val="1"/>
      </rPr>
      <t>hmc</t>
    </r>
  </si>
  <si>
    <r>
      <t>G</t>
    </r>
    <r>
      <rPr>
        <b/>
        <i/>
        <vertAlign val="subscript"/>
        <sz val="11"/>
        <rFont val="Times New Roman"/>
        <family val="1"/>
      </rPr>
      <t>hmc</t>
    </r>
  </si>
  <si>
    <r>
      <t>G</t>
    </r>
    <r>
      <rPr>
        <b/>
        <i/>
        <vertAlign val="subscript"/>
        <sz val="11"/>
        <rFont val="Times New Roman"/>
        <family val="1"/>
      </rPr>
      <t>pabc</t>
    </r>
  </si>
  <si>
    <r>
      <t>G</t>
    </r>
    <r>
      <rPr>
        <b/>
        <i/>
        <vertAlign val="subscript"/>
        <sz val="11"/>
        <rFont val="Times New Roman"/>
        <family val="1"/>
      </rPr>
      <t>pa</t>
    </r>
    <r>
      <rPr>
        <b/>
        <i/>
        <sz val="11"/>
        <rFont val="Times New Roman"/>
        <family val="1"/>
      </rPr>
      <t>+G</t>
    </r>
    <r>
      <rPr>
        <b/>
        <i/>
        <vertAlign val="subscript"/>
        <sz val="11"/>
        <rFont val="Times New Roman"/>
        <family val="1"/>
      </rPr>
      <t>bc</t>
    </r>
  </si>
  <si>
    <r>
      <t>G+C</t>
    </r>
    <r>
      <rPr>
        <b/>
        <vertAlign val="subscript"/>
        <sz val="12"/>
        <rFont val="Times New Roman"/>
        <family val="1"/>
      </rPr>
      <t>pvks</t>
    </r>
  </si>
  <si>
    <r>
      <t>G</t>
    </r>
    <r>
      <rPr>
        <b/>
        <vertAlign val="subscript"/>
        <sz val="11"/>
        <rFont val="Times New Roman"/>
        <family val="1"/>
      </rPr>
      <t>KS</t>
    </r>
  </si>
  <si>
    <r>
      <t>G</t>
    </r>
    <r>
      <rPr>
        <b/>
        <vertAlign val="subscript"/>
        <sz val="11"/>
        <rFont val="Times New Roman"/>
        <family val="1"/>
      </rPr>
      <t>KS</t>
    </r>
    <r>
      <rPr>
        <b/>
        <sz val="11"/>
        <rFont val="Times New Roman"/>
        <family val="1"/>
      </rPr>
      <t>+G</t>
    </r>
    <r>
      <rPr>
        <b/>
        <vertAlign val="subscript"/>
        <sz val="11"/>
        <rFont val="Times New Roman"/>
        <family val="1"/>
      </rPr>
      <t>DP</t>
    </r>
  </si>
  <si>
    <r>
      <t>Gt+T</t>
    </r>
    <r>
      <rPr>
        <b/>
        <vertAlign val="superscript"/>
        <sz val="11"/>
        <rFont val="Times New Roman"/>
        <family val="1"/>
      </rPr>
      <t>GTGT</t>
    </r>
  </si>
  <si>
    <t>Gks+Gdp</t>
  </si>
  <si>
    <t>VIII</t>
  </si>
  <si>
    <t>G+Gpa+Gbc+Gnt+Gdc</t>
  </si>
  <si>
    <t>Gdc</t>
  </si>
  <si>
    <t>Chi phí chuyển máy, thiết bị</t>
  </si>
  <si>
    <t>Ct+P+Lt</t>
  </si>
  <si>
    <t>Giá thành khảo sát</t>
  </si>
  <si>
    <t>THKP_KS_tt17</t>
  </si>
  <si>
    <t>Tong hop kinh phi_KS_tt17</t>
  </si>
  <si>
    <t>Gpabc</t>
  </si>
  <si>
    <t>Gpvks</t>
  </si>
  <si>
    <t>ĐƠN GIÁ
 DỰ TOÁN XD</t>
  </si>
  <si>
    <t>Các hệ số khác:</t>
  </si>
  <si>
    <t>hspa</t>
  </si>
  <si>
    <t>hsbc</t>
  </si>
  <si>
    <t>hsdp</t>
  </si>
  <si>
    <t>THEO MẶC ĐỊNH</t>
  </si>
  <si>
    <t>rHschoo</t>
  </si>
  <si>
    <t>rHsmaytb</t>
  </si>
  <si>
    <t>Phí thẩm định thiết kế</t>
  </si>
  <si>
    <t>Phí thẩm định dự toán</t>
  </si>
  <si>
    <t>Chi phí giám sát khảo sát</t>
  </si>
  <si>
    <t>Tỷ lệ %</t>
  </si>
  <si>
    <t>ĐỊNH MỨC CHI PHÍ GIÁM SÁT KHẢO SÁT</t>
  </si>
  <si>
    <t>Chi phí khảo sát xây dựng (chưa có thuế GTGT) của giá gói thầu khảo sát xây dựng được duyệt (tỷ đồng)</t>
  </si>
  <si>
    <t>NĐ 63/NĐ-CP</t>
  </si>
  <si>
    <t xml:space="preserve">Chi phí lập nhiệm vụ khảo sát </t>
  </si>
  <si>
    <t>(Theo Quyết định số 957/QĐ-BXD ngày 29/9/2009 )</t>
  </si>
  <si>
    <t>2.57</t>
  </si>
  <si>
    <t>Cáp ngầm điện áp &lt; 6KV</t>
  </si>
  <si>
    <t>(Ban hành kèm theo Thông tư số 176/2011/TT-BTC ngày 6/12/2011 của Bộ Tài chính)</t>
  </si>
  <si>
    <t>Theo 79</t>
  </si>
  <si>
    <t>Theo 957</t>
  </si>
  <si>
    <t>Theo công văn 1751</t>
  </si>
  <si>
    <t>Quyết định 10-11</t>
  </si>
  <si>
    <t>CP XH</t>
  </si>
  <si>
    <t>Công trình nông nghiệp và phát triển nông thôn/Công trình thủy lợi</t>
  </si>
  <si>
    <t>Cấp ngầm điện áp 6 ¸ 110KV</t>
  </si>
  <si>
    <t>Ban hành kèm theo Thông tư số 210/2016/TT-BTC ngày 10/11/2016 của Bộ trưởng Bộ Tài chính</t>
  </si>
  <si>
    <t>Phụ lục 1: Phí thẩm định thiết kế kỹ thuật, phí thẩm định dự toán xây dựng (Thẩm định thiết kế kỹ thuật, thẩm định dự toán xây dựng đối với trường hợp thiết kế ba bước; thiết kế bản vẽ thi công, thẩm định dự toán công trình đối với trường hợp thiết kế hai bước)</t>
  </si>
  <si>
    <t>1. Phí thẩm định thiết kế kỹ thuật:</t>
  </si>
  <si>
    <t>2. Phí thẩm định dự toán</t>
  </si>
  <si>
    <t>Phụ lục 2: Phí thẩm định thiết kế kỹ thuật, phí thẩm định dự toán xây dựng khi cơ quan chuyên môn về xây dựng mời tổ chức tư vấn, cá nhân cùng thẩm định (Thẩm định thiết kế kỹ thuật, thẩm định dự toán xây dựng đối với trường hợp thiết kế ba bước; thiết kế bản vẽ thi công, dự toán công trình đối với trường hợp thiết kế hai bước)</t>
  </si>
  <si>
    <t>1. Phí thẩm định thiết kế kỹ thuật</t>
  </si>
  <si>
    <t>Phụ lục 3: Phí thẩm tra thiết kế xây dựng công trình sử dụng nguồn vốn khác (Quy định cũ - TT 210/2016/TT-BTC không có)</t>
  </si>
  <si>
    <t>$O$504:$P$512</t>
  </si>
  <si>
    <t>Thẩm định dự toán</t>
  </si>
  <si>
    <t>TT 176/2011/TT-BTC</t>
  </si>
  <si>
    <t>Thẩm định dự án đầu tư</t>
  </si>
  <si>
    <t>Thẩm định thiết kế:</t>
  </si>
  <si>
    <t>Chủ đầu tư tự thực hiện</t>
  </si>
  <si>
    <t>Chủ đầu tư tự và tư vấn cùng thực hiện</t>
  </si>
  <si>
    <t>thực hiện</t>
  </si>
  <si>
    <t>$O$409:$V$411</t>
  </si>
  <si>
    <t>C:\Du toan BN\Data\DG_User.xls</t>
  </si>
  <si>
    <t>$O$419:$X$424</t>
  </si>
  <si>
    <t>$O$439:$X$444</t>
  </si>
  <si>
    <t>$O$429:$X$434</t>
  </si>
  <si>
    <t>$O$449:$X$454</t>
  </si>
  <si>
    <t>TT 75/2014/TT-BTC</t>
  </si>
  <si>
    <t>TV5.1</t>
  </si>
  <si>
    <t>TV5.2</t>
  </si>
  <si>
    <t>9.1</t>
  </si>
  <si>
    <t>TV9.1</t>
  </si>
  <si>
    <t>9.2</t>
  </si>
  <si>
    <t>TV9.2</t>
  </si>
  <si>
    <t>$O$469:$Y$470</t>
  </si>
  <si>
    <t>Mức lương đầu vào tính toán theo Thông tư số 05/2016/TT-BXD ngày 20/3/2015</t>
  </si>
  <si>
    <t>Làm tròn định mức tỷ lệ CP tư vấn, QLDA</t>
  </si>
  <si>
    <t>$O$476:$T$484</t>
  </si>
  <si>
    <t>$O$488:$R$491</t>
  </si>
  <si>
    <t>Hệ số chi phí lập phương án kỹ thuật (%) - HsPa</t>
  </si>
  <si>
    <t>Hệ số chi phí lập báo cáo kết quả khảo sát (%) - Hsbc</t>
  </si>
  <si>
    <r>
      <t>Hệ số chi phí lập báo cáo kết quả khảo sát (%) - HS</t>
    </r>
    <r>
      <rPr>
        <vertAlign val="subscript"/>
        <sz val="11"/>
        <rFont val="Times New Roman"/>
        <family val="1"/>
      </rPr>
      <t>bc</t>
    </r>
  </si>
  <si>
    <r>
      <t>Hệ số chi phí chỗ ở tạm thời (%) - Hs</t>
    </r>
    <r>
      <rPr>
        <vertAlign val="subscript"/>
        <sz val="11"/>
        <rFont val="Times New Roman"/>
        <family val="1"/>
      </rPr>
      <t>nt</t>
    </r>
  </si>
  <si>
    <r>
      <t>Hệ số chi phí chuyển máy, thiết bị (%) - Hs</t>
    </r>
    <r>
      <rPr>
        <vertAlign val="subscript"/>
        <sz val="11"/>
        <rFont val="Times New Roman"/>
        <family val="1"/>
      </rPr>
      <t>dc</t>
    </r>
  </si>
  <si>
    <r>
      <t>Hệ số chi phí dự phòng (%) Hs</t>
    </r>
    <r>
      <rPr>
        <vertAlign val="subscript"/>
        <sz val="11"/>
        <rFont val="Times New Roman"/>
        <family val="1"/>
      </rPr>
      <t>dp</t>
    </r>
  </si>
  <si>
    <r>
      <t>Hệ số chi phí lập phương án kỹ thuật (%) - Hs</t>
    </r>
    <r>
      <rPr>
        <vertAlign val="subscript"/>
        <sz val="11"/>
        <rFont val="Times New Roman"/>
        <family val="1"/>
      </rPr>
      <t>Pa</t>
    </r>
  </si>
  <si>
    <r>
      <t>NC*Hs</t>
    </r>
    <r>
      <rPr>
        <vertAlign val="subscript"/>
        <sz val="12"/>
        <rFont val="Times New Roman"/>
        <family val="1"/>
      </rPr>
      <t>CPC</t>
    </r>
  </si>
  <si>
    <r>
      <t>A1*Hs</t>
    </r>
    <r>
      <rPr>
        <vertAlign val="subscript"/>
        <sz val="12"/>
        <rFont val="Times New Roman"/>
        <family val="1"/>
      </rPr>
      <t>VL</t>
    </r>
  </si>
  <si>
    <r>
      <t>B1*Hs</t>
    </r>
    <r>
      <rPr>
        <vertAlign val="subscript"/>
        <sz val="12"/>
        <rFont val="Times New Roman"/>
        <family val="1"/>
      </rPr>
      <t>NC</t>
    </r>
  </si>
  <si>
    <r>
      <t>C1*Hs</t>
    </r>
    <r>
      <rPr>
        <vertAlign val="subscript"/>
        <sz val="12"/>
        <rFont val="Times New Roman"/>
        <family val="1"/>
      </rPr>
      <t>MTC</t>
    </r>
  </si>
  <si>
    <r>
      <t>(Ct+P)*Hs</t>
    </r>
    <r>
      <rPr>
        <vertAlign val="subscript"/>
        <sz val="12"/>
        <rFont val="Times New Roman"/>
        <family val="1"/>
      </rPr>
      <t>TNCTTT</t>
    </r>
  </si>
  <si>
    <r>
      <t>G * Hs</t>
    </r>
    <r>
      <rPr>
        <vertAlign val="subscript"/>
        <sz val="12"/>
        <rFont val="Times New Roman"/>
        <family val="1"/>
      </rPr>
      <t>PA</t>
    </r>
  </si>
  <si>
    <r>
      <t>G * Hs</t>
    </r>
    <r>
      <rPr>
        <vertAlign val="subscript"/>
        <sz val="12"/>
        <rFont val="Times New Roman"/>
        <family val="1"/>
      </rPr>
      <t>BC</t>
    </r>
  </si>
  <si>
    <r>
      <t>G *Hs</t>
    </r>
    <r>
      <rPr>
        <vertAlign val="subscript"/>
        <sz val="12"/>
        <rFont val="Times New Roman"/>
        <family val="1"/>
      </rPr>
      <t>NT</t>
    </r>
  </si>
  <si>
    <r>
      <t>G * Hs</t>
    </r>
    <r>
      <rPr>
        <vertAlign val="subscript"/>
        <sz val="12"/>
        <rFont val="Times New Roman"/>
        <family val="1"/>
      </rPr>
      <t>DC</t>
    </r>
  </si>
  <si>
    <r>
      <t>G * HS</t>
    </r>
    <r>
      <rPr>
        <vertAlign val="subscript"/>
        <sz val="12"/>
        <rFont val="Times New Roman"/>
        <family val="1"/>
      </rPr>
      <t>VAT</t>
    </r>
  </si>
  <si>
    <r>
      <t>Gks*Hs</t>
    </r>
    <r>
      <rPr>
        <vertAlign val="subscript"/>
        <sz val="12"/>
        <rFont val="Times New Roman"/>
        <family val="1"/>
      </rPr>
      <t>DP</t>
    </r>
  </si>
  <si>
    <r>
      <t>G * Hs</t>
    </r>
    <r>
      <rPr>
        <vertAlign val="subscript"/>
        <sz val="12"/>
        <rFont val="Times New Roman"/>
        <family val="1"/>
      </rPr>
      <t>HMC</t>
    </r>
  </si>
  <si>
    <t>Hệ số chi phí hạng mục chung (%) - HsHMC</t>
  </si>
  <si>
    <t>Hệ số chi phí dự phòng (%) - HsDP</t>
  </si>
  <si>
    <r>
      <t xml:space="preserve"> - Hệ số Chi phí chung (%) - Hs</t>
    </r>
    <r>
      <rPr>
        <vertAlign val="subscript"/>
        <sz val="11"/>
        <rFont val="Times New Roman"/>
        <family val="1"/>
      </rPr>
      <t>CPC</t>
    </r>
  </si>
  <si>
    <r>
      <t xml:space="preserve"> - Hệ số Thu nhập chịu thuế tính trước (%) - Hs</t>
    </r>
    <r>
      <rPr>
        <vertAlign val="subscript"/>
        <sz val="11"/>
        <rFont val="Times New Roman"/>
        <family val="1"/>
      </rPr>
      <t>TNCTTT</t>
    </r>
  </si>
  <si>
    <r>
      <t xml:space="preserve"> - Hệ số Vật liệu của từng hạng mục tương ứng - Hs</t>
    </r>
    <r>
      <rPr>
        <vertAlign val="subscript"/>
        <sz val="11"/>
        <rFont val="Times New Roman"/>
        <family val="1"/>
      </rPr>
      <t>VL</t>
    </r>
  </si>
  <si>
    <r>
      <t xml:space="preserve"> - Hệ số Nhân công của từng hạng mục tương ứng - Hs</t>
    </r>
    <r>
      <rPr>
        <vertAlign val="subscript"/>
        <sz val="11"/>
        <rFont val="Times New Roman"/>
        <family val="1"/>
      </rPr>
      <t>NC</t>
    </r>
  </si>
  <si>
    <r>
      <t xml:space="preserve"> - Hệ số Máy thi công của từng hạng mục tương ứng  - Hs</t>
    </r>
    <r>
      <rPr>
        <vertAlign val="subscript"/>
        <sz val="11"/>
        <rFont val="Times New Roman"/>
        <family val="1"/>
      </rPr>
      <t>MTC</t>
    </r>
  </si>
  <si>
    <r>
      <t>(T+C)*Hs</t>
    </r>
    <r>
      <rPr>
        <b/>
        <vertAlign val="subscript"/>
        <sz val="11"/>
        <rFont val="Times New Roman"/>
        <family val="1"/>
      </rPr>
      <t>TNCTTT</t>
    </r>
  </si>
  <si>
    <t>QĐ 79/QĐ-BXD</t>
  </si>
  <si>
    <t>CV 1751/BXD-VP</t>
  </si>
  <si>
    <t>Chênh lệch Nhân công</t>
  </si>
  <si>
    <t>Chênh lệch Máy thi công</t>
  </si>
  <si>
    <t>GNoisuy</t>
  </si>
  <si>
    <t>Chi phí xây dựng trước thuế (Nôi suy)</t>
  </si>
  <si>
    <t>Bảng THKP</t>
  </si>
  <si>
    <t>+ Thẩm tra báo cáo khả thi/Thẩm tra hiệu quả khả thi của DAĐT</t>
  </si>
  <si>
    <t>+ Thẩm tra báo cáo tiền khả thi/Thẩm tra thiết kế kỹ thuật</t>
  </si>
  <si>
    <t>F. ĐỊNH MỨC CHI PHÍ THẨM TRA THIẾT KẾ BẢN VẼ THI CÔNG CÔNG TRÌNH THIẾT KẾ 3 BƯỚC (40% THẨM TRA TK KT)</t>
  </si>
  <si>
    <t>2.2</t>
  </si>
  <si>
    <t>TV2.2</t>
  </si>
  <si>
    <t>TV6.1</t>
  </si>
  <si>
    <t>TV6.2</t>
  </si>
  <si>
    <t>Địa chỉ nội suy</t>
  </si>
  <si>
    <t>Dòng 
địa chỉ Ns</t>
  </si>
  <si>
    <t>_89</t>
  </si>
  <si>
    <t>HoChiMinh_2017.xls</t>
  </si>
  <si>
    <t>$O$39:$AA$44</t>
  </si>
  <si>
    <t>$O$55:$S$60</t>
  </si>
  <si>
    <t>$O$529:$AA$534</t>
  </si>
  <si>
    <t>$N$94:$S$105</t>
  </si>
  <si>
    <t>$O$518:$AA$523</t>
  </si>
  <si>
    <t>$N$64:$S$75</t>
  </si>
  <si>
    <t>$N$79:$S$90</t>
  </si>
  <si>
    <t>$N$139:$S$150</t>
  </si>
  <si>
    <t>$N$198:$S$209</t>
  </si>
  <si>
    <t>$N$243:$S$254</t>
  </si>
  <si>
    <t>$N$288:$S$299</t>
  </si>
  <si>
    <t>$N$109:$S$120</t>
  </si>
  <si>
    <t>$N$168:$S$179</t>
  </si>
  <si>
    <t>$N$213:$S$224</t>
  </si>
  <si>
    <t>$N$258:$S$269</t>
  </si>
  <si>
    <t>$N$124:$S$135</t>
  </si>
  <si>
    <t>$N$183:$S$194</t>
  </si>
  <si>
    <t>$N$228:$S$239</t>
  </si>
  <si>
    <t>$N$273:$S$284</t>
  </si>
  <si>
    <t>$O$539:$AA$544</t>
  </si>
  <si>
    <t>$O$549:$AA$554</t>
  </si>
  <si>
    <t>$O$328:$Z$333</t>
  </si>
  <si>
    <t>$O$336:$Z$341</t>
  </si>
  <si>
    <t>$O$352:$W$357</t>
  </si>
  <si>
    <t>$O$360:$W$365</t>
  </si>
  <si>
    <t>$O$376:$W$381</t>
  </si>
  <si>
    <t>$O$384:$W$389</t>
  </si>
  <si>
    <t>$O$392:$Z$397</t>
  </si>
  <si>
    <t>$O$400:$Z$405</t>
  </si>
  <si>
    <t>C:\Du toan BN\Data\HoChiMinh_2016\HoChiMinh_2017.xls</t>
  </si>
  <si>
    <t>TRƯỜNG CAO ĐẲNG LÝ TỰ TRỌNG</t>
  </si>
  <si>
    <t>390 HOÀNG VĂN THỤ, P4, QUẬN TÂN BÌNH</t>
  </si>
  <si>
    <t>PHẦN THÁO DỠ</t>
  </si>
  <si>
    <t>AA.31312</t>
  </si>
  <si>
    <t>Tháo dỡ cửa</t>
  </si>
  <si>
    <t>SA.11811</t>
  </si>
  <si>
    <t>Cạo bỏ lớp sơn cũ trên tường, cột, trụ</t>
  </si>
  <si>
    <t>Tường :</t>
  </si>
  <si>
    <t>SA.11812</t>
  </si>
  <si>
    <t>Cạo bỏ lớp sơn cũ trên trần</t>
  </si>
  <si>
    <t>SA.11824</t>
  </si>
  <si>
    <t>Cạo bỏ lớp sơn cũ trên kim loại</t>
  </si>
  <si>
    <t>PHẦN CẢI TẠO</t>
  </si>
  <si>
    <t>AE.52114</t>
  </si>
  <si>
    <t>Xây tường bằng gạch thẻ 4x8x18, dày&lt;=10cm, cao &lt;= 4m, vữa xi măng Mác 75</t>
  </si>
  <si>
    <t>Tường bó nền cửa :</t>
  </si>
  <si>
    <t>AE.54114</t>
  </si>
  <si>
    <t>Xây các bộ phận kết cấu phức tạp khác bằng gạch thẻ 4x8x18, cao &lt;=4m, vữa xi măng Mác 75</t>
  </si>
  <si>
    <t>Bậc cấp trước cửa đi:</t>
  </si>
  <si>
    <t>AB.66142</t>
  </si>
  <si>
    <t>Đắp cát công trình bằng máy đầm cóc Độ chặt yêu cầu K=0,90</t>
  </si>
  <si>
    <t>AF.61711</t>
  </si>
  <si>
    <t>Sản xuất lắp dựng cốt thép sàn, đường kính cốt thép &lt;=10mm</t>
  </si>
  <si>
    <t>AF.11314</t>
  </si>
  <si>
    <t>Bê tông nền, đá 1x2 Mác 250</t>
  </si>
  <si>
    <t>Bạt lót đổ bê tông nền</t>
  </si>
  <si>
    <t>AK.84112</t>
  </si>
  <si>
    <t>Sơn dầm, trần, tường trong nhà, đã bả 1 nước lót, 2 nước phủ</t>
  </si>
  <si>
    <t>AI.63121</t>
  </si>
  <si>
    <t xml:space="preserve">Lắp dựng cửa khung nhôm </t>
  </si>
  <si>
    <t xml:space="preserve">Lắp dựng cửa kính bản lề sàn </t>
  </si>
  <si>
    <t>XDCT_2016</t>
  </si>
  <si>
    <t>XD1776</t>
  </si>
  <si>
    <r>
      <t>V1 :  : 1 x 3,8 x 2,9 =</t>
    </r>
    <r>
      <rPr>
        <sz val="10"/>
        <color rgb="FFFF0000"/>
        <rFont val="Times New Roman"/>
        <family val="1"/>
      </rPr>
      <t xml:space="preserve"> 11,02</t>
    </r>
  </si>
  <si>
    <r>
      <t>D1:1 x 3,2 x 2,25 =</t>
    </r>
    <r>
      <rPr>
        <sz val="10"/>
        <color rgb="FFFF0000"/>
        <rFont val="Times New Roman"/>
        <family val="1"/>
      </rPr>
      <t xml:space="preserve"> 7,2</t>
    </r>
  </si>
  <si>
    <r>
      <t>DN1 :1 x 3,72 x 2,25 =</t>
    </r>
    <r>
      <rPr>
        <sz val="10"/>
        <color rgb="FFFF0000"/>
        <rFont val="Times New Roman"/>
        <family val="1"/>
      </rPr>
      <t xml:space="preserve"> 8,37</t>
    </r>
  </si>
  <si>
    <r>
      <t>DN2 :3 x 1,3 x 2,25 =</t>
    </r>
    <r>
      <rPr>
        <sz val="10"/>
        <color rgb="FFFF0000"/>
        <rFont val="Times New Roman"/>
        <family val="1"/>
      </rPr>
      <t xml:space="preserve"> 8,775</t>
    </r>
  </si>
  <si>
    <r>
      <t>SN1: : 2 x 3,8 x 2,3 =</t>
    </r>
    <r>
      <rPr>
        <sz val="10"/>
        <color rgb="FFFF0000"/>
        <rFont val="Times New Roman"/>
        <family val="1"/>
      </rPr>
      <t xml:space="preserve"> 17,48</t>
    </r>
  </si>
  <si>
    <r>
      <t>VN1 :2 x 5,1 x 2,3 =</t>
    </r>
    <r>
      <rPr>
        <sz val="10"/>
        <color rgb="FFFF0000"/>
        <rFont val="Times New Roman"/>
        <family val="1"/>
      </rPr>
      <t xml:space="preserve"> 23,46</t>
    </r>
  </si>
  <si>
    <r>
      <t>VN2 :1 x 5,8 x 2,3 =</t>
    </r>
    <r>
      <rPr>
        <sz val="10"/>
        <color rgb="FFFF0000"/>
        <rFont val="Times New Roman"/>
        <family val="1"/>
      </rPr>
      <t xml:space="preserve"> 13,34</t>
    </r>
  </si>
  <si>
    <r>
      <t>VN3 :4 x 3,8 x 2,3 =</t>
    </r>
    <r>
      <rPr>
        <sz val="10"/>
        <color rgb="FFFF0000"/>
        <rFont val="Times New Roman"/>
        <family val="1"/>
      </rPr>
      <t xml:space="preserve"> 34,96</t>
    </r>
  </si>
  <si>
    <t>SC1129</t>
  </si>
  <si>
    <r>
      <t>Phòng thủ thư :28 =</t>
    </r>
    <r>
      <rPr>
        <sz val="10"/>
        <color rgb="FFFF0000"/>
        <rFont val="Times New Roman"/>
        <family val="1"/>
      </rPr>
      <t xml:space="preserve"> 28</t>
    </r>
  </si>
  <si>
    <r>
      <t>Khu để sách :156 =</t>
    </r>
    <r>
      <rPr>
        <sz val="10"/>
        <color rgb="FFFF0000"/>
        <rFont val="Times New Roman"/>
        <family val="1"/>
      </rPr>
      <t xml:space="preserve"> 156</t>
    </r>
  </si>
  <si>
    <r>
      <t>Phòng đọc sách : 359 =</t>
    </r>
    <r>
      <rPr>
        <sz val="10"/>
        <color rgb="FFFF0000"/>
        <rFont val="Times New Roman"/>
        <family val="1"/>
      </rPr>
      <t xml:space="preserve"> 359</t>
    </r>
  </si>
  <si>
    <r>
      <t>Phòng đọc giáo viện :51 =</t>
    </r>
    <r>
      <rPr>
        <sz val="10"/>
        <color rgb="FFFF0000"/>
        <rFont val="Times New Roman"/>
        <family val="1"/>
      </rPr>
      <t xml:space="preserve"> 51</t>
    </r>
  </si>
  <si>
    <r>
      <t>D1:1 x 3,2 x 2 =</t>
    </r>
    <r>
      <rPr>
        <sz val="10"/>
        <color rgb="FFFF0000"/>
        <rFont val="Times New Roman"/>
        <family val="1"/>
      </rPr>
      <t xml:space="preserve"> 6,4</t>
    </r>
  </si>
  <si>
    <t>B2224</t>
  </si>
  <si>
    <t>AE.52110</t>
  </si>
  <si>
    <r>
      <t>V1 : 1 x 3,8 x 0,2 x 0,3 =</t>
    </r>
    <r>
      <rPr>
        <sz val="10"/>
        <color rgb="FFFF0000"/>
        <rFont val="Times New Roman"/>
        <family val="1"/>
      </rPr>
      <t xml:space="preserve"> 0,228</t>
    </r>
  </si>
  <si>
    <r>
      <t>D1:1 x 3,2 x 0,2 x 0,3 =</t>
    </r>
    <r>
      <rPr>
        <sz val="10"/>
        <color rgb="FFFF0000"/>
        <rFont val="Times New Roman"/>
        <family val="1"/>
      </rPr>
      <t xml:space="preserve"> 0,192</t>
    </r>
  </si>
  <si>
    <t>AE.54110</t>
  </si>
  <si>
    <r>
      <t>V1 : 1 x 3,8 x 0,3 x 0,15 =</t>
    </r>
    <r>
      <rPr>
        <sz val="10"/>
        <color rgb="FFFF0000"/>
        <rFont val="Times New Roman"/>
        <family val="1"/>
      </rPr>
      <t xml:space="preserve"> 0,171</t>
    </r>
  </si>
  <si>
    <r>
      <t>D1:1 x 3,2 x 0,3 x 0,15 =</t>
    </r>
    <r>
      <rPr>
        <sz val="10"/>
        <color rgb="FFFF0000"/>
        <rFont val="Times New Roman"/>
        <family val="1"/>
      </rPr>
      <t xml:space="preserve"> 0,144</t>
    </r>
  </si>
  <si>
    <t>100m3</t>
  </si>
  <si>
    <r>
      <t>1000 x 0,001 =</t>
    </r>
    <r>
      <rPr>
        <sz val="10"/>
        <color rgb="FFFF0000"/>
        <rFont val="Times New Roman"/>
        <family val="1"/>
      </rPr>
      <t xml:space="preserve"> 1</t>
    </r>
  </si>
  <si>
    <t>C3124</t>
  </si>
  <si>
    <t>AF.11310</t>
  </si>
  <si>
    <r>
      <t>Phòng đọc sách : 359 x 0,1 =</t>
    </r>
    <r>
      <rPr>
        <sz val="10"/>
        <color rgb="FFFF0000"/>
        <rFont val="Times New Roman"/>
        <family val="1"/>
      </rPr>
      <t xml:space="preserve"> 35,9</t>
    </r>
  </si>
  <si>
    <r>
      <t>Phòng đọc giáo viện :51 x 0,1 =</t>
    </r>
    <r>
      <rPr>
        <sz val="10"/>
        <color rgb="FFFF0000"/>
        <rFont val="Times New Roman"/>
        <family val="1"/>
      </rPr>
      <t xml:space="preserve"> 5,1</t>
    </r>
  </si>
  <si>
    <r>
      <t>Phòng thủ thư :28 x 0,1 =</t>
    </r>
    <r>
      <rPr>
        <sz val="10"/>
        <color rgb="FFFF0000"/>
        <rFont val="Times New Roman"/>
        <family val="1"/>
      </rPr>
      <t xml:space="preserve"> 2,8</t>
    </r>
  </si>
  <si>
    <r>
      <t>Khu để sách :156 x 0,1 =</t>
    </r>
    <r>
      <rPr>
        <sz val="10"/>
        <color rgb="FFFF0000"/>
        <rFont val="Times New Roman"/>
        <family val="1"/>
      </rPr>
      <t xml:space="preserve"> 15,6</t>
    </r>
  </si>
  <si>
    <t>XD1172</t>
  </si>
  <si>
    <r>
      <t>TƯỜNG   : 236,12 =</t>
    </r>
    <r>
      <rPr>
        <sz val="10"/>
        <color rgb="FFFF0000"/>
        <rFont val="Times New Roman"/>
        <family val="1"/>
      </rPr>
      <t xml:space="preserve"> 236,12</t>
    </r>
  </si>
  <si>
    <r>
      <t>TRẦN   : 594 =</t>
    </r>
    <r>
      <rPr>
        <sz val="10"/>
        <color rgb="FFFF0000"/>
        <rFont val="Times New Roman"/>
        <family val="1"/>
      </rPr>
      <t xml:space="preserve"> 594</t>
    </r>
  </si>
  <si>
    <r>
      <t>V1 : 1 x 3,8 x 2,65 =</t>
    </r>
    <r>
      <rPr>
        <sz val="10"/>
        <color rgb="FFFF0000"/>
        <rFont val="Times New Roman"/>
        <family val="1"/>
      </rPr>
      <t xml:space="preserve"> 10,07</t>
    </r>
  </si>
  <si>
    <t>Nhân công nhóm II, bậc 3,5/7</t>
  </si>
  <si>
    <t>Nhân công</t>
  </si>
  <si>
    <t>Nhân công nhóm II, bậc 3,7/7</t>
  </si>
  <si>
    <t>V.1777</t>
  </si>
  <si>
    <t>V.3595</t>
  </si>
  <si>
    <t>Xi măng PC40</t>
  </si>
  <si>
    <t>V.0562</t>
  </si>
  <si>
    <t>Cát mịn ML=1,5-2,0</t>
  </si>
  <si>
    <t>V.2310</t>
  </si>
  <si>
    <t>Nước</t>
  </si>
  <si>
    <t>VLK</t>
  </si>
  <si>
    <t>Vật liệu khác</t>
  </si>
  <si>
    <t>Nhân công nhóm I, bậc 3,5/7</t>
  </si>
  <si>
    <t>M0610.0321</t>
  </si>
  <si>
    <t>Máy trộn vữa - dung tích: 80 lít</t>
  </si>
  <si>
    <t>ca</t>
  </si>
  <si>
    <t>Vật liệu</t>
  </si>
  <si>
    <t>Máy thi công</t>
  </si>
  <si>
    <t>V.0558</t>
  </si>
  <si>
    <t>Cát đen</t>
  </si>
  <si>
    <t>Nhân công nhóm I, bậc 3,0/7</t>
  </si>
  <si>
    <t>M0610.0080</t>
  </si>
  <si>
    <t>Máy đầm đất cầm tay - trọng lượng : 60 kg</t>
  </si>
  <si>
    <t>MK</t>
  </si>
  <si>
    <t>Máy khác</t>
  </si>
  <si>
    <t>V.3314</t>
  </si>
  <si>
    <t>Thép tròn đường kính &lt;=10 mm</t>
  </si>
  <si>
    <t>V.1512</t>
  </si>
  <si>
    <t>Dây thép</t>
  </si>
  <si>
    <t>M0610.0524</t>
  </si>
  <si>
    <t>Máy cắt uốn cốt thép - công suất: 5 kW</t>
  </si>
  <si>
    <t>V.0567</t>
  </si>
  <si>
    <t>Cát vàng (ML &gt;2)</t>
  </si>
  <si>
    <t>V.1287</t>
  </si>
  <si>
    <t>Đá 1x2</t>
  </si>
  <si>
    <t>M0610.0315</t>
  </si>
  <si>
    <t>Máy trộn bê tông - dung tích: 250 lít</t>
  </si>
  <si>
    <t>M0610.0352</t>
  </si>
  <si>
    <t>Máy đầm bê tông, đầm bàn - công suất: 1,0 kW</t>
  </si>
  <si>
    <t>V.3598</t>
  </si>
  <si>
    <t>Xi măng trắng</t>
  </si>
  <si>
    <t>Nhân công nhóm I, bậc 4/7</t>
  </si>
  <si>
    <t>M0610.0511</t>
  </si>
  <si>
    <t>Máy cắt gạch đá - công suất: 1,7 kW</t>
  </si>
  <si>
    <t>V.3083</t>
  </si>
  <si>
    <t>V.3105</t>
  </si>
  <si>
    <t>V.0082</t>
  </si>
  <si>
    <t>Bật sắt d= 10mm</t>
  </si>
  <si>
    <t>cái</t>
  </si>
  <si>
    <t>M2</t>
  </si>
  <si>
    <t>N102.35.07B1</t>
  </si>
  <si>
    <t>N102.37.07B1</t>
  </si>
  <si>
    <t>V.1777B1</t>
  </si>
  <si>
    <t>V.3595B1</t>
  </si>
  <si>
    <t>V.0562B1</t>
  </si>
  <si>
    <t>V.2310B1</t>
  </si>
  <si>
    <t>N101.35.07B1</t>
  </si>
  <si>
    <t>M0610.0321B1</t>
  </si>
  <si>
    <t>V.0558B1</t>
  </si>
  <si>
    <t>N101.30.07B1</t>
  </si>
  <si>
    <t>M0610.0080B1</t>
  </si>
  <si>
    <t>V.3314B1</t>
  </si>
  <si>
    <t>V.1512B1</t>
  </si>
  <si>
    <t>M0610.0524B1</t>
  </si>
  <si>
    <t>V.0567B1</t>
  </si>
  <si>
    <t>V.1287B1</t>
  </si>
  <si>
    <t>M0610.0315B1</t>
  </si>
  <si>
    <t>M0610.0352B1</t>
  </si>
  <si>
    <t>V.3598B1</t>
  </si>
  <si>
    <t>N101.40.07B1</t>
  </si>
  <si>
    <t>M0610.0511B1</t>
  </si>
  <si>
    <t>V.3083B1</t>
  </si>
  <si>
    <t>V.3105B1</t>
  </si>
  <si>
    <t>V.0082B1</t>
  </si>
  <si>
    <t>TCVL</t>
  </si>
  <si>
    <t>TCNC</t>
  </si>
  <si>
    <t>TCMTC</t>
  </si>
  <si>
    <r>
      <t>Phòng đọc sách : 359 x 0,1 x 0,01 =</t>
    </r>
    <r>
      <rPr>
        <sz val="10"/>
        <color rgb="FFFF0000"/>
        <rFont val="Times New Roman"/>
        <family val="1"/>
      </rPr>
      <t xml:space="preserve"> 0,359</t>
    </r>
  </si>
  <si>
    <r>
      <t>Phòng đọc giáo viện :51 x 0,1 x 0,01 =</t>
    </r>
    <r>
      <rPr>
        <sz val="10"/>
        <color rgb="FFFF0000"/>
        <rFont val="Times New Roman"/>
        <family val="1"/>
      </rPr>
      <t xml:space="preserve"> 0,051</t>
    </r>
  </si>
  <si>
    <r>
      <t>Phòng thủ thư : : 28 x 0,1 x 0,01 =</t>
    </r>
    <r>
      <rPr>
        <sz val="10"/>
        <color rgb="FFFF0000"/>
        <rFont val="Times New Roman"/>
        <family val="1"/>
      </rPr>
      <t xml:space="preserve"> 0,028</t>
    </r>
  </si>
  <si>
    <r>
      <t>Khu để sách :156 x 0,1 x 0,01 =</t>
    </r>
    <r>
      <rPr>
        <sz val="10"/>
        <color rgb="FFFF0000"/>
        <rFont val="Times New Roman"/>
        <family val="1"/>
      </rPr>
      <t xml:space="preserve"> 0,156</t>
    </r>
  </si>
  <si>
    <r>
      <t>DN1: 1 x 3,72 x 2 =</t>
    </r>
    <r>
      <rPr>
        <sz val="10"/>
        <color rgb="FFFF0000"/>
        <rFont val="Times New Roman"/>
        <family val="1"/>
      </rPr>
      <t xml:space="preserve"> 7,44</t>
    </r>
  </si>
  <si>
    <r>
      <t>DN2:3 x 1,3 x 2 =</t>
    </r>
    <r>
      <rPr>
        <sz val="10"/>
        <color rgb="FFFF0000"/>
        <rFont val="Times New Roman"/>
        <family val="1"/>
      </rPr>
      <t xml:space="preserve"> 7,8</t>
    </r>
  </si>
  <si>
    <r>
      <t>Trục A/3-7 :  : 1 x 16 x 2,9 x 2x0,2 =</t>
    </r>
    <r>
      <rPr>
        <sz val="10"/>
        <color rgb="FFFF0000"/>
        <rFont val="Times New Roman"/>
        <family val="1"/>
      </rPr>
      <t xml:space="preserve"> 18,56</t>
    </r>
  </si>
  <si>
    <r>
      <t>Phòng đọc sách : 359x0,2 =</t>
    </r>
    <r>
      <rPr>
        <sz val="10"/>
        <color rgb="FFFF0000"/>
        <rFont val="Times New Roman"/>
        <family val="1"/>
      </rPr>
      <t xml:space="preserve"> 71,8</t>
    </r>
  </si>
  <si>
    <r>
      <t>Trừ cửa V1 :  : -1 x 3,8 x 2,25 x 2x0,2 =</t>
    </r>
    <r>
      <rPr>
        <sz val="10"/>
        <color rgb="FFFF0000"/>
        <rFont val="Times New Roman"/>
        <family val="1"/>
      </rPr>
      <t xml:space="preserve"> -3,42</t>
    </r>
  </si>
  <si>
    <r>
      <t>Trừ cửa K1 :  : -3 x 3,8 x 1,7 x 2x0,2 =</t>
    </r>
    <r>
      <rPr>
        <sz val="10"/>
        <color rgb="FFFF0000"/>
        <rFont val="Times New Roman"/>
        <family val="1"/>
      </rPr>
      <t xml:space="preserve"> -7,752</t>
    </r>
  </si>
  <si>
    <r>
      <t>Trục D/7-8 :  : 1 x 4 x 2,9x0,2 =</t>
    </r>
    <r>
      <rPr>
        <sz val="10"/>
        <color rgb="FFFF0000"/>
        <rFont val="Times New Roman"/>
        <family val="1"/>
      </rPr>
      <t xml:space="preserve"> 2,32</t>
    </r>
  </si>
  <si>
    <r>
      <t>Trục G/7-8 :  : 1 x 4 x 2,9x0,2 =</t>
    </r>
    <r>
      <rPr>
        <sz val="10"/>
        <color rgb="FFFF0000"/>
        <rFont val="Times New Roman"/>
        <family val="1"/>
      </rPr>
      <t xml:space="preserve"> 2,32</t>
    </r>
  </si>
  <si>
    <r>
      <t>Trục I/3-7 : 1 x 16 x 2,9x0,2 =</t>
    </r>
    <r>
      <rPr>
        <sz val="10"/>
        <color rgb="FFFF0000"/>
        <rFont val="Times New Roman"/>
        <family val="1"/>
      </rPr>
      <t xml:space="preserve"> 9,28</t>
    </r>
  </si>
  <si>
    <r>
      <t>Trừ cửa S1 : -2 x 1,9 x 1,4x0,2 =</t>
    </r>
    <r>
      <rPr>
        <sz val="10"/>
        <color rgb="FFFF0000"/>
        <rFont val="Times New Roman"/>
        <family val="1"/>
      </rPr>
      <t xml:space="preserve"> -1,064</t>
    </r>
  </si>
  <si>
    <r>
      <t>Trừ cửa D1 : -1 x 3,2 x 2,25x0,2 =</t>
    </r>
    <r>
      <rPr>
        <sz val="10"/>
        <color rgb="FFFF0000"/>
        <rFont val="Times New Roman"/>
        <family val="1"/>
      </rPr>
      <t xml:space="preserve"> -1,44</t>
    </r>
  </si>
  <si>
    <r>
      <t>Trục 3/A-C :  : 1 x 13 x 2,9x0,2 =</t>
    </r>
    <r>
      <rPr>
        <sz val="10"/>
        <color rgb="FFFF0000"/>
        <rFont val="Times New Roman"/>
        <family val="1"/>
      </rPr>
      <t xml:space="preserve"> 7,54</t>
    </r>
  </si>
  <si>
    <r>
      <t>Trục 7/A-D :  : 1 x 20 x 2,9x0,2 =</t>
    </r>
    <r>
      <rPr>
        <sz val="10"/>
        <color rgb="FFFF0000"/>
        <rFont val="Times New Roman"/>
        <family val="1"/>
      </rPr>
      <t xml:space="preserve"> 11,6</t>
    </r>
  </si>
  <si>
    <r>
      <t>Trục 7/G-I :  : 1 x 8 x 2,9 x0,2 =</t>
    </r>
    <r>
      <rPr>
        <sz val="10"/>
        <color rgb="FFFF0000"/>
        <rFont val="Times New Roman"/>
        <family val="1"/>
      </rPr>
      <t xml:space="preserve"> 4,64</t>
    </r>
  </si>
  <si>
    <r>
      <t>Trục 8/D-G :  : 1 x 8 x 2,9x0,2 =</t>
    </r>
    <r>
      <rPr>
        <sz val="10"/>
        <color rgb="FFFF0000"/>
        <rFont val="Times New Roman"/>
        <family val="1"/>
      </rPr>
      <t xml:space="preserve"> 4,64</t>
    </r>
  </si>
  <si>
    <r>
      <t>Phòng đọc giáo viện :51x0,2 =</t>
    </r>
    <r>
      <rPr>
        <sz val="10"/>
        <color rgb="FFFF0000"/>
        <rFont val="Times New Roman"/>
        <family val="1"/>
      </rPr>
      <t xml:space="preserve"> 10,2</t>
    </r>
  </si>
  <si>
    <r>
      <t>Phòng thủ thư :28x0,2 =</t>
    </r>
    <r>
      <rPr>
        <sz val="10"/>
        <color rgb="FFFF0000"/>
        <rFont val="Times New Roman"/>
        <family val="1"/>
      </rPr>
      <t xml:space="preserve"> 5,6</t>
    </r>
  </si>
  <si>
    <r>
      <t>Khu để sách : : 156x0,2 =</t>
    </r>
    <r>
      <rPr>
        <sz val="10"/>
        <color rgb="FFFF0000"/>
        <rFont val="Times New Roman"/>
        <family val="1"/>
      </rPr>
      <t xml:space="preserve"> 31,2</t>
    </r>
  </si>
  <si>
    <t>Gạch thẻ 4x8x19cm</t>
  </si>
  <si>
    <t>Sơn lót Super ATa</t>
  </si>
  <si>
    <t>Sơn phủ Super Ata mịn trong nhà</t>
  </si>
  <si>
    <t>TV1+...+TV3</t>
  </si>
  <si>
    <t>K1+...+K4</t>
  </si>
  <si>
    <t>AK.51250</t>
  </si>
  <si>
    <t>AK.51250M</t>
  </si>
  <si>
    <t>Lát nền, sàn, vữa xi măng mác 75, kích thước gạch 400x400mm</t>
  </si>
  <si>
    <t>V.1693</t>
  </si>
  <si>
    <t>Gạch 400x400</t>
  </si>
  <si>
    <t>V.1693B1</t>
  </si>
  <si>
    <t>CẢI TẠO THƯ VIỆN GIAI ĐOẠN 2 -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</si>
</sst>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3" formatCode="_(* #,##0.00_);_(* \(#,##0.00\);_(* &quot;-&quot;??_);_(@_)"/>
    <numFmt numFmtId="164" formatCode="dd"/>
    <numFmt numFmtId="165" formatCode="mm"/>
    <numFmt numFmtId="166" formatCode="yyyy"/>
    <numFmt numFmtId="167" formatCode=";;;"/>
    <numFmt numFmtId="168" formatCode="_(* #,##0_);_(* \(#,##0\);_(* &quot;-&quot;??_);_(@_)"/>
    <numFmt numFmtId="169" formatCode="#,##0.0000"/>
    <numFmt numFmtId="170" formatCode="#,##0.000"/>
    <numFmt numFmtId="171" formatCode="#,###"/>
    <numFmt numFmtId="172" formatCode="0.000%"/>
    <numFmt numFmtId="173" formatCode="0.000"/>
    <numFmt numFmtId="174" formatCode="0.0000"/>
    <numFmt numFmtId="175" formatCode="0.00000"/>
    <numFmt numFmtId="176" formatCode="0.0%"/>
    <numFmt numFmtId="177" formatCode="\=\ \R\3\7\C\+\R\3\8\C\+\R\3\9\C"/>
    <numFmt numFmtId="178" formatCode="_(* #,##0.000000_);_(* \(#,##0.000000\);_(* &quot;-&quot;??_);_(@_)"/>
  </numFmts>
  <fonts count="120" x14ac:knownFonts="1">
    <font>
      <sz val="10"/>
      <name val="Arial"/>
    </font>
    <font>
      <sz val="10"/>
      <name val="Arial"/>
      <family val="2"/>
    </font>
    <font>
      <sz val="8"/>
      <name val="Arial"/>
      <family val="2"/>
    </font>
    <font>
      <sz val="10"/>
      <name val="Times New Roman"/>
      <family val="1"/>
    </font>
    <font>
      <sz val="11"/>
      <name val="Times New Roman"/>
      <family val="1"/>
    </font>
    <font>
      <sz val="12"/>
      <name val="Times New Roman"/>
      <family val="1"/>
    </font>
    <font>
      <sz val="12"/>
      <name val=".VnTime"/>
      <family val="2"/>
    </font>
    <font>
      <b/>
      <sz val="11"/>
      <name val="Times New Roman"/>
      <family val="1"/>
    </font>
    <font>
      <b/>
      <sz val="12"/>
      <name val="Times New Roman"/>
      <family val="1"/>
    </font>
    <font>
      <i/>
      <sz val="12"/>
      <name val="Times New Roman"/>
      <family val="1"/>
    </font>
    <font>
      <b/>
      <sz val="28"/>
      <name val="Times New Roman"/>
      <family val="1"/>
    </font>
    <font>
      <b/>
      <sz val="20"/>
      <name val="Times New Roman"/>
      <family val="1"/>
    </font>
    <font>
      <b/>
      <sz val="10"/>
      <name val="Times New Roman"/>
      <family val="1"/>
    </font>
    <font>
      <b/>
      <sz val="18"/>
      <name val="Times New Roman"/>
      <family val="1"/>
    </font>
    <font>
      <sz val="18"/>
      <name val="Times New Roman"/>
      <family val="1"/>
    </font>
    <font>
      <b/>
      <u/>
      <sz val="12"/>
      <name val="Times New Roman"/>
      <family val="1"/>
    </font>
    <font>
      <b/>
      <sz val="12"/>
      <name val=".Vntime"/>
      <family val="2"/>
    </font>
    <font>
      <sz val="12"/>
      <name val="Symbol"/>
      <family val="1"/>
      <charset val="2"/>
    </font>
    <font>
      <b/>
      <sz val="9"/>
      <name val="Times New Roman"/>
      <family val="1"/>
    </font>
    <font>
      <b/>
      <sz val="16"/>
      <name val="Times New Roman"/>
      <family val="1"/>
    </font>
    <font>
      <sz val="9"/>
      <color indexed="81"/>
      <name val="Tahoma"/>
      <family val="2"/>
    </font>
    <font>
      <b/>
      <i/>
      <sz val="12"/>
      <name val="Times New Roman"/>
      <family val="1"/>
    </font>
    <font>
      <b/>
      <i/>
      <sz val="11"/>
      <name val="Times New Roman"/>
      <family val="1"/>
    </font>
    <font>
      <i/>
      <sz val="11"/>
      <name val="Times New Roman"/>
      <family val="1"/>
    </font>
    <font>
      <sz val="14"/>
      <name val="Times New Roman"/>
      <family val="1"/>
    </font>
    <font>
      <b/>
      <u/>
      <sz val="11"/>
      <name val="Times New Roman"/>
      <family val="1"/>
    </font>
    <font>
      <i/>
      <sz val="10"/>
      <name val="Times New Roman"/>
      <family val="1"/>
    </font>
    <font>
      <sz val="9"/>
      <name val="Times New Roman"/>
      <family val="1"/>
    </font>
    <font>
      <sz val="16"/>
      <name val="Times New Roman"/>
      <family val="1"/>
    </font>
    <font>
      <sz val="16"/>
      <color indexed="8"/>
      <name val="Times New Roman"/>
      <family val="1"/>
    </font>
    <font>
      <i/>
      <sz val="11"/>
      <color indexed="8"/>
      <name val="Times New Roman"/>
      <family val="1"/>
    </font>
    <font>
      <sz val="11"/>
      <color indexed="8"/>
      <name val="Times New Roman"/>
      <family val="1"/>
    </font>
    <font>
      <b/>
      <vertAlign val="subscript"/>
      <sz val="11"/>
      <name val="Times New Roman"/>
      <family val="1"/>
    </font>
    <font>
      <vertAlign val="subscript"/>
      <sz val="11"/>
      <name val="Times New Roman"/>
      <family val="1"/>
    </font>
    <font>
      <sz val="11"/>
      <color indexed="9"/>
      <name val="Times New Roman"/>
      <family val="1"/>
    </font>
    <font>
      <b/>
      <sz val="11"/>
      <color indexed="9"/>
      <name val="Times New Roman"/>
      <family val="1"/>
    </font>
    <font>
      <sz val="11"/>
      <color indexed="18"/>
      <name val="Times New Roman"/>
      <family val="1"/>
    </font>
    <font>
      <b/>
      <sz val="8"/>
      <name val="Times New Roman"/>
      <family val="1"/>
    </font>
    <font>
      <b/>
      <sz val="8"/>
      <name val="Arial"/>
      <family val="2"/>
    </font>
    <font>
      <sz val="8"/>
      <name val="Times New Roman"/>
      <family val="1"/>
    </font>
    <font>
      <vertAlign val="subscript"/>
      <sz val="12"/>
      <name val="Times New Roman"/>
      <family val="1"/>
    </font>
    <font>
      <b/>
      <i/>
      <u/>
      <sz val="11"/>
      <name val="Times New Roman"/>
      <family val="1"/>
    </font>
    <font>
      <i/>
      <u/>
      <sz val="12"/>
      <name val="Times New Roman"/>
      <family val="1"/>
    </font>
    <font>
      <b/>
      <sz val="10"/>
      <name val="Arial"/>
      <family val="2"/>
    </font>
    <font>
      <sz val="12"/>
      <name val="Times New Roman"/>
      <family val="1"/>
      <charset val="163"/>
    </font>
    <font>
      <vertAlign val="subscript"/>
      <sz val="12"/>
      <name val="Times New Roman"/>
      <family val="1"/>
      <charset val="163"/>
    </font>
    <font>
      <b/>
      <vertAlign val="subscript"/>
      <sz val="12"/>
      <name val="Times New Roman"/>
      <family val="1"/>
    </font>
    <font>
      <b/>
      <vertAlign val="superscript"/>
      <sz val="12"/>
      <name val="Times New Roman"/>
      <family val="1"/>
    </font>
    <font>
      <vertAlign val="superscript"/>
      <sz val="12"/>
      <name val="Times New Roman"/>
      <family val="1"/>
    </font>
    <font>
      <vertAlign val="superscript"/>
      <sz val="11"/>
      <name val="Times New Roman"/>
      <family val="1"/>
    </font>
    <font>
      <sz val="12"/>
      <name val="Calibri"/>
      <family val="2"/>
    </font>
    <font>
      <b/>
      <sz val="12"/>
      <name val="Arial"/>
      <family val="2"/>
    </font>
    <font>
      <u/>
      <sz val="12"/>
      <name val="Times New Roman"/>
      <family val="1"/>
    </font>
    <font>
      <sz val="12"/>
      <name val="Arial"/>
      <family val="2"/>
    </font>
    <font>
      <u/>
      <sz val="12"/>
      <color indexed="8"/>
      <name val="Calibri"/>
      <family val="2"/>
    </font>
    <font>
      <b/>
      <vertAlign val="subscript"/>
      <sz val="10"/>
      <name val="Times New Roman"/>
      <family val="1"/>
    </font>
    <font>
      <b/>
      <vertAlign val="subscript"/>
      <sz val="9"/>
      <name val="Times New Roman"/>
      <family val="1"/>
    </font>
    <font>
      <b/>
      <i/>
      <u/>
      <sz val="12"/>
      <name val="Times New Roman"/>
      <family val="1"/>
    </font>
    <font>
      <b/>
      <sz val="13"/>
      <name val="Times New Roman"/>
      <family val="1"/>
    </font>
    <font>
      <b/>
      <vertAlign val="superscript"/>
      <sz val="13"/>
      <name val="Times New Roman"/>
      <family val="1"/>
    </font>
    <font>
      <b/>
      <vertAlign val="subscript"/>
      <sz val="8"/>
      <name val="Arial"/>
      <family val="2"/>
    </font>
    <font>
      <sz val="13"/>
      <name val="Times New Roman"/>
      <family val="1"/>
    </font>
    <font>
      <vertAlign val="subscript"/>
      <sz val="13"/>
      <name val="Times New Roman"/>
      <family val="1"/>
    </font>
    <font>
      <b/>
      <sz val="16"/>
      <color indexed="10"/>
      <name val="Times New Roman"/>
      <family val="1"/>
    </font>
    <font>
      <i/>
      <sz val="13"/>
      <name val="Times New Roman"/>
      <family val="1"/>
    </font>
    <font>
      <b/>
      <sz val="9"/>
      <color indexed="81"/>
      <name val="Tahoma"/>
      <family val="2"/>
    </font>
    <font>
      <u/>
      <sz val="9"/>
      <color indexed="81"/>
      <name val="Tahoma"/>
      <family val="2"/>
    </font>
    <font>
      <i/>
      <sz val="9"/>
      <color indexed="81"/>
      <name val="Tahoma"/>
      <family val="2"/>
    </font>
    <font>
      <b/>
      <sz val="14"/>
      <name val="Times New Roman"/>
      <family val="1"/>
    </font>
    <font>
      <b/>
      <vertAlign val="superscript"/>
      <sz val="11"/>
      <name val="Times New Roman"/>
      <family val="1"/>
    </font>
    <font>
      <b/>
      <i/>
      <sz val="13"/>
      <name val="Times New Roman"/>
      <family val="1"/>
    </font>
    <font>
      <b/>
      <i/>
      <vertAlign val="subscript"/>
      <sz val="11"/>
      <name val="Times New Roman"/>
      <family val="1"/>
    </font>
    <font>
      <u/>
      <sz val="10"/>
      <color theme="10"/>
      <name val="Arial"/>
      <family val="2"/>
    </font>
    <font>
      <b/>
      <sz val="10"/>
      <color theme="1"/>
      <name val="Arial"/>
      <family val="2"/>
    </font>
    <font>
      <b/>
      <sz val="12"/>
      <color rgb="FFFF0000"/>
      <name val="Times New Roman"/>
      <family val="1"/>
    </font>
    <font>
      <sz val="11"/>
      <color theme="3"/>
      <name val="Times New Roman"/>
      <family val="1"/>
    </font>
    <font>
      <b/>
      <sz val="18"/>
      <color rgb="FFFF0000"/>
      <name val="Times New Roman"/>
      <family val="1"/>
    </font>
    <font>
      <sz val="11"/>
      <color rgb="FF000000"/>
      <name val="Times New Roman"/>
      <family val="1"/>
    </font>
    <font>
      <sz val="11"/>
      <color theme="1"/>
      <name val="Times New Roman"/>
      <family val="1"/>
    </font>
    <font>
      <sz val="12"/>
      <color rgb="FFFF0000"/>
      <name val="Times New Roman"/>
      <family val="1"/>
    </font>
    <font>
      <b/>
      <sz val="10"/>
      <color rgb="FFFF0000"/>
      <name val="Arial"/>
      <family val="2"/>
    </font>
    <font>
      <b/>
      <sz val="12"/>
      <color rgb="FF000000"/>
      <name val="Times New Roman"/>
      <family val="1"/>
    </font>
    <font>
      <i/>
      <sz val="12"/>
      <color rgb="FF000000"/>
      <name val="Times New Roman"/>
      <family val="1"/>
    </font>
    <font>
      <sz val="12"/>
      <color rgb="FF000000"/>
      <name val="Times New Roman"/>
      <family val="1"/>
    </font>
    <font>
      <sz val="11"/>
      <color rgb="FFFF0000"/>
      <name val="Times New Roman"/>
      <family val="1"/>
    </font>
    <font>
      <b/>
      <sz val="11"/>
      <color theme="0"/>
      <name val="Times New Roman"/>
      <family val="1"/>
    </font>
    <font>
      <sz val="12"/>
      <color rgb="FF0070C0"/>
      <name val="Times New Roman"/>
      <family val="1"/>
    </font>
    <font>
      <b/>
      <sz val="12"/>
      <color rgb="FF0070C0"/>
      <name val="Times New Roman"/>
      <family val="1"/>
    </font>
    <font>
      <sz val="12"/>
      <color rgb="FFC00000"/>
      <name val="Times New Roman"/>
      <family val="1"/>
    </font>
    <font>
      <b/>
      <sz val="12"/>
      <color rgb="FFC00000"/>
      <name val="Times New Roman"/>
      <family val="1"/>
    </font>
    <font>
      <sz val="18"/>
      <color rgb="FFFF0000"/>
      <name val="Times New Roman"/>
      <family val="1"/>
    </font>
    <font>
      <b/>
      <sz val="8"/>
      <color rgb="FFFF0000"/>
      <name val="Times New Roman"/>
      <family val="1"/>
    </font>
    <font>
      <sz val="18"/>
      <color rgb="FF0070C0"/>
      <name val="Times New Roman"/>
      <family val="1"/>
    </font>
    <font>
      <b/>
      <sz val="8"/>
      <color rgb="FF0070C0"/>
      <name val="Times New Roman"/>
      <family val="1"/>
    </font>
    <font>
      <b/>
      <sz val="10"/>
      <color rgb="FF0070C0"/>
      <name val="Arial"/>
      <family val="2"/>
    </font>
    <font>
      <sz val="11"/>
      <color rgb="FF0070C0"/>
      <name val="Times New Roman"/>
      <family val="1"/>
    </font>
    <font>
      <sz val="18"/>
      <color rgb="FFC00000"/>
      <name val="Times New Roman"/>
      <family val="1"/>
    </font>
    <font>
      <b/>
      <sz val="8"/>
      <color rgb="FFC00000"/>
      <name val="Times New Roman"/>
      <family val="1"/>
    </font>
    <font>
      <b/>
      <sz val="10"/>
      <color rgb="FFC00000"/>
      <name val="Arial"/>
      <family val="2"/>
    </font>
    <font>
      <sz val="11"/>
      <color rgb="FFC00000"/>
      <name val="Times New Roman"/>
      <family val="1"/>
    </font>
    <font>
      <b/>
      <u/>
      <sz val="12"/>
      <color rgb="FFFF0000"/>
      <name val="Times New Roman"/>
      <family val="1"/>
    </font>
    <font>
      <b/>
      <u/>
      <sz val="12"/>
      <color rgb="FF0070C0"/>
      <name val="Times New Roman"/>
      <family val="1"/>
    </font>
    <font>
      <b/>
      <i/>
      <sz val="12"/>
      <color rgb="FFFF0000"/>
      <name val="Times New Roman"/>
      <family val="1"/>
    </font>
    <font>
      <b/>
      <i/>
      <sz val="12"/>
      <color rgb="FF0070C0"/>
      <name val="Times New Roman"/>
      <family val="1"/>
    </font>
    <font>
      <b/>
      <u/>
      <sz val="12"/>
      <color theme="3"/>
      <name val="Times New Roman"/>
      <family val="1"/>
    </font>
    <font>
      <sz val="12"/>
      <color theme="3"/>
      <name val="Times New Roman"/>
      <family val="1"/>
    </font>
    <font>
      <b/>
      <i/>
      <sz val="12"/>
      <color theme="3"/>
      <name val="Times New Roman"/>
      <family val="1"/>
    </font>
    <font>
      <sz val="11"/>
      <color theme="4"/>
      <name val="Times New Roman"/>
      <family val="1"/>
    </font>
    <font>
      <sz val="12"/>
      <color theme="4"/>
      <name val="Times New Roman"/>
      <family val="1"/>
    </font>
    <font>
      <b/>
      <sz val="11"/>
      <color theme="4"/>
      <name val="Times New Roman"/>
      <family val="1"/>
    </font>
    <font>
      <sz val="10"/>
      <color rgb="FFFF0000"/>
      <name val="Times New Roman"/>
      <family val="1"/>
    </font>
    <font>
      <sz val="8"/>
      <color rgb="FF000000"/>
      <name val="Tahoma"/>
      <family val="2"/>
    </font>
    <font>
      <b/>
      <sz val="16"/>
      <color rgb="FF000000"/>
      <name val="Times New Roman"/>
      <family val="1"/>
    </font>
    <font>
      <b/>
      <sz val="8"/>
      <color rgb="FF000000"/>
      <name val="Times New Roman"/>
      <family val="1"/>
    </font>
    <font>
      <b/>
      <sz val="9"/>
      <color rgb="FF000000"/>
      <name val="Times New Roman"/>
      <family val="1"/>
    </font>
    <font>
      <b/>
      <sz val="11"/>
      <color rgb="FF000000"/>
      <name val="Times New Roman"/>
      <family val="1"/>
    </font>
    <font>
      <b/>
      <i/>
      <sz val="11"/>
      <color indexed="8"/>
      <name val="Times New Roman"/>
      <family val="1"/>
    </font>
    <font>
      <sz val="11"/>
      <color indexed="10"/>
      <name val="Times New Roman"/>
      <family val="1"/>
    </font>
    <font>
      <sz val="10"/>
      <color indexed="10"/>
      <name val="Times New Roman"/>
      <family val="1"/>
    </font>
    <font>
      <b/>
      <i/>
      <sz val="11"/>
      <color rgb="FFFF0000"/>
      <name val="Times New Roman"/>
      <family val="1"/>
    </font>
  </fonts>
  <fills count="22">
    <fill>
      <patternFill patternType="none"/>
    </fill>
    <fill>
      <patternFill patternType="gray125"/>
    </fill>
    <fill>
      <patternFill patternType="solid">
        <fgColor indexed="47"/>
        <bgColor indexed="64"/>
      </patternFill>
    </fill>
    <fill>
      <patternFill patternType="solid">
        <fgColor indexed="9"/>
        <bgColor indexed="64"/>
      </patternFill>
    </fill>
    <fill>
      <patternFill patternType="solid">
        <fgColor indexed="13"/>
        <bgColor indexed="64"/>
      </patternFill>
    </fill>
    <fill>
      <patternFill patternType="solid">
        <fgColor indexed="51"/>
        <bgColor indexed="64"/>
      </patternFill>
    </fill>
    <fill>
      <patternFill patternType="solid">
        <fgColor indexed="56"/>
        <bgColor indexed="64"/>
      </patternFill>
    </fill>
    <fill>
      <patternFill patternType="solid">
        <fgColor indexed="44"/>
        <bgColor indexed="64"/>
      </patternFill>
    </fill>
    <fill>
      <patternFill patternType="solid">
        <fgColor indexed="2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2"/>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rgb="FFFFFFCC"/>
        <bgColor indexed="64"/>
      </patternFill>
    </fill>
    <fill>
      <patternFill patternType="solid">
        <fgColor theme="0" tint="-0.249977111117893"/>
        <bgColor indexed="64"/>
      </patternFill>
    </fill>
  </fills>
  <borders count="44">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style="hair">
        <color indexed="64"/>
      </top>
      <bottom/>
      <diagonal/>
    </border>
    <border>
      <left style="thin">
        <color indexed="64"/>
      </left>
      <right/>
      <top/>
      <bottom style="thin">
        <color indexed="64"/>
      </bottom>
      <diagonal/>
    </border>
    <border>
      <left style="thin">
        <color indexed="64"/>
      </left>
      <right/>
      <top/>
      <bottom style="medium">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style="thin">
        <color indexed="64"/>
      </top>
      <bottom/>
      <diagonal/>
    </border>
    <border>
      <left style="thin">
        <color indexed="8"/>
      </left>
      <right style="thin">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right style="thin">
        <color indexed="64"/>
      </right>
      <top/>
      <bottom style="hair">
        <color indexed="64"/>
      </bottom>
      <diagonal/>
    </border>
  </borders>
  <cellStyleXfs count="4">
    <xf numFmtId="0" fontId="0" fillId="0" borderId="0"/>
    <xf numFmtId="43" fontId="1" fillId="0" borderId="0" applyFont="0" applyFill="0" applyBorder="0" applyAlignment="0" applyProtection="0"/>
    <xf numFmtId="0" fontId="72" fillId="0" borderId="0" applyNumberFormat="0" applyFill="0" applyBorder="0" applyAlignment="0" applyProtection="0"/>
    <xf numFmtId="9" fontId="1" fillId="0" borderId="0" applyFont="0" applyFill="0" applyBorder="0" applyAlignment="0" applyProtection="0"/>
  </cellStyleXfs>
  <cellXfs count="2011">
    <xf numFmtId="0" fontId="0" fillId="0" borderId="0" xfId="0"/>
    <xf numFmtId="0" fontId="3" fillId="0" borderId="0" xfId="0" applyFont="1"/>
    <xf numFmtId="0" fontId="4" fillId="0" borderId="0" xfId="0" applyFont="1"/>
    <xf numFmtId="0" fontId="5" fillId="0" borderId="1" xfId="0" applyFont="1" applyFill="1" applyBorder="1" applyAlignment="1" applyProtection="1"/>
    <xf numFmtId="0" fontId="5" fillId="0" borderId="2" xfId="0" applyFont="1" applyFill="1" applyBorder="1" applyAlignment="1" applyProtection="1"/>
    <xf numFmtId="0" fontId="5" fillId="0" borderId="3" xfId="0" applyFont="1" applyFill="1" applyBorder="1" applyAlignment="1" applyProtection="1"/>
    <xf numFmtId="0" fontId="5" fillId="0" borderId="0" xfId="0" applyFont="1" applyFill="1" applyBorder="1" applyAlignment="1" applyProtection="1"/>
    <xf numFmtId="0" fontId="7" fillId="0" borderId="4" xfId="0" applyFont="1" applyFill="1" applyBorder="1" applyAlignment="1" applyProtection="1">
      <alignment horizontal="centerContinuous"/>
    </xf>
    <xf numFmtId="0" fontId="8" fillId="0" borderId="0" xfId="0" applyFont="1" applyFill="1" applyBorder="1" applyAlignment="1" applyProtection="1">
      <alignment horizontal="centerContinuous"/>
    </xf>
    <xf numFmtId="0" fontId="5" fillId="0" borderId="0" xfId="0" applyFont="1" applyFill="1" applyBorder="1" applyAlignment="1" applyProtection="1">
      <alignment horizontal="centerContinuous"/>
    </xf>
    <xf numFmtId="0" fontId="5" fillId="0" borderId="5" xfId="0" applyFont="1" applyFill="1" applyBorder="1" applyAlignment="1" applyProtection="1"/>
    <xf numFmtId="0" fontId="5" fillId="0" borderId="4" xfId="0" applyFont="1" applyFill="1" applyBorder="1" applyAlignment="1" applyProtection="1">
      <alignment horizontal="centerContinuous" vertical="top"/>
    </xf>
    <xf numFmtId="0" fontId="5" fillId="0" borderId="0" xfId="0" applyFont="1" applyFill="1" applyBorder="1" applyAlignment="1" applyProtection="1">
      <alignment horizontal="centerContinuous" vertical="top"/>
    </xf>
    <xf numFmtId="0" fontId="5" fillId="0" borderId="4" xfId="0" applyFont="1" applyFill="1" applyBorder="1" applyAlignment="1" applyProtection="1"/>
    <xf numFmtId="0" fontId="9" fillId="0" borderId="0" xfId="0" applyFont="1" applyFill="1" applyBorder="1" applyAlignment="1" applyProtection="1">
      <alignment horizontal="right"/>
    </xf>
    <xf numFmtId="0" fontId="9" fillId="0" borderId="0" xfId="0" applyFont="1" applyFill="1" applyBorder="1" applyAlignment="1" applyProtection="1"/>
    <xf numFmtId="166" fontId="9" fillId="0" borderId="0" xfId="0" applyNumberFormat="1" applyFont="1" applyFill="1" applyBorder="1" applyAlignment="1" applyProtection="1">
      <alignment horizontal="left"/>
    </xf>
    <xf numFmtId="0" fontId="10" fillId="0" borderId="4" xfId="0" applyFont="1" applyFill="1" applyBorder="1" applyAlignment="1" applyProtection="1">
      <alignment horizontal="centerContinuous"/>
    </xf>
    <xf numFmtId="0" fontId="11" fillId="0" borderId="0" xfId="0" applyFont="1" applyFill="1" applyBorder="1" applyAlignment="1" applyProtection="1">
      <alignment horizontal="centerContinuous"/>
    </xf>
    <xf numFmtId="0" fontId="8" fillId="0" borderId="4" xfId="0" applyFont="1" applyFill="1" applyBorder="1" applyAlignment="1" applyProtection="1"/>
    <xf numFmtId="0" fontId="8" fillId="0" borderId="0" xfId="0" applyFont="1" applyFill="1" applyBorder="1" applyAlignment="1" applyProtection="1"/>
    <xf numFmtId="2" fontId="8" fillId="0" borderId="0" xfId="0" applyNumberFormat="1" applyFont="1" applyFill="1" applyBorder="1" applyAlignment="1" applyProtection="1"/>
    <xf numFmtId="0" fontId="8" fillId="0" borderId="5" xfId="0" applyFont="1" applyFill="1" applyBorder="1" applyAlignment="1" applyProtection="1"/>
    <xf numFmtId="0" fontId="12" fillId="0" borderId="0" xfId="0" applyFont="1" applyFill="1" applyBorder="1" applyAlignment="1" applyProtection="1"/>
    <xf numFmtId="0" fontId="5" fillId="0" borderId="6" xfId="0" applyFont="1" applyFill="1" applyBorder="1" applyAlignment="1" applyProtection="1"/>
    <xf numFmtId="0" fontId="5" fillId="0" borderId="7" xfId="0" applyFont="1" applyFill="1" applyBorder="1" applyAlignment="1" applyProtection="1"/>
    <xf numFmtId="0" fontId="5" fillId="0" borderId="8" xfId="0" applyFont="1" applyFill="1" applyBorder="1" applyAlignment="1" applyProtection="1"/>
    <xf numFmtId="2" fontId="15" fillId="0" borderId="9" xfId="0" applyNumberFormat="1" applyFont="1" applyFill="1" applyBorder="1" applyAlignment="1" applyProtection="1">
      <alignment vertical="center"/>
      <protection hidden="1"/>
    </xf>
    <xf numFmtId="2" fontId="8" fillId="2" borderId="9" xfId="0" applyNumberFormat="1" applyFont="1" applyFill="1" applyBorder="1" applyAlignment="1" applyProtection="1">
      <alignment vertical="center"/>
      <protection hidden="1"/>
    </xf>
    <xf numFmtId="2" fontId="5" fillId="0" borderId="10" xfId="0" applyNumberFormat="1" applyFont="1" applyFill="1" applyBorder="1" applyAlignment="1" applyProtection="1">
      <alignment vertical="center" wrapText="1"/>
      <protection hidden="1"/>
    </xf>
    <xf numFmtId="2" fontId="5" fillId="0" borderId="10" xfId="0" applyNumberFormat="1" applyFont="1" applyFill="1" applyBorder="1" applyAlignment="1" applyProtection="1">
      <alignment vertical="center"/>
      <protection hidden="1"/>
    </xf>
    <xf numFmtId="2" fontId="15" fillId="0" borderId="10" xfId="0" applyNumberFormat="1" applyFont="1" applyFill="1" applyBorder="1" applyAlignment="1" applyProtection="1">
      <alignment vertical="center"/>
      <protection hidden="1"/>
    </xf>
    <xf numFmtId="2" fontId="8" fillId="2" borderId="10" xfId="0" applyNumberFormat="1" applyFont="1" applyFill="1" applyBorder="1" applyAlignment="1" applyProtection="1">
      <alignment vertical="center"/>
      <protection hidden="1"/>
    </xf>
    <xf numFmtId="2" fontId="5" fillId="0" borderId="11" xfId="0" applyNumberFormat="1" applyFont="1" applyFill="1" applyBorder="1" applyAlignment="1" applyProtection="1">
      <alignment vertical="center"/>
      <protection hidden="1"/>
    </xf>
    <xf numFmtId="2" fontId="8" fillId="0" borderId="9" xfId="0" applyNumberFormat="1" applyFont="1" applyFill="1" applyBorder="1" applyAlignment="1" applyProtection="1">
      <alignment horizontal="center" vertical="center"/>
      <protection hidden="1"/>
    </xf>
    <xf numFmtId="2" fontId="8" fillId="0" borderId="9" xfId="0" applyNumberFormat="1" applyFont="1" applyFill="1" applyBorder="1" applyAlignment="1" applyProtection="1">
      <alignment vertical="center"/>
      <protection hidden="1"/>
    </xf>
    <xf numFmtId="2" fontId="5" fillId="3" borderId="10" xfId="0" applyNumberFormat="1" applyFont="1" applyFill="1" applyBorder="1" applyAlignment="1" applyProtection="1">
      <alignment vertical="center"/>
      <protection hidden="1"/>
    </xf>
    <xf numFmtId="2" fontId="8" fillId="3" borderId="10" xfId="0" applyNumberFormat="1" applyFont="1" applyFill="1" applyBorder="1" applyAlignment="1" applyProtection="1">
      <alignment vertical="center"/>
      <protection hidden="1"/>
    </xf>
    <xf numFmtId="2" fontId="5" fillId="0" borderId="0" xfId="0" applyNumberFormat="1" applyFont="1" applyFill="1" applyBorder="1" applyAlignment="1" applyProtection="1">
      <alignment vertical="center"/>
      <protection hidden="1"/>
    </xf>
    <xf numFmtId="2" fontId="8" fillId="0" borderId="0" xfId="0" applyNumberFormat="1" applyFont="1" applyFill="1" applyBorder="1" applyAlignment="1" applyProtection="1">
      <alignment vertical="center"/>
      <protection hidden="1"/>
    </xf>
    <xf numFmtId="0" fontId="4" fillId="0" borderId="0" xfId="0" applyFont="1" applyAlignment="1">
      <alignment horizontal="centerContinuous"/>
    </xf>
    <xf numFmtId="0" fontId="19" fillId="0" borderId="0" xfId="0" applyFont="1" applyFill="1" applyBorder="1" applyAlignment="1" applyProtection="1">
      <alignment horizontal="centerContinuous"/>
    </xf>
    <xf numFmtId="0" fontId="5" fillId="0" borderId="9" xfId="0" applyFont="1" applyFill="1" applyBorder="1" applyAlignment="1" applyProtection="1">
      <alignment horizontal="center" vertical="center" wrapText="1"/>
    </xf>
    <xf numFmtId="0" fontId="5" fillId="2" borderId="9" xfId="0" applyFont="1" applyFill="1" applyBorder="1" applyAlignment="1" applyProtection="1">
      <alignment horizontal="center" vertical="center" wrapText="1"/>
    </xf>
    <xf numFmtId="0" fontId="5" fillId="0" borderId="10" xfId="0" applyFont="1" applyFill="1" applyBorder="1" applyAlignment="1" applyProtection="1">
      <alignment horizontal="center" vertical="center" wrapText="1"/>
    </xf>
    <xf numFmtId="0" fontId="5" fillId="2" borderId="10" xfId="0" applyFont="1" applyFill="1" applyBorder="1" applyAlignment="1" applyProtection="1">
      <alignment horizontal="center" vertical="center" wrapText="1"/>
    </xf>
    <xf numFmtId="0" fontId="5" fillId="0" borderId="10" xfId="0" applyFont="1" applyFill="1" applyBorder="1" applyAlignment="1" applyProtection="1">
      <alignment vertical="center" wrapText="1"/>
    </xf>
    <xf numFmtId="0" fontId="4" fillId="0" borderId="10" xfId="0" applyFont="1" applyFill="1" applyBorder="1" applyAlignment="1" applyProtection="1">
      <alignment horizontal="center" vertical="center" wrapText="1"/>
    </xf>
    <xf numFmtId="0" fontId="4" fillId="0" borderId="10" xfId="0" applyFont="1" applyFill="1" applyBorder="1" applyAlignment="1" applyProtection="1">
      <alignment vertical="center" wrapText="1"/>
    </xf>
    <xf numFmtId="0" fontId="8" fillId="0" borderId="10" xfId="0" applyFont="1" applyFill="1" applyBorder="1" applyAlignment="1" applyProtection="1">
      <alignment vertical="center" wrapText="1"/>
    </xf>
    <xf numFmtId="0" fontId="7" fillId="0" borderId="10" xfId="0" applyFont="1" applyFill="1" applyBorder="1" applyAlignment="1" applyProtection="1">
      <alignment vertical="center" wrapText="1"/>
    </xf>
    <xf numFmtId="0" fontId="21" fillId="0" borderId="10" xfId="0" applyFont="1" applyFill="1" applyBorder="1" applyAlignment="1" applyProtection="1">
      <alignment vertical="center" wrapText="1"/>
    </xf>
    <xf numFmtId="0" fontId="7" fillId="0" borderId="11" xfId="0" applyFont="1" applyFill="1" applyBorder="1" applyAlignment="1" applyProtection="1">
      <alignment horizontal="center" vertical="center" wrapText="1"/>
    </xf>
    <xf numFmtId="0" fontId="21" fillId="0" borderId="0" xfId="0" applyFont="1" applyFill="1" applyBorder="1" applyAlignment="1" applyProtection="1">
      <alignment horizontal="centerContinuous"/>
    </xf>
    <xf numFmtId="0" fontId="7" fillId="0" borderId="0" xfId="0" applyFont="1" applyFill="1" applyBorder="1" applyAlignment="1" applyProtection="1">
      <alignment horizontal="center"/>
    </xf>
    <xf numFmtId="0" fontId="7" fillId="0" borderId="0" xfId="0" applyFont="1" applyFill="1" applyBorder="1" applyAlignment="1" applyProtection="1">
      <alignment horizontal="centerContinuous"/>
    </xf>
    <xf numFmtId="0" fontId="9" fillId="0" borderId="0" xfId="0" applyFont="1" applyFill="1" applyBorder="1" applyAlignment="1" applyProtection="1">
      <alignment horizontal="center"/>
    </xf>
    <xf numFmtId="0" fontId="9" fillId="0" borderId="0" xfId="0" applyFont="1" applyFill="1" applyBorder="1" applyAlignment="1" applyProtection="1">
      <alignment horizontal="centerContinuous"/>
    </xf>
    <xf numFmtId="0" fontId="19" fillId="0" borderId="0" xfId="0" applyFont="1" applyFill="1" applyBorder="1" applyAlignment="1" applyProtection="1">
      <alignment horizontal="centerContinuous" vertical="center"/>
    </xf>
    <xf numFmtId="0" fontId="3" fillId="0" borderId="0" xfId="0" applyFont="1" applyFill="1" applyBorder="1" applyAlignment="1" applyProtection="1">
      <protection locked="0"/>
    </xf>
    <xf numFmtId="0" fontId="4" fillId="0" borderId="0" xfId="0" applyFont="1" applyFill="1" applyBorder="1" applyAlignment="1" applyProtection="1">
      <alignment wrapText="1"/>
      <protection locked="0"/>
    </xf>
    <xf numFmtId="0" fontId="4" fillId="0" borderId="0" xfId="0" applyFont="1" applyFill="1" applyBorder="1" applyAlignment="1" applyProtection="1">
      <protection locked="0"/>
    </xf>
    <xf numFmtId="0" fontId="27" fillId="0" borderId="0" xfId="0" applyFont="1"/>
    <xf numFmtId="0" fontId="19" fillId="0" borderId="0" xfId="0" applyNumberFormat="1" applyFont="1" applyFill="1" applyBorder="1" applyAlignment="1" applyProtection="1">
      <alignment horizontal="centerContinuous" vertical="center"/>
    </xf>
    <xf numFmtId="0" fontId="28" fillId="0" borderId="0" xfId="0" applyFont="1" applyFill="1" applyBorder="1" applyAlignment="1" applyProtection="1">
      <alignment horizontal="centerContinuous" vertical="center"/>
    </xf>
    <xf numFmtId="0" fontId="4" fillId="0" borderId="0" xfId="0" applyFont="1" applyFill="1" applyBorder="1" applyAlignment="1" applyProtection="1">
      <alignment vertical="center"/>
    </xf>
    <xf numFmtId="0" fontId="4" fillId="0" borderId="0" xfId="0" applyFont="1" applyFill="1" applyBorder="1" applyAlignment="1" applyProtection="1"/>
    <xf numFmtId="3" fontId="4" fillId="0" borderId="0" xfId="0" applyNumberFormat="1" applyFont="1" applyFill="1" applyBorder="1" applyAlignment="1" applyProtection="1"/>
    <xf numFmtId="0" fontId="29" fillId="0" borderId="0" xfId="0" applyFont="1" applyAlignment="1">
      <alignment horizontal="centerContinuous"/>
    </xf>
    <xf numFmtId="0" fontId="28" fillId="0" borderId="0" xfId="0" applyFont="1"/>
    <xf numFmtId="0" fontId="22" fillId="0" borderId="0" xfId="0" applyNumberFormat="1" applyFont="1" applyFill="1" applyBorder="1" applyAlignment="1" applyProtection="1">
      <alignment horizontal="centerContinuous" vertical="center"/>
    </xf>
    <xf numFmtId="0" fontId="30" fillId="0" borderId="0" xfId="0" applyFont="1" applyAlignment="1">
      <alignment horizontal="centerContinuous"/>
    </xf>
    <xf numFmtId="0" fontId="26" fillId="0" borderId="0" xfId="0" applyFont="1"/>
    <xf numFmtId="0" fontId="7" fillId="0" borderId="0" xfId="0" applyFont="1" applyFill="1" applyBorder="1" applyAlignment="1" applyProtection="1">
      <alignment horizontal="centerContinuous" wrapText="1"/>
    </xf>
    <xf numFmtId="0" fontId="31" fillId="0" borderId="0" xfId="0" applyFont="1" applyAlignment="1">
      <alignment horizontal="centerContinuous"/>
    </xf>
    <xf numFmtId="0" fontId="31" fillId="0" borderId="0" xfId="0" applyFont="1"/>
    <xf numFmtId="0" fontId="4" fillId="0" borderId="10" xfId="0" applyNumberFormat="1" applyFont="1" applyFill="1" applyBorder="1" applyAlignment="1" applyProtection="1">
      <alignment horizontal="center" vertical="center"/>
    </xf>
    <xf numFmtId="0" fontId="4" fillId="0" borderId="10" xfId="0" applyNumberFormat="1" applyFont="1" applyFill="1" applyBorder="1" applyAlignment="1" applyProtection="1">
      <alignment horizontal="center"/>
    </xf>
    <xf numFmtId="0" fontId="4" fillId="0" borderId="10" xfId="0" applyNumberFormat="1" applyFont="1" applyFill="1" applyBorder="1" applyAlignment="1" applyProtection="1">
      <alignment vertical="center"/>
    </xf>
    <xf numFmtId="0" fontId="4" fillId="0" borderId="10" xfId="0" applyFont="1" applyBorder="1" applyAlignment="1">
      <alignment horizontal="center" vertical="center" wrapText="1"/>
    </xf>
    <xf numFmtId="3" fontId="4" fillId="0" borderId="10" xfId="0" applyNumberFormat="1" applyFont="1" applyFill="1" applyBorder="1" applyAlignment="1" applyProtection="1">
      <alignment horizontal="right" vertical="center"/>
    </xf>
    <xf numFmtId="3" fontId="4" fillId="0" borderId="10" xfId="0" applyNumberFormat="1" applyFont="1" applyFill="1" applyBorder="1" applyAlignment="1">
      <alignment horizontal="right" vertical="center" wrapText="1"/>
    </xf>
    <xf numFmtId="0" fontId="4" fillId="0" borderId="10" xfId="0" applyFont="1" applyBorder="1"/>
    <xf numFmtId="0" fontId="4" fillId="0" borderId="11" xfId="0" applyFont="1" applyBorder="1" applyAlignment="1">
      <alignment horizontal="center" vertical="center" wrapText="1"/>
    </xf>
    <xf numFmtId="0" fontId="19" fillId="0" borderId="0" xfId="0" applyFont="1" applyFill="1" applyBorder="1" applyAlignment="1" applyProtection="1">
      <alignment horizontal="centerContinuous" vertical="center" wrapText="1"/>
    </xf>
    <xf numFmtId="0" fontId="24" fillId="0" borderId="0" xfId="0" applyFont="1" applyFill="1" applyBorder="1" applyAlignment="1" applyProtection="1">
      <alignment horizontal="centerContinuous" vertical="center"/>
    </xf>
    <xf numFmtId="0" fontId="24" fillId="0" borderId="0" xfId="0" applyFont="1" applyFill="1" applyBorder="1" applyAlignment="1" applyProtection="1">
      <alignment vertical="center"/>
    </xf>
    <xf numFmtId="0" fontId="4" fillId="0" borderId="0" xfId="0" applyFont="1" applyFill="1" applyBorder="1" applyAlignment="1" applyProtection="1">
      <alignment horizontal="centerContinuous" vertical="center"/>
    </xf>
    <xf numFmtId="0" fontId="7" fillId="0" borderId="0" xfId="0" applyFont="1" applyFill="1" applyBorder="1" applyAlignment="1" applyProtection="1">
      <alignment horizontal="centerContinuous" vertical="center"/>
    </xf>
    <xf numFmtId="0" fontId="23" fillId="0" borderId="0" xfId="0" applyFont="1" applyFill="1" applyBorder="1" applyAlignment="1" applyProtection="1">
      <alignment horizontal="right" vertical="center"/>
    </xf>
    <xf numFmtId="0" fontId="7" fillId="0" borderId="0" xfId="0" applyFont="1" applyFill="1" applyBorder="1" applyAlignment="1" applyProtection="1">
      <alignment vertical="center"/>
    </xf>
    <xf numFmtId="0" fontId="4" fillId="0" borderId="10" xfId="0" applyFont="1" applyFill="1" applyBorder="1" applyAlignment="1" applyProtection="1">
      <alignment horizontal="center" vertical="center"/>
    </xf>
    <xf numFmtId="0" fontId="7" fillId="0" borderId="10" xfId="0" applyFont="1" applyFill="1" applyBorder="1" applyAlignment="1" applyProtection="1">
      <alignment horizontal="center" vertical="center" wrapText="1"/>
    </xf>
    <xf numFmtId="0" fontId="7" fillId="0" borderId="10" xfId="0" applyFont="1" applyFill="1" applyBorder="1" applyAlignment="1" applyProtection="1">
      <alignment horizontal="center" vertical="center"/>
    </xf>
    <xf numFmtId="0" fontId="7" fillId="0" borderId="0" xfId="0" applyFont="1" applyFill="1" applyBorder="1" applyAlignment="1" applyProtection="1">
      <alignment vertical="center" wrapText="1"/>
    </xf>
    <xf numFmtId="0" fontId="22" fillId="0" borderId="0" xfId="0" applyFont="1" applyFill="1" applyBorder="1" applyAlignment="1" applyProtection="1">
      <alignment vertical="center"/>
    </xf>
    <xf numFmtId="0" fontId="4" fillId="0" borderId="0" xfId="0" applyFont="1" applyFill="1" applyBorder="1" applyAlignment="1" applyProtection="1">
      <alignment horizontal="centerContinuous"/>
    </xf>
    <xf numFmtId="0" fontId="23" fillId="0" borderId="0" xfId="0" applyFont="1" applyFill="1" applyBorder="1" applyAlignment="1" applyProtection="1">
      <alignment horizontal="center"/>
    </xf>
    <xf numFmtId="0" fontId="23" fillId="0" borderId="0" xfId="0" applyFont="1" applyFill="1" applyBorder="1" applyAlignment="1" applyProtection="1">
      <alignment horizontal="centerContinuous"/>
    </xf>
    <xf numFmtId="0" fontId="24" fillId="0" borderId="0" xfId="0" applyFont="1"/>
    <xf numFmtId="0" fontId="22" fillId="0" borderId="0" xfId="0" applyFont="1" applyFill="1" applyBorder="1" applyAlignment="1" applyProtection="1"/>
    <xf numFmtId="0" fontId="7" fillId="0" borderId="0" xfId="0" applyFont="1"/>
    <xf numFmtId="0" fontId="19" fillId="0" borderId="0" xfId="0" applyFont="1" applyFill="1" applyBorder="1" applyAlignment="1" applyProtection="1">
      <alignment horizontal="centerContinuous" vertical="center"/>
      <protection locked="0"/>
    </xf>
    <xf numFmtId="0" fontId="4" fillId="0" borderId="0" xfId="0" applyFont="1" applyAlignment="1">
      <alignment wrapText="1"/>
    </xf>
    <xf numFmtId="0" fontId="19" fillId="0" borderId="0" xfId="0" applyFont="1" applyAlignment="1">
      <alignment horizontal="centerContinuous" vertical="center"/>
    </xf>
    <xf numFmtId="0" fontId="7" fillId="0" borderId="0" xfId="0" applyFont="1" applyAlignment="1">
      <alignment horizontal="centerContinuous"/>
    </xf>
    <xf numFmtId="0" fontId="27" fillId="0" borderId="0" xfId="0" applyFont="1" applyAlignment="1">
      <alignment vertical="center" wrapText="1"/>
    </xf>
    <xf numFmtId="2" fontId="8" fillId="4" borderId="12" xfId="0" applyNumberFormat="1" applyFont="1" applyFill="1" applyBorder="1" applyAlignment="1" applyProtection="1">
      <alignment horizontal="center" vertical="center"/>
      <protection hidden="1"/>
    </xf>
    <xf numFmtId="2" fontId="5" fillId="0" borderId="13" xfId="0" applyNumberFormat="1" applyFont="1" applyFill="1" applyBorder="1" applyAlignment="1" applyProtection="1">
      <alignment horizontal="center" vertical="center"/>
      <protection hidden="1"/>
    </xf>
    <xf numFmtId="2" fontId="5" fillId="0" borderId="13" xfId="0" applyNumberFormat="1" applyFont="1" applyFill="1" applyBorder="1" applyAlignment="1" applyProtection="1">
      <alignment vertical="center"/>
      <protection hidden="1"/>
    </xf>
    <xf numFmtId="2" fontId="8" fillId="4" borderId="13" xfId="0" applyNumberFormat="1" applyFont="1" applyFill="1" applyBorder="1" applyAlignment="1" applyProtection="1">
      <alignment horizontal="center" vertical="center"/>
      <protection hidden="1"/>
    </xf>
    <xf numFmtId="2" fontId="8" fillId="4" borderId="13" xfId="0" applyNumberFormat="1" applyFont="1" applyFill="1" applyBorder="1" applyAlignment="1" applyProtection="1">
      <alignment vertical="center"/>
      <protection hidden="1"/>
    </xf>
    <xf numFmtId="2" fontId="5" fillId="5" borderId="13" xfId="0" applyNumberFormat="1" applyFont="1" applyFill="1" applyBorder="1" applyAlignment="1" applyProtection="1">
      <alignment vertical="center"/>
      <protection hidden="1"/>
    </xf>
    <xf numFmtId="2" fontId="5" fillId="0" borderId="14" xfId="0" applyNumberFormat="1" applyFont="1" applyFill="1" applyBorder="1" applyAlignment="1" applyProtection="1">
      <alignment vertical="center"/>
      <protection hidden="1"/>
    </xf>
    <xf numFmtId="2" fontId="8" fillId="0" borderId="12" xfId="0" applyNumberFormat="1" applyFont="1" applyFill="1" applyBorder="1" applyAlignment="1" applyProtection="1">
      <alignment vertical="center"/>
      <protection hidden="1"/>
    </xf>
    <xf numFmtId="2" fontId="8" fillId="4" borderId="0" xfId="0" applyNumberFormat="1" applyFont="1" applyFill="1" applyBorder="1" applyAlignment="1" applyProtection="1">
      <alignment vertical="center"/>
      <protection hidden="1"/>
    </xf>
    <xf numFmtId="0" fontId="3" fillId="0" borderId="0" xfId="0" applyFont="1" applyFill="1" applyBorder="1" applyAlignment="1" applyProtection="1">
      <alignment horizontal="centerContinuous"/>
      <protection locked="0"/>
    </xf>
    <xf numFmtId="3" fontId="4" fillId="0" borderId="0" xfId="0" applyNumberFormat="1" applyFont="1" applyAlignment="1">
      <alignment horizontal="centerContinuous"/>
    </xf>
    <xf numFmtId="3" fontId="4" fillId="0" borderId="0" xfId="0" applyNumberFormat="1" applyFont="1"/>
    <xf numFmtId="0" fontId="4" fillId="0" borderId="0" xfId="0" applyFont="1" applyAlignment="1">
      <alignment vertical="center" wrapText="1"/>
    </xf>
    <xf numFmtId="170" fontId="4" fillId="0" borderId="0" xfId="0" applyNumberFormat="1" applyFont="1"/>
    <xf numFmtId="0" fontId="4" fillId="0" borderId="9" xfId="0" applyFont="1" applyBorder="1" applyAlignment="1">
      <alignment horizontal="center" vertical="center" wrapText="1"/>
    </xf>
    <xf numFmtId="0" fontId="4" fillId="0" borderId="10" xfId="0" applyFont="1" applyBorder="1" applyAlignment="1">
      <alignment vertical="center" wrapText="1"/>
    </xf>
    <xf numFmtId="0" fontId="4" fillId="0" borderId="11" xfId="0" applyFont="1" applyBorder="1" applyAlignment="1">
      <alignment vertical="center" wrapText="1"/>
    </xf>
    <xf numFmtId="0" fontId="4" fillId="0" borderId="0" xfId="0" applyFont="1" applyAlignment="1">
      <alignment horizontal="center" vertical="center" wrapText="1"/>
    </xf>
    <xf numFmtId="3" fontId="7" fillId="0" borderId="0" xfId="0" applyNumberFormat="1" applyFont="1" applyAlignment="1">
      <alignment horizontal="centerContinuous"/>
    </xf>
    <xf numFmtId="3" fontId="4" fillId="0" borderId="0" xfId="0" applyNumberFormat="1" applyFont="1" applyFill="1" applyBorder="1" applyAlignment="1" applyProtection="1">
      <alignment wrapText="1"/>
      <protection locked="0"/>
    </xf>
    <xf numFmtId="0" fontId="7" fillId="0" borderId="9" xfId="0" applyFont="1" applyFill="1" applyBorder="1" applyAlignment="1" applyProtection="1">
      <alignment horizontal="center" vertical="center" wrapText="1"/>
    </xf>
    <xf numFmtId="0" fontId="7" fillId="0" borderId="9" xfId="0" applyFont="1" applyFill="1" applyBorder="1" applyAlignment="1" applyProtection="1">
      <alignment vertical="center" wrapText="1"/>
    </xf>
    <xf numFmtId="0" fontId="7" fillId="0" borderId="9" xfId="0" applyFont="1" applyBorder="1" applyAlignment="1">
      <alignment horizontal="center" vertical="center"/>
    </xf>
    <xf numFmtId="0" fontId="7" fillId="0" borderId="11" xfId="0" applyFont="1" applyFill="1" applyBorder="1" applyAlignment="1" applyProtection="1">
      <alignment horizontal="center" vertical="center"/>
    </xf>
    <xf numFmtId="0" fontId="34" fillId="6" borderId="9" xfId="0" applyFont="1" applyFill="1" applyBorder="1"/>
    <xf numFmtId="0" fontId="35" fillId="6" borderId="9" xfId="0" applyFont="1" applyFill="1" applyBorder="1"/>
    <xf numFmtId="0" fontId="35" fillId="6" borderId="0" xfId="0" applyFont="1" applyFill="1"/>
    <xf numFmtId="0" fontId="36" fillId="0" borderId="10" xfId="0" applyFont="1" applyBorder="1"/>
    <xf numFmtId="0" fontId="36" fillId="0" borderId="13" xfId="0" applyFont="1" applyBorder="1"/>
    <xf numFmtId="0" fontId="36" fillId="0" borderId="11" xfId="0" applyFont="1" applyBorder="1"/>
    <xf numFmtId="0" fontId="36" fillId="0" borderId="14" xfId="0" applyFont="1" applyBorder="1"/>
    <xf numFmtId="170" fontId="4" fillId="0" borderId="0" xfId="0" applyNumberFormat="1" applyFont="1" applyFill="1" applyBorder="1" applyAlignment="1" applyProtection="1">
      <alignment horizontal="centerContinuous"/>
    </xf>
    <xf numFmtId="168" fontId="4" fillId="0" borderId="0" xfId="0" applyNumberFormat="1" applyFont="1" applyFill="1" applyBorder="1" applyAlignment="1" applyProtection="1">
      <alignment horizontal="centerContinuous"/>
    </xf>
    <xf numFmtId="0" fontId="4" fillId="0" borderId="0" xfId="0" applyFont="1" applyAlignment="1">
      <alignment horizontal="center" wrapText="1"/>
    </xf>
    <xf numFmtId="0" fontId="0" fillId="0" borderId="0" xfId="0" applyAlignment="1">
      <alignment horizontal="center"/>
    </xf>
    <xf numFmtId="170" fontId="0" fillId="0" borderId="0" xfId="0" applyNumberFormat="1"/>
    <xf numFmtId="3" fontId="0" fillId="0" borderId="0" xfId="0" applyNumberFormat="1"/>
    <xf numFmtId="0" fontId="4" fillId="0" borderId="0" xfId="0" applyFont="1" applyAlignment="1">
      <alignment horizontal="center"/>
    </xf>
    <xf numFmtId="173" fontId="4" fillId="0" borderId="0" xfId="0" applyNumberFormat="1" applyFont="1"/>
    <xf numFmtId="3" fontId="24" fillId="0" borderId="0" xfId="0" applyNumberFormat="1" applyFont="1" applyFill="1" applyBorder="1" applyAlignment="1" applyProtection="1">
      <alignment horizontal="centerContinuous" vertical="center"/>
    </xf>
    <xf numFmtId="3" fontId="4" fillId="0" borderId="0" xfId="0" applyNumberFormat="1" applyFont="1" applyFill="1" applyBorder="1" applyAlignment="1" applyProtection="1">
      <alignment horizontal="centerContinuous" vertical="center"/>
    </xf>
    <xf numFmtId="3" fontId="4" fillId="0" borderId="0" xfId="0" applyNumberFormat="1" applyFont="1" applyFill="1" applyBorder="1" applyAlignment="1" applyProtection="1">
      <alignment vertical="center"/>
    </xf>
    <xf numFmtId="3" fontId="23" fillId="0" borderId="0" xfId="0" applyNumberFormat="1" applyFont="1" applyFill="1" applyBorder="1" applyAlignment="1" applyProtection="1">
      <alignment horizontal="centerContinuous" vertical="center"/>
    </xf>
    <xf numFmtId="3" fontId="7" fillId="0" borderId="0" xfId="0" applyNumberFormat="1" applyFont="1" applyFill="1" applyBorder="1" applyAlignment="1" applyProtection="1">
      <alignment horizontal="centerContinuous"/>
    </xf>
    <xf numFmtId="3" fontId="23" fillId="0" borderId="0" xfId="0" applyNumberFormat="1" applyFont="1" applyFill="1" applyBorder="1" applyAlignment="1" applyProtection="1">
      <alignment horizontal="centerContinuous"/>
    </xf>
    <xf numFmtId="3" fontId="4" fillId="0" borderId="0" xfId="0" applyNumberFormat="1" applyFont="1" applyFill="1" applyBorder="1" applyAlignment="1" applyProtection="1">
      <alignment horizontal="centerContinuous"/>
    </xf>
    <xf numFmtId="3" fontId="28" fillId="0" borderId="0" xfId="0" applyNumberFormat="1" applyFont="1" applyFill="1" applyBorder="1" applyAlignment="1" applyProtection="1">
      <alignment horizontal="centerContinuous" vertical="center"/>
    </xf>
    <xf numFmtId="3" fontId="4" fillId="0" borderId="0" xfId="0" applyNumberFormat="1" applyFont="1" applyFill="1" applyBorder="1" applyAlignment="1" applyProtection="1">
      <alignment horizontal="center"/>
    </xf>
    <xf numFmtId="0" fontId="4" fillId="0" borderId="0" xfId="0" applyFont="1" applyFill="1" applyBorder="1" applyAlignment="1" applyProtection="1">
      <alignment horizontal="center" wrapText="1"/>
      <protection locked="0"/>
    </xf>
    <xf numFmtId="49" fontId="8" fillId="9" borderId="15" xfId="0" applyNumberFormat="1" applyFont="1" applyFill="1" applyBorder="1" applyAlignment="1" applyProtection="1">
      <alignment vertical="center" wrapText="1"/>
    </xf>
    <xf numFmtId="0" fontId="18" fillId="9" borderId="15" xfId="0" applyFont="1" applyFill="1" applyBorder="1" applyAlignment="1" applyProtection="1">
      <alignment horizontal="center" vertical="center" wrapText="1"/>
    </xf>
    <xf numFmtId="0" fontId="8" fillId="9" borderId="15" xfId="0" applyFont="1" applyFill="1" applyBorder="1" applyAlignment="1" applyProtection="1">
      <alignment horizontal="center" vertical="center" wrapText="1"/>
    </xf>
    <xf numFmtId="3" fontId="37" fillId="9" borderId="16" xfId="0" applyNumberFormat="1" applyFont="1" applyFill="1" applyBorder="1" applyAlignment="1" applyProtection="1">
      <alignment horizontal="centerContinuous" vertical="center" wrapText="1"/>
      <protection locked="0"/>
    </xf>
    <xf numFmtId="3" fontId="37" fillId="9" borderId="16" xfId="0" applyNumberFormat="1" applyFont="1" applyFill="1" applyBorder="1" applyAlignment="1" applyProtection="1">
      <alignment horizontal="center" vertical="center" wrapText="1"/>
      <protection locked="0"/>
    </xf>
    <xf numFmtId="49" fontId="37" fillId="9" borderId="16" xfId="0" applyNumberFormat="1" applyFont="1" applyFill="1" applyBorder="1" applyAlignment="1" applyProtection="1">
      <alignment horizontal="center" vertical="center" wrapText="1"/>
    </xf>
    <xf numFmtId="0" fontId="37" fillId="9" borderId="16" xfId="0" applyFont="1" applyFill="1" applyBorder="1" applyAlignment="1" applyProtection="1">
      <alignment horizontal="center" vertical="center" wrapText="1"/>
    </xf>
    <xf numFmtId="0" fontId="7" fillId="9" borderId="16" xfId="0" applyFont="1" applyFill="1" applyBorder="1" applyAlignment="1" applyProtection="1">
      <alignment horizontal="center" vertical="center" wrapText="1"/>
    </xf>
    <xf numFmtId="3" fontId="37" fillId="9" borderId="16" xfId="0" applyNumberFormat="1" applyFont="1" applyFill="1" applyBorder="1" applyAlignment="1" applyProtection="1">
      <alignment horizontal="center" vertical="center" wrapText="1"/>
    </xf>
    <xf numFmtId="0" fontId="12" fillId="9" borderId="16" xfId="0" applyFont="1" applyFill="1" applyBorder="1" applyAlignment="1" applyProtection="1">
      <alignment horizontal="center" vertical="center" wrapText="1"/>
    </xf>
    <xf numFmtId="3" fontId="12" fillId="9" borderId="16" xfId="0" applyNumberFormat="1" applyFont="1" applyFill="1" applyBorder="1" applyAlignment="1" applyProtection="1">
      <alignment horizontal="center" vertical="center" wrapText="1"/>
    </xf>
    <xf numFmtId="164" fontId="9" fillId="0" borderId="0" xfId="0" applyNumberFormat="1" applyFont="1" applyFill="1" applyBorder="1" applyAlignment="1" applyProtection="1">
      <alignment horizontal="center"/>
    </xf>
    <xf numFmtId="165" fontId="9" fillId="0" borderId="0" xfId="0" applyNumberFormat="1" applyFont="1" applyFill="1" applyBorder="1" applyAlignment="1" applyProtection="1">
      <alignment horizontal="center"/>
    </xf>
    <xf numFmtId="170" fontId="37" fillId="9" borderId="17" xfId="0" applyNumberFormat="1" applyFont="1" applyFill="1" applyBorder="1" applyAlignment="1" applyProtection="1">
      <alignment horizontal="center" vertical="center"/>
    </xf>
    <xf numFmtId="168" fontId="37" fillId="9" borderId="17" xfId="0" applyNumberFormat="1" applyFont="1" applyFill="1" applyBorder="1" applyAlignment="1" applyProtection="1">
      <alignment horizontal="center" vertical="center"/>
    </xf>
    <xf numFmtId="170" fontId="37" fillId="9" borderId="15" xfId="0" applyNumberFormat="1" applyFont="1" applyFill="1" applyBorder="1" applyAlignment="1" applyProtection="1">
      <alignment horizontal="center" vertical="center"/>
    </xf>
    <xf numFmtId="168" fontId="37" fillId="9" borderId="15" xfId="0" applyNumberFormat="1" applyFont="1" applyFill="1" applyBorder="1" applyAlignment="1" applyProtection="1">
      <alignment horizontal="center" vertical="center"/>
    </xf>
    <xf numFmtId="0" fontId="18" fillId="9" borderId="16" xfId="0" applyFont="1" applyFill="1" applyBorder="1" applyAlignment="1" applyProtection="1">
      <alignment horizontal="centerContinuous" vertical="center" wrapText="1"/>
      <protection locked="0"/>
    </xf>
    <xf numFmtId="0" fontId="18" fillId="9" borderId="16" xfId="0" applyFont="1" applyFill="1" applyBorder="1" applyAlignment="1" applyProtection="1">
      <alignment horizontal="center" vertical="center" wrapText="1"/>
      <protection locked="0"/>
    </xf>
    <xf numFmtId="0" fontId="39" fillId="0" borderId="0" xfId="0" applyFont="1"/>
    <xf numFmtId="3" fontId="37" fillId="9" borderId="16" xfId="1" applyNumberFormat="1" applyFont="1" applyFill="1" applyBorder="1" applyAlignment="1">
      <alignment horizontal="center" vertical="center" wrapText="1"/>
    </xf>
    <xf numFmtId="3" fontId="37" fillId="9" borderId="16" xfId="0" applyNumberFormat="1" applyFont="1" applyFill="1" applyBorder="1" applyAlignment="1" applyProtection="1">
      <alignment horizontal="center" vertical="center" wrapText="1"/>
    </xf>
    <xf numFmtId="0" fontId="37" fillId="9" borderId="16" xfId="0" applyNumberFormat="1" applyFont="1" applyFill="1" applyBorder="1" applyAlignment="1" applyProtection="1">
      <alignment horizontal="center" vertical="center" wrapText="1"/>
    </xf>
    <xf numFmtId="0" fontId="18" fillId="9" borderId="16" xfId="0" applyFont="1" applyFill="1" applyBorder="1" applyAlignment="1" applyProtection="1">
      <alignment horizontal="centerContinuous" wrapText="1"/>
      <protection locked="0"/>
    </xf>
    <xf numFmtId="3" fontId="18" fillId="9" borderId="17" xfId="0" applyNumberFormat="1" applyFont="1" applyFill="1" applyBorder="1" applyAlignment="1" applyProtection="1">
      <alignment horizontal="centerContinuous" vertical="center" wrapText="1"/>
      <protection locked="0"/>
    </xf>
    <xf numFmtId="0" fontId="18" fillId="9" borderId="16" xfId="0" applyFont="1" applyFill="1" applyBorder="1" applyAlignment="1" applyProtection="1">
      <alignment horizontal="center" vertical="top" wrapText="1"/>
      <protection locked="0"/>
    </xf>
    <xf numFmtId="3" fontId="18" fillId="9" borderId="16" xfId="0" applyNumberFormat="1" applyFont="1" applyFill="1" applyBorder="1" applyAlignment="1" applyProtection="1">
      <alignment horizontal="center" vertical="top" wrapText="1"/>
      <protection locked="0"/>
    </xf>
    <xf numFmtId="3" fontId="18" fillId="9" borderId="18" xfId="0" applyNumberFormat="1" applyFont="1" applyFill="1" applyBorder="1" applyAlignment="1" applyProtection="1">
      <alignment horizontal="center" vertical="top" wrapText="1"/>
      <protection locked="0"/>
    </xf>
    <xf numFmtId="3" fontId="18" fillId="9" borderId="16" xfId="0" applyNumberFormat="1" applyFont="1" applyFill="1" applyBorder="1" applyAlignment="1" applyProtection="1">
      <alignment horizontal="centerContinuous" vertical="center" wrapText="1"/>
    </xf>
    <xf numFmtId="0" fontId="4" fillId="0" borderId="0" xfId="0" applyFont="1" applyAlignment="1">
      <alignment horizontal="left"/>
    </xf>
    <xf numFmtId="0" fontId="5" fillId="2" borderId="0" xfId="0" applyFont="1" applyFill="1" applyBorder="1" applyAlignment="1" applyProtection="1">
      <alignment horizontal="center" vertical="center" wrapText="1"/>
    </xf>
    <xf numFmtId="0" fontId="74" fillId="0" borderId="16" xfId="0" applyNumberFormat="1" applyFont="1" applyFill="1" applyBorder="1" applyAlignment="1" applyProtection="1">
      <alignment horizontal="center" vertical="center"/>
      <protection hidden="1"/>
    </xf>
    <xf numFmtId="3" fontId="5" fillId="0" borderId="0" xfId="0" applyNumberFormat="1" applyFont="1" applyAlignment="1">
      <alignment vertical="center"/>
    </xf>
    <xf numFmtId="0" fontId="5" fillId="0" borderId="0" xfId="0" applyNumberFormat="1" applyFont="1" applyAlignment="1">
      <alignment vertical="center"/>
    </xf>
    <xf numFmtId="0" fontId="8" fillId="0" borderId="0" xfId="0" applyNumberFormat="1" applyFont="1" applyAlignment="1">
      <alignment vertical="center"/>
    </xf>
    <xf numFmtId="0" fontId="41" fillId="0" borderId="0" xfId="0" applyFont="1" applyAlignment="1">
      <alignment horizontal="left"/>
    </xf>
    <xf numFmtId="3" fontId="7" fillId="0" borderId="0" xfId="0" applyNumberFormat="1" applyFont="1"/>
    <xf numFmtId="0" fontId="75" fillId="0" borderId="9" xfId="0" applyFont="1" applyBorder="1"/>
    <xf numFmtId="0" fontId="75" fillId="0" borderId="10" xfId="0" applyFont="1" applyBorder="1"/>
    <xf numFmtId="0" fontId="13" fillId="0" borderId="0" xfId="0" applyNumberFormat="1" applyFont="1" applyFill="1" applyBorder="1" applyAlignment="1" applyProtection="1">
      <alignment horizontal="centerContinuous" vertical="center"/>
      <protection hidden="1"/>
    </xf>
    <xf numFmtId="2" fontId="14" fillId="0" borderId="0" xfId="0" applyNumberFormat="1" applyFont="1" applyFill="1" applyBorder="1" applyAlignment="1" applyProtection="1">
      <alignment horizontal="centerContinuous" vertical="center"/>
      <protection hidden="1"/>
    </xf>
    <xf numFmtId="0" fontId="76" fillId="10" borderId="0" xfId="0" applyNumberFormat="1" applyFont="1" applyFill="1" applyBorder="1" applyAlignment="1" applyProtection="1">
      <alignment horizontal="centerContinuous" vertical="center"/>
      <protection hidden="1"/>
    </xf>
    <xf numFmtId="0" fontId="4" fillId="0" borderId="0" xfId="0" applyFont="1" applyProtection="1">
      <protection hidden="1"/>
    </xf>
    <xf numFmtId="0" fontId="8" fillId="7" borderId="0" xfId="0" applyNumberFormat="1" applyFont="1" applyFill="1" applyBorder="1" applyAlignment="1" applyProtection="1">
      <alignment horizontal="center" vertical="center"/>
      <protection hidden="1"/>
    </xf>
    <xf numFmtId="2" fontId="8" fillId="7" borderId="0" xfId="0" applyNumberFormat="1" applyFont="1" applyFill="1" applyBorder="1" applyAlignment="1" applyProtection="1">
      <alignment vertical="center"/>
      <protection hidden="1"/>
    </xf>
    <xf numFmtId="0" fontId="5" fillId="0" borderId="0" xfId="0" applyNumberFormat="1" applyFont="1" applyFill="1" applyBorder="1" applyAlignment="1" applyProtection="1">
      <alignment horizontal="center" vertical="center"/>
      <protection hidden="1"/>
    </xf>
    <xf numFmtId="0" fontId="8" fillId="0" borderId="17" xfId="0" applyNumberFormat="1" applyFont="1" applyFill="1" applyBorder="1" applyAlignment="1" applyProtection="1">
      <alignment horizontal="center" vertical="center"/>
      <protection hidden="1"/>
    </xf>
    <xf numFmtId="0" fontId="8" fillId="0" borderId="16" xfId="0" applyNumberFormat="1" applyFont="1" applyFill="1" applyBorder="1" applyAlignment="1" applyProtection="1">
      <alignment horizontal="center" vertical="center"/>
      <protection hidden="1"/>
    </xf>
    <xf numFmtId="0" fontId="5" fillId="0" borderId="16" xfId="0" applyNumberFormat="1" applyFont="1" applyFill="1" applyBorder="1" applyAlignment="1" applyProtection="1">
      <alignment horizontal="center" vertical="center"/>
      <protection hidden="1"/>
    </xf>
    <xf numFmtId="2" fontId="5" fillId="0" borderId="16" xfId="0" applyNumberFormat="1" applyFont="1" applyFill="1" applyBorder="1" applyAlignment="1" applyProtection="1">
      <alignment vertical="center"/>
      <protection hidden="1"/>
    </xf>
    <xf numFmtId="2" fontId="5" fillId="0" borderId="16" xfId="0" applyNumberFormat="1" applyFont="1" applyFill="1" applyBorder="1" applyAlignment="1" applyProtection="1">
      <alignment horizontal="center" vertical="center"/>
      <protection hidden="1"/>
    </xf>
    <xf numFmtId="167" fontId="8" fillId="7" borderId="0" xfId="0" applyNumberFormat="1" applyFont="1" applyFill="1" applyBorder="1" applyAlignment="1" applyProtection="1">
      <alignment vertical="center"/>
      <protection hidden="1"/>
    </xf>
    <xf numFmtId="2" fontId="5" fillId="8" borderId="16" xfId="0" applyNumberFormat="1" applyFont="1" applyFill="1" applyBorder="1" applyAlignment="1" applyProtection="1">
      <alignment vertical="center"/>
      <protection hidden="1"/>
    </xf>
    <xf numFmtId="0" fontId="5" fillId="8" borderId="16" xfId="0" applyNumberFormat="1" applyFont="1" applyFill="1" applyBorder="1" applyAlignment="1" applyProtection="1">
      <alignment horizontal="center" vertical="center"/>
      <protection hidden="1"/>
    </xf>
    <xf numFmtId="167" fontId="5" fillId="8" borderId="16" xfId="0" applyNumberFormat="1" applyFont="1" applyFill="1" applyBorder="1" applyAlignment="1" applyProtection="1">
      <alignment vertical="center"/>
      <protection hidden="1"/>
    </xf>
    <xf numFmtId="2" fontId="8" fillId="0" borderId="17" xfId="0" applyNumberFormat="1" applyFont="1" applyFill="1" applyBorder="1" applyAlignment="1" applyProtection="1">
      <alignment vertical="center"/>
      <protection hidden="1"/>
    </xf>
    <xf numFmtId="2" fontId="5" fillId="0" borderId="17" xfId="0" applyNumberFormat="1" applyFont="1" applyFill="1" applyBorder="1" applyAlignment="1" applyProtection="1">
      <alignment vertical="center"/>
      <protection hidden="1"/>
    </xf>
    <xf numFmtId="0" fontId="5" fillId="0" borderId="9" xfId="0" applyNumberFormat="1" applyFont="1" applyFill="1" applyBorder="1" applyAlignment="1" applyProtection="1">
      <alignment horizontal="center" vertical="center"/>
      <protection hidden="1"/>
    </xf>
    <xf numFmtId="2" fontId="5" fillId="0" borderId="9" xfId="0" applyNumberFormat="1" applyFont="1" applyFill="1" applyBorder="1" applyAlignment="1" applyProtection="1">
      <alignment vertical="center"/>
      <protection hidden="1"/>
    </xf>
    <xf numFmtId="2" fontId="5" fillId="0" borderId="9" xfId="0" applyNumberFormat="1" applyFont="1" applyFill="1" applyBorder="1" applyAlignment="1" applyProtection="1">
      <alignment horizontal="center" vertical="center"/>
      <protection hidden="1"/>
    </xf>
    <xf numFmtId="0" fontId="5" fillId="0" borderId="10" xfId="0" applyNumberFormat="1" applyFont="1" applyFill="1" applyBorder="1" applyAlignment="1" applyProtection="1">
      <alignment horizontal="center" vertical="center"/>
      <protection hidden="1"/>
    </xf>
    <xf numFmtId="2" fontId="5" fillId="0" borderId="10" xfId="0" applyNumberFormat="1" applyFont="1" applyFill="1" applyBorder="1" applyAlignment="1" applyProtection="1">
      <alignment horizontal="center" vertical="center"/>
      <protection hidden="1"/>
    </xf>
    <xf numFmtId="10" fontId="5" fillId="0" borderId="10" xfId="0" applyNumberFormat="1" applyFont="1" applyFill="1" applyBorder="1" applyAlignment="1" applyProtection="1">
      <alignment vertical="center"/>
      <protection hidden="1"/>
    </xf>
    <xf numFmtId="3" fontId="5" fillId="0" borderId="10" xfId="0" applyNumberFormat="1" applyFont="1" applyFill="1" applyBorder="1" applyAlignment="1" applyProtection="1">
      <alignment vertical="center"/>
      <protection hidden="1"/>
    </xf>
    <xf numFmtId="2" fontId="8" fillId="0" borderId="10" xfId="0" applyNumberFormat="1" applyFont="1" applyFill="1" applyBorder="1" applyAlignment="1" applyProtection="1">
      <alignment vertical="center"/>
      <protection hidden="1"/>
    </xf>
    <xf numFmtId="0" fontId="5" fillId="0" borderId="11" xfId="0" applyNumberFormat="1" applyFont="1" applyFill="1" applyBorder="1" applyAlignment="1" applyProtection="1">
      <alignment horizontal="center" vertical="center"/>
      <protection hidden="1"/>
    </xf>
    <xf numFmtId="2" fontId="8" fillId="0" borderId="11" xfId="0" applyNumberFormat="1" applyFont="1" applyFill="1" applyBorder="1" applyAlignment="1" applyProtection="1">
      <alignment vertical="center"/>
      <protection hidden="1"/>
    </xf>
    <xf numFmtId="2" fontId="5" fillId="0" borderId="11" xfId="0" applyNumberFormat="1" applyFont="1" applyFill="1" applyBorder="1" applyAlignment="1" applyProtection="1">
      <alignment horizontal="center" vertical="center"/>
      <protection hidden="1"/>
    </xf>
    <xf numFmtId="0" fontId="5" fillId="0" borderId="10" xfId="0" applyNumberFormat="1" applyFont="1" applyFill="1" applyBorder="1" applyAlignment="1" applyProtection="1">
      <alignment vertical="center"/>
      <protection hidden="1"/>
    </xf>
    <xf numFmtId="0" fontId="8" fillId="8" borderId="16" xfId="0" applyNumberFormat="1" applyFont="1" applyFill="1" applyBorder="1" applyAlignment="1" applyProtection="1">
      <alignment horizontal="center" vertical="center"/>
      <protection hidden="1"/>
    </xf>
    <xf numFmtId="2" fontId="8" fillId="8" borderId="16" xfId="0" applyNumberFormat="1" applyFont="1" applyFill="1" applyBorder="1" applyAlignment="1" applyProtection="1">
      <alignment vertical="center"/>
      <protection hidden="1"/>
    </xf>
    <xf numFmtId="2" fontId="8" fillId="8" borderId="17" xfId="0" applyNumberFormat="1" applyFont="1" applyFill="1" applyBorder="1" applyAlignment="1" applyProtection="1">
      <alignment vertical="center"/>
      <protection hidden="1"/>
    </xf>
    <xf numFmtId="0" fontId="8" fillId="0" borderId="9" xfId="0" applyNumberFormat="1" applyFont="1" applyFill="1" applyBorder="1" applyAlignment="1" applyProtection="1">
      <alignment horizontal="center" vertical="center"/>
      <protection hidden="1"/>
    </xf>
    <xf numFmtId="0" fontId="8" fillId="0" borderId="10" xfId="0" applyNumberFormat="1" applyFont="1" applyFill="1" applyBorder="1" applyAlignment="1" applyProtection="1">
      <alignment horizontal="center" vertical="center"/>
      <protection hidden="1"/>
    </xf>
    <xf numFmtId="0" fontId="8" fillId="8" borderId="19" xfId="0" applyNumberFormat="1" applyFont="1" applyFill="1" applyBorder="1" applyAlignment="1" applyProtection="1">
      <alignment horizontal="center" vertical="center"/>
      <protection hidden="1"/>
    </xf>
    <xf numFmtId="2" fontId="8" fillId="8" borderId="19" xfId="0" applyNumberFormat="1" applyFont="1" applyFill="1" applyBorder="1" applyAlignment="1" applyProtection="1">
      <alignment vertical="center"/>
      <protection hidden="1"/>
    </xf>
    <xf numFmtId="2" fontId="5" fillId="8" borderId="20" xfId="0" applyNumberFormat="1" applyFont="1" applyFill="1" applyBorder="1" applyAlignment="1" applyProtection="1">
      <alignment vertical="center"/>
      <protection hidden="1"/>
    </xf>
    <xf numFmtId="2" fontId="5" fillId="8" borderId="0" xfId="0" applyNumberFormat="1" applyFont="1" applyFill="1" applyBorder="1" applyAlignment="1" applyProtection="1">
      <alignment vertical="center"/>
      <protection hidden="1"/>
    </xf>
    <xf numFmtId="0" fontId="4" fillId="0" borderId="0" xfId="0" applyFont="1" applyBorder="1" applyProtection="1">
      <protection hidden="1"/>
    </xf>
    <xf numFmtId="0" fontId="5" fillId="0" borderId="9" xfId="0" applyNumberFormat="1" applyFont="1" applyFill="1" applyBorder="1" applyAlignment="1" applyProtection="1">
      <alignment vertical="center"/>
      <protection locked="0"/>
    </xf>
    <xf numFmtId="0" fontId="5" fillId="0" borderId="10" xfId="0" applyNumberFormat="1" applyFont="1" applyFill="1" applyBorder="1" applyAlignment="1" applyProtection="1">
      <alignment vertical="center"/>
      <protection locked="0"/>
    </xf>
    <xf numFmtId="2" fontId="5" fillId="0" borderId="10" xfId="0" applyNumberFormat="1" applyFont="1" applyFill="1" applyBorder="1" applyAlignment="1" applyProtection="1">
      <alignment vertical="center"/>
      <protection locked="0"/>
    </xf>
    <xf numFmtId="2" fontId="15" fillId="0" borderId="10" xfId="0" applyNumberFormat="1" applyFont="1" applyFill="1" applyBorder="1" applyAlignment="1" applyProtection="1">
      <alignment vertical="center"/>
      <protection locked="0"/>
    </xf>
    <xf numFmtId="2" fontId="42" fillId="0" borderId="10" xfId="0" applyNumberFormat="1" applyFont="1" applyFill="1" applyBorder="1" applyAlignment="1" applyProtection="1">
      <alignment vertical="center"/>
      <protection locked="0"/>
    </xf>
    <xf numFmtId="2" fontId="5" fillId="0" borderId="11" xfId="0" applyNumberFormat="1" applyFont="1" applyFill="1" applyBorder="1" applyAlignment="1" applyProtection="1">
      <alignment vertical="center"/>
      <protection locked="0"/>
    </xf>
    <xf numFmtId="3" fontId="18" fillId="0" borderId="16" xfId="0" applyNumberFormat="1" applyFont="1" applyFill="1" applyBorder="1" applyAlignment="1" applyProtection="1">
      <alignment horizontal="center" vertical="center" wrapText="1"/>
    </xf>
    <xf numFmtId="0" fontId="19" fillId="0" borderId="0" xfId="0" applyFont="1" applyFill="1" applyBorder="1" applyAlignment="1" applyProtection="1">
      <alignment horizontal="centerContinuous" wrapText="1"/>
    </xf>
    <xf numFmtId="0" fontId="4" fillId="0" borderId="0" xfId="0" applyFont="1" applyAlignment="1">
      <alignment horizontal="centerContinuous" wrapText="1"/>
    </xf>
    <xf numFmtId="3" fontId="4" fillId="0" borderId="0" xfId="0" applyNumberFormat="1" applyFont="1" applyAlignment="1">
      <alignment horizontal="centerContinuous" wrapText="1"/>
    </xf>
    <xf numFmtId="0" fontId="8" fillId="0" borderId="0" xfId="0" applyFont="1" applyFill="1" applyBorder="1" applyAlignment="1" applyProtection="1">
      <alignment horizontal="centerContinuous" wrapText="1"/>
    </xf>
    <xf numFmtId="167" fontId="4" fillId="0" borderId="0" xfId="0" applyNumberFormat="1" applyFont="1" applyAlignment="1">
      <alignment vertical="center" wrapText="1"/>
    </xf>
    <xf numFmtId="170" fontId="4" fillId="0" borderId="10" xfId="0" applyNumberFormat="1" applyFont="1" applyBorder="1" applyAlignment="1">
      <alignment vertical="center" wrapText="1"/>
    </xf>
    <xf numFmtId="3" fontId="4" fillId="0" borderId="10" xfId="0" applyNumberFormat="1" applyFont="1" applyBorder="1" applyAlignment="1">
      <alignment vertical="center" wrapText="1"/>
    </xf>
    <xf numFmtId="167" fontId="4" fillId="0" borderId="10" xfId="0" applyNumberFormat="1" applyFont="1" applyBorder="1" applyAlignment="1">
      <alignment vertical="center" wrapText="1"/>
    </xf>
    <xf numFmtId="170" fontId="4" fillId="0" borderId="11" xfId="0" applyNumberFormat="1" applyFont="1" applyBorder="1" applyAlignment="1">
      <alignment vertical="center" wrapText="1"/>
    </xf>
    <xf numFmtId="3" fontId="4" fillId="0" borderId="11" xfId="0" applyNumberFormat="1" applyFont="1" applyBorder="1" applyAlignment="1">
      <alignment vertical="center" wrapText="1"/>
    </xf>
    <xf numFmtId="167" fontId="4" fillId="0" borderId="11" xfId="0" applyNumberFormat="1" applyFont="1" applyBorder="1" applyAlignment="1">
      <alignment vertical="center" wrapText="1"/>
    </xf>
    <xf numFmtId="167" fontId="5" fillId="9" borderId="15" xfId="0" applyNumberFormat="1" applyFont="1" applyFill="1" applyBorder="1" applyAlignment="1" applyProtection="1">
      <alignment vertical="center" wrapText="1"/>
    </xf>
    <xf numFmtId="170" fontId="8" fillId="9" borderId="15" xfId="0" applyNumberFormat="1" applyFont="1" applyFill="1" applyBorder="1" applyAlignment="1" applyProtection="1">
      <alignment vertical="center" wrapText="1"/>
    </xf>
    <xf numFmtId="3" fontId="8" fillId="9" borderId="15" xfId="0" applyNumberFormat="1" applyFont="1" applyFill="1" applyBorder="1" applyAlignment="1" applyProtection="1">
      <alignment vertical="center" wrapText="1"/>
    </xf>
    <xf numFmtId="171" fontId="8" fillId="9" borderId="15" xfId="0" applyNumberFormat="1" applyFont="1" applyFill="1" applyBorder="1" applyAlignment="1" applyProtection="1">
      <alignment vertical="center" wrapText="1"/>
    </xf>
    <xf numFmtId="167" fontId="8" fillId="9" borderId="15" xfId="0" applyNumberFormat="1" applyFont="1" applyFill="1" applyBorder="1" applyAlignment="1" applyProtection="1">
      <alignment vertical="center" wrapText="1"/>
    </xf>
    <xf numFmtId="170" fontId="4" fillId="0" borderId="0" xfId="0" applyNumberFormat="1" applyFont="1" applyAlignment="1">
      <alignment vertical="center" wrapText="1"/>
    </xf>
    <xf numFmtId="3" fontId="4" fillId="0" borderId="0" xfId="0" applyNumberFormat="1" applyFont="1" applyAlignment="1">
      <alignment vertical="center" wrapText="1"/>
    </xf>
    <xf numFmtId="173" fontId="4" fillId="0" borderId="0" xfId="0" applyNumberFormat="1" applyFont="1" applyAlignment="1">
      <alignment horizontal="centerContinuous" wrapText="1"/>
    </xf>
    <xf numFmtId="173" fontId="37" fillId="9" borderId="16" xfId="0" applyNumberFormat="1" applyFont="1" applyFill="1" applyBorder="1" applyAlignment="1" applyProtection="1">
      <alignment horizontal="center" vertical="center" wrapText="1"/>
    </xf>
    <xf numFmtId="173" fontId="4" fillId="0" borderId="0" xfId="0" applyNumberFormat="1" applyFont="1" applyAlignment="1">
      <alignment vertical="center" wrapText="1"/>
    </xf>
    <xf numFmtId="0" fontId="7" fillId="0" borderId="0" xfId="0" applyFont="1" applyAlignment="1">
      <alignment horizontal="centerContinuous" wrapText="1"/>
    </xf>
    <xf numFmtId="0" fontId="7" fillId="0" borderId="0" xfId="0" applyFont="1" applyAlignment="1">
      <alignment wrapText="1"/>
    </xf>
    <xf numFmtId="173" fontId="7" fillId="0" borderId="0" xfId="0" applyNumberFormat="1" applyFont="1" applyAlignment="1">
      <alignment horizontal="centerContinuous" wrapText="1"/>
    </xf>
    <xf numFmtId="3" fontId="7" fillId="0" borderId="0" xfId="0" applyNumberFormat="1" applyFont="1" applyAlignment="1">
      <alignment horizontal="centerContinuous" wrapText="1"/>
    </xf>
    <xf numFmtId="170" fontId="4" fillId="0" borderId="0" xfId="0" applyNumberFormat="1" applyFont="1" applyAlignment="1">
      <alignment horizontal="centerContinuous" wrapText="1"/>
    </xf>
    <xf numFmtId="170" fontId="7" fillId="0" borderId="0" xfId="0" applyNumberFormat="1" applyFont="1" applyAlignment="1">
      <alignment horizontal="centerContinuous" wrapText="1"/>
    </xf>
    <xf numFmtId="170" fontId="4" fillId="0" borderId="0" xfId="0" applyNumberFormat="1" applyFont="1" applyAlignment="1">
      <alignment wrapText="1"/>
    </xf>
    <xf numFmtId="3" fontId="4" fillId="0" borderId="0" xfId="0" applyNumberFormat="1" applyFont="1" applyAlignment="1">
      <alignment wrapText="1"/>
    </xf>
    <xf numFmtId="173" fontId="8" fillId="0" borderId="9" xfId="0" applyNumberFormat="1" applyFont="1" applyFill="1" applyBorder="1" applyAlignment="1" applyProtection="1">
      <alignment vertical="center"/>
      <protection hidden="1"/>
    </xf>
    <xf numFmtId="173" fontId="8" fillId="0" borderId="10" xfId="0" applyNumberFormat="1" applyFont="1" applyFill="1" applyBorder="1" applyAlignment="1" applyProtection="1">
      <alignment vertical="center"/>
      <protection hidden="1"/>
    </xf>
    <xf numFmtId="2" fontId="5" fillId="0" borderId="9" xfId="0" applyNumberFormat="1" applyFont="1" applyFill="1" applyBorder="1" applyAlignment="1" applyProtection="1">
      <alignment vertical="center"/>
      <protection locked="0"/>
    </xf>
    <xf numFmtId="0" fontId="5" fillId="0" borderId="11" xfId="0" applyNumberFormat="1" applyFont="1" applyFill="1" applyBorder="1" applyAlignment="1" applyProtection="1">
      <alignment vertical="center"/>
      <protection locked="0"/>
    </xf>
    <xf numFmtId="0" fontId="8" fillId="0" borderId="9" xfId="0" applyNumberFormat="1" applyFont="1" applyFill="1" applyBorder="1" applyAlignment="1" applyProtection="1">
      <alignment horizontal="left" vertical="center"/>
      <protection hidden="1"/>
    </xf>
    <xf numFmtId="0" fontId="37" fillId="9" borderId="17" xfId="0" applyFont="1" applyFill="1" applyBorder="1" applyAlignment="1" applyProtection="1">
      <alignment horizontal="center" vertical="center" wrapText="1"/>
    </xf>
    <xf numFmtId="3" fontId="37" fillId="9" borderId="17" xfId="0" applyNumberFormat="1" applyFont="1" applyFill="1" applyBorder="1" applyAlignment="1" applyProtection="1">
      <alignment horizontal="center" vertical="center" wrapText="1"/>
    </xf>
    <xf numFmtId="0" fontId="37" fillId="9" borderId="15" xfId="0" applyFont="1" applyFill="1" applyBorder="1" applyAlignment="1" applyProtection="1">
      <alignment horizontal="center" vertical="center" wrapText="1"/>
    </xf>
    <xf numFmtId="3" fontId="37" fillId="9" borderId="15" xfId="0" applyNumberFormat="1" applyFont="1" applyFill="1" applyBorder="1" applyAlignment="1" applyProtection="1">
      <alignment horizontal="center" vertical="center" wrapText="1"/>
    </xf>
    <xf numFmtId="0" fontId="4" fillId="0" borderId="9" xfId="0" applyNumberFormat="1" applyFont="1" applyFill="1" applyBorder="1" applyAlignment="1" applyProtection="1">
      <alignment horizontal="center" vertical="center"/>
    </xf>
    <xf numFmtId="0" fontId="4" fillId="0" borderId="9" xfId="0" applyNumberFormat="1" applyFont="1" applyFill="1" applyBorder="1" applyAlignment="1" applyProtection="1">
      <alignment horizontal="center"/>
    </xf>
    <xf numFmtId="0" fontId="4" fillId="0" borderId="9" xfId="0" applyNumberFormat="1" applyFont="1" applyFill="1" applyBorder="1" applyAlignment="1" applyProtection="1">
      <alignment vertical="center"/>
    </xf>
    <xf numFmtId="3" fontId="4" fillId="0" borderId="9" xfId="0" applyNumberFormat="1" applyFont="1" applyFill="1" applyBorder="1" applyAlignment="1" applyProtection="1">
      <alignment horizontal="right" vertical="center"/>
    </xf>
    <xf numFmtId="3" fontId="4" fillId="0" borderId="9" xfId="0" applyNumberFormat="1" applyFont="1" applyFill="1" applyBorder="1" applyAlignment="1">
      <alignment horizontal="right" vertical="center" wrapText="1"/>
    </xf>
    <xf numFmtId="0" fontId="4" fillId="0" borderId="9" xfId="0" applyFont="1" applyBorder="1"/>
    <xf numFmtId="170" fontId="37" fillId="9" borderId="17" xfId="0" applyNumberFormat="1" applyFont="1" applyFill="1" applyBorder="1" applyAlignment="1" applyProtection="1">
      <alignment horizontal="center" vertical="center" wrapText="1"/>
    </xf>
    <xf numFmtId="173" fontId="37" fillId="9" borderId="17" xfId="0" applyNumberFormat="1" applyFont="1" applyFill="1" applyBorder="1" applyAlignment="1" applyProtection="1">
      <alignment horizontal="center" vertical="center" wrapText="1"/>
    </xf>
    <xf numFmtId="0" fontId="43" fillId="9" borderId="17" xfId="0" applyFont="1" applyFill="1" applyBorder="1" applyAlignment="1">
      <alignment horizontal="center" wrapText="1"/>
    </xf>
    <xf numFmtId="0" fontId="73" fillId="9" borderId="16" xfId="0" applyFont="1" applyFill="1" applyBorder="1" applyAlignment="1">
      <alignment horizontal="center" wrapText="1"/>
    </xf>
    <xf numFmtId="0" fontId="43" fillId="9" borderId="16" xfId="0" applyFont="1" applyFill="1" applyBorder="1" applyAlignment="1">
      <alignment horizontal="center" wrapText="1"/>
    </xf>
    <xf numFmtId="0" fontId="43" fillId="9" borderId="21" xfId="0" applyFont="1" applyFill="1" applyBorder="1" applyAlignment="1">
      <alignment horizontal="center" wrapText="1"/>
    </xf>
    <xf numFmtId="0" fontId="7" fillId="0" borderId="16" xfId="0" applyFont="1" applyBorder="1" applyAlignment="1">
      <alignment horizontal="center"/>
    </xf>
    <xf numFmtId="0" fontId="4" fillId="0" borderId="16" xfId="0" applyFont="1" applyBorder="1"/>
    <xf numFmtId="0" fontId="4" fillId="0" borderId="16" xfId="0" applyFont="1" applyFill="1" applyBorder="1" applyAlignment="1">
      <alignment horizontal="left" vertical="center"/>
    </xf>
    <xf numFmtId="0" fontId="4" fillId="0" borderId="16" xfId="0" applyFont="1" applyBorder="1" applyAlignment="1">
      <alignment horizontal="center"/>
    </xf>
    <xf numFmtId="0" fontId="7" fillId="0" borderId="16" xfId="0" applyFont="1" applyBorder="1"/>
    <xf numFmtId="3" fontId="4" fillId="0" borderId="16" xfId="0" applyNumberFormat="1" applyFont="1" applyBorder="1"/>
    <xf numFmtId="3" fontId="7" fillId="0" borderId="16" xfId="0" applyNumberFormat="1" applyFont="1" applyBorder="1"/>
    <xf numFmtId="0" fontId="25" fillId="0" borderId="0" xfId="0" applyFont="1"/>
    <xf numFmtId="0" fontId="25" fillId="0" borderId="0" xfId="0" applyFont="1" applyAlignment="1">
      <alignment vertical="top"/>
    </xf>
    <xf numFmtId="0" fontId="44" fillId="0" borderId="0" xfId="0" quotePrefix="1" applyFont="1" applyFill="1"/>
    <xf numFmtId="0" fontId="5" fillId="0" borderId="0" xfId="0" quotePrefix="1" applyFont="1" applyFill="1"/>
    <xf numFmtId="0" fontId="4" fillId="11" borderId="0" xfId="0" quotePrefix="1" applyFont="1" applyFill="1"/>
    <xf numFmtId="0" fontId="17" fillId="11" borderId="0" xfId="0" quotePrefix="1" applyFont="1" applyFill="1"/>
    <xf numFmtId="0" fontId="41" fillId="0" borderId="0" xfId="0" applyFont="1"/>
    <xf numFmtId="0" fontId="8" fillId="0" borderId="16" xfId="0" applyFont="1" applyFill="1" applyBorder="1" applyAlignment="1">
      <alignment horizontal="centerContinuous" vertical="center"/>
    </xf>
    <xf numFmtId="0" fontId="8" fillId="0" borderId="15" xfId="0" applyFont="1" applyFill="1" applyBorder="1" applyAlignment="1">
      <alignment horizontal="center" vertical="center"/>
    </xf>
    <xf numFmtId="0" fontId="8" fillId="11" borderId="16" xfId="0" applyFont="1" applyFill="1" applyBorder="1" applyAlignment="1">
      <alignment horizontal="centerContinuous" vertical="center"/>
    </xf>
    <xf numFmtId="0" fontId="8" fillId="11" borderId="16" xfId="0" applyFont="1" applyFill="1" applyBorder="1" applyAlignment="1">
      <alignment horizontal="center" vertical="center"/>
    </xf>
    <xf numFmtId="0" fontId="5" fillId="11" borderId="16" xfId="0" applyFont="1" applyFill="1" applyBorder="1" applyAlignment="1">
      <alignment horizontal="center" vertical="center"/>
    </xf>
    <xf numFmtId="0" fontId="5" fillId="11" borderId="16" xfId="0" applyFont="1" applyFill="1" applyBorder="1" applyAlignment="1">
      <alignment horizontal="justify" vertical="center" wrapText="1"/>
    </xf>
    <xf numFmtId="168" fontId="5" fillId="11" borderId="16" xfId="0" applyNumberFormat="1" applyFont="1" applyFill="1" applyBorder="1" applyAlignment="1" applyProtection="1">
      <alignment horizontal="center" vertical="center"/>
    </xf>
    <xf numFmtId="0" fontId="5" fillId="0" borderId="16" xfId="0" applyFont="1" applyFill="1" applyBorder="1" applyAlignment="1">
      <alignment horizontal="center" vertical="center"/>
    </xf>
    <xf numFmtId="0" fontId="5" fillId="0" borderId="16" xfId="0" applyFont="1" applyFill="1" applyBorder="1" applyAlignment="1">
      <alignment horizontal="justify" vertical="center" wrapText="1"/>
    </xf>
    <xf numFmtId="0" fontId="5" fillId="10" borderId="16" xfId="0" applyFont="1" applyFill="1" applyBorder="1" applyAlignment="1">
      <alignment horizontal="center" vertical="center"/>
    </xf>
    <xf numFmtId="173" fontId="5" fillId="0" borderId="16" xfId="0" applyNumberFormat="1" applyFont="1" applyFill="1" applyBorder="1" applyAlignment="1">
      <alignment horizontal="center" vertical="center"/>
    </xf>
    <xf numFmtId="0" fontId="17" fillId="11" borderId="16" xfId="0" quotePrefix="1" applyFont="1" applyFill="1" applyBorder="1"/>
    <xf numFmtId="3" fontId="5" fillId="11" borderId="16" xfId="0" applyNumberFormat="1" applyFont="1" applyFill="1" applyBorder="1" applyAlignment="1" applyProtection="1">
      <alignment horizontal="center" vertical="center"/>
    </xf>
    <xf numFmtId="0" fontId="4" fillId="12" borderId="0" xfId="0" applyFont="1" applyFill="1" applyProtection="1">
      <protection hidden="1"/>
    </xf>
    <xf numFmtId="0" fontId="4" fillId="11" borderId="0" xfId="0" applyFont="1" applyFill="1" applyProtection="1">
      <protection hidden="1"/>
    </xf>
    <xf numFmtId="2" fontId="8" fillId="11" borderId="9" xfId="0" applyNumberFormat="1" applyFont="1" applyFill="1" applyBorder="1" applyAlignment="1" applyProtection="1">
      <alignment vertical="center"/>
      <protection hidden="1"/>
    </xf>
    <xf numFmtId="0" fontId="37" fillId="9" borderId="17" xfId="0" applyFont="1" applyFill="1" applyBorder="1" applyAlignment="1" applyProtection="1">
      <alignment horizontal="center" vertical="center" wrapText="1"/>
    </xf>
    <xf numFmtId="0" fontId="37" fillId="9" borderId="17" xfId="0" applyFont="1" applyFill="1" applyBorder="1" applyAlignment="1" applyProtection="1">
      <alignment horizontal="center" vertical="center" wrapText="1"/>
      <protection locked="0"/>
    </xf>
    <xf numFmtId="0" fontId="77" fillId="0" borderId="0" xfId="0" applyFont="1" applyFill="1" applyAlignment="1">
      <alignment vertical="center" wrapText="1"/>
    </xf>
    <xf numFmtId="0" fontId="77" fillId="0" borderId="0" xfId="0" applyFont="1" applyFill="1" applyAlignment="1">
      <alignment horizontal="center" vertical="center" wrapText="1"/>
    </xf>
    <xf numFmtId="170" fontId="77" fillId="0" borderId="0" xfId="0" applyNumberFormat="1" applyFont="1" applyFill="1" applyAlignment="1">
      <alignment vertical="center" wrapText="1"/>
    </xf>
    <xf numFmtId="170" fontId="37" fillId="9" borderId="22" xfId="0" applyNumberFormat="1" applyFont="1" applyFill="1" applyBorder="1" applyAlignment="1" applyProtection="1">
      <alignment horizontal="center" vertical="center" wrapText="1"/>
    </xf>
    <xf numFmtId="0" fontId="18" fillId="9" borderId="17" xfId="0" applyFont="1" applyFill="1" applyBorder="1" applyAlignment="1" applyProtection="1">
      <alignment horizontal="center" vertical="top" wrapText="1"/>
      <protection locked="0"/>
    </xf>
    <xf numFmtId="3" fontId="37" fillId="9" borderId="17" xfId="0" applyNumberFormat="1" applyFont="1" applyFill="1" applyBorder="1" applyAlignment="1" applyProtection="1">
      <alignment horizontal="center" vertical="center" wrapText="1"/>
      <protection locked="0"/>
    </xf>
    <xf numFmtId="0" fontId="37" fillId="9" borderId="16" xfId="0" applyFont="1" applyFill="1" applyBorder="1" applyAlignment="1" applyProtection="1">
      <alignment horizontal="center" vertical="center" wrapText="1"/>
    </xf>
    <xf numFmtId="3" fontId="37" fillId="9" borderId="16" xfId="0" applyNumberFormat="1" applyFont="1" applyFill="1" applyBorder="1" applyAlignment="1" applyProtection="1">
      <alignment horizontal="center" vertical="center" wrapText="1"/>
    </xf>
    <xf numFmtId="170" fontId="37" fillId="9" borderId="17" xfId="0" applyNumberFormat="1" applyFont="1" applyFill="1" applyBorder="1" applyAlignment="1" applyProtection="1">
      <alignment horizontal="center" vertical="center" wrapText="1"/>
    </xf>
    <xf numFmtId="173" fontId="37" fillId="9" borderId="17" xfId="0" applyNumberFormat="1" applyFont="1" applyFill="1" applyBorder="1" applyAlignment="1" applyProtection="1">
      <alignment horizontal="center" vertical="center" wrapText="1"/>
    </xf>
    <xf numFmtId="0" fontId="37" fillId="9" borderId="22" xfId="0" applyFont="1" applyFill="1" applyBorder="1" applyAlignment="1" applyProtection="1">
      <alignment horizontal="center" vertical="center" wrapText="1"/>
    </xf>
    <xf numFmtId="0" fontId="37" fillId="9" borderId="17" xfId="0" applyFont="1" applyFill="1" applyBorder="1" applyAlignment="1" applyProtection="1">
      <alignment horizontal="center" vertical="center" wrapText="1"/>
    </xf>
    <xf numFmtId="0" fontId="3" fillId="0" borderId="0" xfId="0" applyFont="1" applyFill="1" applyBorder="1" applyAlignment="1" applyProtection="1">
      <alignment horizontal="center"/>
      <protection locked="0"/>
    </xf>
    <xf numFmtId="0" fontId="18" fillId="9" borderId="17"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vertical="center"/>
      <protection locked="0"/>
    </xf>
    <xf numFmtId="0" fontId="4" fillId="0" borderId="0" xfId="0" applyFont="1" applyFill="1" applyBorder="1" applyAlignment="1" applyProtection="1">
      <alignment horizontal="centerContinuous" vertical="center" wrapText="1"/>
      <protection locked="0"/>
    </xf>
    <xf numFmtId="0" fontId="4" fillId="0" borderId="0" xfId="0" applyFont="1" applyFill="1" applyBorder="1" applyAlignment="1" applyProtection="1">
      <alignment horizontal="centerContinuous" vertical="center"/>
      <protection locked="0"/>
    </xf>
    <xf numFmtId="0" fontId="7" fillId="0" borderId="0" xfId="0" applyFont="1" applyBorder="1" applyAlignment="1">
      <alignment horizontal="centerContinuous" vertical="center"/>
    </xf>
    <xf numFmtId="3" fontId="3" fillId="0" borderId="0" xfId="0" applyNumberFormat="1" applyFont="1" applyFill="1" applyBorder="1" applyAlignment="1" applyProtection="1">
      <protection locked="0"/>
    </xf>
    <xf numFmtId="0" fontId="8" fillId="0" borderId="0" xfId="0" applyFont="1" applyFill="1" applyBorder="1" applyAlignment="1" applyProtection="1">
      <alignment horizontal="centerContinuous" vertical="center"/>
      <protection locked="0"/>
    </xf>
    <xf numFmtId="0" fontId="3" fillId="0" borderId="0" xfId="0" applyFont="1" applyFill="1" applyBorder="1" applyAlignment="1" applyProtection="1">
      <alignment horizontal="centerContinuous" vertical="center"/>
      <protection locked="0"/>
    </xf>
    <xf numFmtId="0" fontId="37" fillId="9" borderId="17" xfId="0" applyFont="1" applyFill="1" applyBorder="1" applyAlignment="1" applyProtection="1">
      <alignment horizontal="center" vertical="center" wrapText="1"/>
    </xf>
    <xf numFmtId="0" fontId="1" fillId="0" borderId="0" xfId="0" applyFont="1"/>
    <xf numFmtId="0" fontId="8" fillId="0" borderId="0" xfId="0" applyFont="1"/>
    <xf numFmtId="0" fontId="19" fillId="0" borderId="0" xfId="0" applyFont="1" applyAlignment="1">
      <alignment horizontal="centerContinuous"/>
    </xf>
    <xf numFmtId="0" fontId="12" fillId="0" borderId="0" xfId="0" applyFont="1"/>
    <xf numFmtId="0" fontId="5" fillId="0" borderId="0" xfId="0" applyFont="1"/>
    <xf numFmtId="0" fontId="8" fillId="0" borderId="0" xfId="0" applyFont="1" applyAlignment="1">
      <alignment horizontal="centerContinuous"/>
    </xf>
    <xf numFmtId="0" fontId="5" fillId="0" borderId="16"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6" xfId="0" applyFont="1" applyBorder="1" applyAlignment="1">
      <alignment horizontal="justify" vertical="center" wrapText="1"/>
    </xf>
    <xf numFmtId="0" fontId="5" fillId="0" borderId="16" xfId="0" applyFont="1" applyBorder="1" applyAlignment="1">
      <alignment horizontal="justify" vertical="center" wrapText="1"/>
    </xf>
    <xf numFmtId="0" fontId="3" fillId="0" borderId="16" xfId="0" applyFont="1" applyBorder="1"/>
    <xf numFmtId="0" fontId="8" fillId="13" borderId="16" xfId="0" applyFont="1" applyFill="1" applyBorder="1" applyAlignment="1">
      <alignment horizontal="center" vertical="center" wrapText="1"/>
    </xf>
    <xf numFmtId="0" fontId="5" fillId="13" borderId="16" xfId="0" applyFont="1" applyFill="1" applyBorder="1" applyAlignment="1">
      <alignment horizontal="center" vertical="center" wrapText="1"/>
    </xf>
    <xf numFmtId="0" fontId="5" fillId="0" borderId="0" xfId="0" applyFont="1" applyBorder="1" applyAlignment="1">
      <alignment horizontal="center" vertical="center" wrapText="1"/>
    </xf>
    <xf numFmtId="0" fontId="5" fillId="10" borderId="0" xfId="0" applyFont="1" applyFill="1" applyBorder="1" applyAlignment="1">
      <alignment vertical="center" wrapText="1"/>
    </xf>
    <xf numFmtId="0" fontId="8" fillId="14" borderId="16" xfId="0" applyFont="1" applyFill="1" applyBorder="1" applyAlignment="1">
      <alignment horizontal="center" vertical="center" wrapText="1"/>
    </xf>
    <xf numFmtId="168" fontId="5" fillId="14" borderId="16" xfId="1" applyNumberFormat="1" applyFont="1" applyFill="1" applyBorder="1" applyAlignment="1">
      <alignment horizontal="right" vertical="center" wrapText="1"/>
    </xf>
    <xf numFmtId="168" fontId="8" fillId="14" borderId="16" xfId="1" applyNumberFormat="1" applyFont="1" applyFill="1" applyBorder="1" applyAlignment="1">
      <alignment horizontal="right" vertical="center" wrapText="1"/>
    </xf>
    <xf numFmtId="0" fontId="3" fillId="0" borderId="0" xfId="0" applyFont="1" applyAlignment="1"/>
    <xf numFmtId="0" fontId="8" fillId="14" borderId="16" xfId="0" applyFont="1" applyFill="1" applyBorder="1" applyAlignment="1">
      <alignment horizontal="center" vertical="center"/>
    </xf>
    <xf numFmtId="0" fontId="7"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5" fillId="0" borderId="9" xfId="0" applyFont="1" applyBorder="1" applyAlignment="1">
      <alignment horizontal="center" vertical="center"/>
    </xf>
    <xf numFmtId="168" fontId="5" fillId="0" borderId="9" xfId="1" applyNumberFormat="1" applyFont="1" applyBorder="1" applyAlignment="1">
      <alignment horizontal="right" vertical="center" wrapText="1"/>
    </xf>
    <xf numFmtId="0" fontId="5" fillId="0" borderId="10" xfId="0" applyFont="1" applyBorder="1" applyAlignment="1">
      <alignment horizontal="center" vertical="center" wrapText="1"/>
    </xf>
    <xf numFmtId="0" fontId="5" fillId="0" borderId="10" xfId="0" applyFont="1" applyBorder="1" applyAlignment="1">
      <alignment horizontal="justify" vertical="center" wrapText="1"/>
    </xf>
    <xf numFmtId="0" fontId="5" fillId="0" borderId="10" xfId="0" applyFont="1" applyBorder="1" applyAlignment="1">
      <alignment horizontal="center" vertical="center"/>
    </xf>
    <xf numFmtId="168" fontId="5" fillId="0" borderId="10" xfId="1" applyNumberFormat="1" applyFont="1" applyBorder="1" applyAlignment="1">
      <alignment horizontal="right" vertical="center" wrapText="1"/>
    </xf>
    <xf numFmtId="168" fontId="5" fillId="0" borderId="10" xfId="1" applyNumberFormat="1" applyFont="1" applyBorder="1" applyAlignment="1">
      <alignment horizontal="right" vertical="center"/>
    </xf>
    <xf numFmtId="0" fontId="5" fillId="0" borderId="11" xfId="0" applyFont="1" applyBorder="1" applyAlignment="1">
      <alignment horizontal="center" vertical="center" wrapText="1"/>
    </xf>
    <xf numFmtId="0" fontId="5" fillId="0" borderId="11" xfId="0" applyFont="1" applyBorder="1" applyAlignment="1">
      <alignment horizontal="center" vertical="center"/>
    </xf>
    <xf numFmtId="168" fontId="5" fillId="0" borderId="11" xfId="1" applyNumberFormat="1" applyFont="1" applyBorder="1" applyAlignment="1">
      <alignment horizontal="right" vertical="center" wrapText="1"/>
    </xf>
    <xf numFmtId="0" fontId="8" fillId="0" borderId="9" xfId="0" applyFont="1" applyBorder="1" applyAlignment="1">
      <alignment horizontal="center" vertical="center" wrapText="1"/>
    </xf>
    <xf numFmtId="0" fontId="8" fillId="0" borderId="11" xfId="0" applyFont="1" applyBorder="1" applyAlignment="1">
      <alignment horizontal="center" vertical="center" wrapText="1"/>
    </xf>
    <xf numFmtId="0" fontId="5" fillId="14" borderId="16" xfId="0" applyFont="1" applyFill="1" applyBorder="1" applyAlignment="1">
      <alignment horizontal="center" vertical="center" wrapText="1"/>
    </xf>
    <xf numFmtId="0" fontId="7" fillId="0" borderId="16" xfId="0" applyFont="1" applyBorder="1" applyAlignment="1">
      <alignment vertical="center" wrapText="1"/>
    </xf>
    <xf numFmtId="0" fontId="7" fillId="0" borderId="0" xfId="0" applyFont="1" applyProtection="1">
      <protection hidden="1"/>
    </xf>
    <xf numFmtId="168" fontId="8" fillId="0" borderId="16" xfId="1" applyNumberFormat="1" applyFont="1" applyBorder="1" applyAlignment="1">
      <alignment horizontal="justify" vertical="center" wrapText="1"/>
    </xf>
    <xf numFmtId="168" fontId="5" fillId="0" borderId="16" xfId="1" applyNumberFormat="1" applyFont="1" applyBorder="1" applyAlignment="1">
      <alignment horizontal="justify" vertical="center" wrapText="1"/>
    </xf>
    <xf numFmtId="168" fontId="5" fillId="0" borderId="16" xfId="1" applyNumberFormat="1" applyFont="1" applyBorder="1" applyAlignment="1">
      <alignment horizontal="center" vertical="center" wrapText="1"/>
    </xf>
    <xf numFmtId="168" fontId="8" fillId="0" borderId="16" xfId="0" applyNumberFormat="1" applyFont="1" applyBorder="1" applyAlignment="1">
      <alignment horizontal="center" vertical="center" wrapText="1"/>
    </xf>
    <xf numFmtId="168" fontId="5" fillId="0" borderId="9" xfId="1" applyNumberFormat="1" applyFont="1" applyBorder="1" applyAlignment="1">
      <alignment horizontal="right" vertical="center"/>
    </xf>
    <xf numFmtId="0" fontId="7" fillId="0" borderId="16" xfId="0" applyFont="1" applyBorder="1" applyAlignment="1">
      <alignment horizontal="center" vertical="center"/>
    </xf>
    <xf numFmtId="0" fontId="8" fillId="11" borderId="16" xfId="0" applyFont="1" applyFill="1" applyBorder="1" applyAlignment="1">
      <alignment horizontal="center" vertical="center"/>
    </xf>
    <xf numFmtId="3" fontId="37" fillId="9" borderId="19" xfId="0" applyNumberFormat="1" applyFont="1" applyFill="1" applyBorder="1" applyAlignment="1" applyProtection="1">
      <alignment horizontal="center" vertical="center" wrapText="1"/>
    </xf>
    <xf numFmtId="3" fontId="8" fillId="0" borderId="0" xfId="0" applyNumberFormat="1" applyFont="1" applyAlignment="1">
      <alignment vertical="center"/>
    </xf>
    <xf numFmtId="3" fontId="4" fillId="0" borderId="0" xfId="1" applyNumberFormat="1" applyFont="1" applyAlignment="1">
      <alignment vertical="center" wrapText="1"/>
    </xf>
    <xf numFmtId="0" fontId="4" fillId="0" borderId="0" xfId="0" applyFont="1" applyAlignment="1">
      <alignment vertical="center"/>
    </xf>
    <xf numFmtId="49" fontId="37" fillId="9" borderId="17" xfId="0" applyNumberFormat="1" applyFont="1" applyFill="1" applyBorder="1" applyAlignment="1" applyProtection="1">
      <alignment horizontal="center" vertical="center" wrapText="1"/>
    </xf>
    <xf numFmtId="170" fontId="37" fillId="9" borderId="17" xfId="0" applyNumberFormat="1" applyFont="1" applyFill="1" applyBorder="1" applyAlignment="1" applyProtection="1">
      <alignment horizontal="center" vertical="center" wrapText="1"/>
    </xf>
    <xf numFmtId="3" fontId="37" fillId="9" borderId="17" xfId="0" applyNumberFormat="1" applyFont="1" applyFill="1" applyBorder="1" applyAlignment="1" applyProtection="1">
      <alignment horizontal="center" vertical="center" wrapText="1"/>
    </xf>
    <xf numFmtId="0" fontId="5" fillId="0" borderId="16" xfId="0" applyFont="1" applyBorder="1"/>
    <xf numFmtId="0" fontId="8" fillId="0" borderId="16" xfId="0" applyFont="1" applyBorder="1"/>
    <xf numFmtId="0" fontId="5" fillId="0" borderId="0" xfId="0" applyNumberFormat="1" applyFont="1" applyAlignment="1">
      <alignment horizontal="centerContinuous" vertical="center"/>
    </xf>
    <xf numFmtId="0" fontId="8" fillId="0" borderId="0" xfId="0" applyNumberFormat="1" applyFont="1" applyAlignment="1">
      <alignment horizontal="centerContinuous" vertical="center"/>
    </xf>
    <xf numFmtId="0" fontId="4" fillId="0" borderId="0" xfId="0" quotePrefix="1" applyFont="1"/>
    <xf numFmtId="0" fontId="5" fillId="0" borderId="16" xfId="0" applyFont="1" applyFill="1" applyBorder="1" applyAlignment="1">
      <alignment horizontal="justify" vertical="top" wrapText="1"/>
    </xf>
    <xf numFmtId="0" fontId="44" fillId="11" borderId="16" xfId="0" quotePrefix="1" applyFont="1" applyFill="1" applyBorder="1"/>
    <xf numFmtId="168" fontId="5" fillId="11" borderId="16" xfId="1" applyNumberFormat="1" applyFont="1" applyFill="1" applyBorder="1" applyAlignment="1">
      <alignment horizontal="center" vertical="center"/>
    </xf>
    <xf numFmtId="0" fontId="9" fillId="0" borderId="16" xfId="0" applyFont="1" applyBorder="1" applyAlignment="1">
      <alignment horizontal="center" vertical="center" wrapText="1"/>
    </xf>
    <xf numFmtId="168" fontId="9" fillId="0" borderId="16" xfId="1" applyNumberFormat="1" applyFont="1" applyBorder="1" applyAlignment="1">
      <alignment horizontal="center" vertical="center" wrapText="1"/>
    </xf>
    <xf numFmtId="0" fontId="17" fillId="11" borderId="0" xfId="0" quotePrefix="1" applyFont="1" applyFill="1" applyBorder="1"/>
    <xf numFmtId="9" fontId="5" fillId="10" borderId="16" xfId="3" applyFont="1" applyFill="1" applyBorder="1" applyAlignment="1">
      <alignment horizontal="center" vertical="center"/>
    </xf>
    <xf numFmtId="0" fontId="5" fillId="11" borderId="0" xfId="0" applyFont="1" applyFill="1" applyBorder="1" applyAlignment="1">
      <alignment horizontal="center" vertical="center"/>
    </xf>
    <xf numFmtId="0" fontId="4" fillId="11" borderId="0" xfId="0" applyFont="1" applyFill="1" applyBorder="1" applyAlignment="1">
      <alignment horizontal="center"/>
    </xf>
    <xf numFmtId="0" fontId="4" fillId="11" borderId="0" xfId="0" applyFont="1" applyFill="1"/>
    <xf numFmtId="0" fontId="19" fillId="0" borderId="0" xfId="0" applyFont="1" applyFill="1" applyBorder="1" applyAlignment="1" applyProtection="1">
      <alignment horizontal="centerContinuous" vertical="top"/>
    </xf>
    <xf numFmtId="0" fontId="5" fillId="0" borderId="0" xfId="0" applyNumberFormat="1" applyFont="1" applyAlignment="1">
      <alignment horizontal="centerContinuous" vertical="top"/>
    </xf>
    <xf numFmtId="0" fontId="4" fillId="0" borderId="0" xfId="0" applyFont="1" applyAlignment="1">
      <alignment horizontal="centerContinuous" vertical="top"/>
    </xf>
    <xf numFmtId="0" fontId="7" fillId="0" borderId="0" xfId="0" applyFont="1" applyAlignment="1">
      <alignment horizontal="centerContinuous" vertical="top"/>
    </xf>
    <xf numFmtId="0" fontId="8" fillId="0" borderId="0" xfId="0" applyNumberFormat="1" applyFont="1" applyAlignment="1">
      <alignment horizontal="centerContinuous" vertical="top"/>
    </xf>
    <xf numFmtId="0" fontId="3" fillId="0" borderId="0" xfId="0" applyFont="1" applyAlignment="1">
      <alignment horizontal="centerContinuous" vertical="top"/>
    </xf>
    <xf numFmtId="168" fontId="4" fillId="0" borderId="10" xfId="1" applyNumberFormat="1" applyFont="1" applyFill="1" applyBorder="1" applyAlignment="1" applyProtection="1">
      <alignment vertical="center"/>
    </xf>
    <xf numFmtId="0" fontId="7" fillId="0" borderId="11" xfId="0" applyFont="1" applyFill="1" applyBorder="1" applyAlignment="1" applyProtection="1">
      <alignment vertical="center" wrapText="1"/>
    </xf>
    <xf numFmtId="168" fontId="7" fillId="0" borderId="9" xfId="1" applyNumberFormat="1" applyFont="1" applyFill="1" applyBorder="1" applyAlignment="1" applyProtection="1">
      <alignment vertical="center" wrapText="1"/>
    </xf>
    <xf numFmtId="168" fontId="4" fillId="0" borderId="11" xfId="1" applyNumberFormat="1" applyFont="1" applyFill="1" applyBorder="1" applyAlignment="1" applyProtection="1">
      <alignment vertical="center"/>
    </xf>
    <xf numFmtId="49" fontId="4" fillId="0" borderId="10" xfId="0" applyNumberFormat="1" applyFont="1" applyBorder="1" applyAlignment="1">
      <alignment vertical="center" wrapText="1"/>
    </xf>
    <xf numFmtId="0" fontId="8" fillId="0" borderId="10" xfId="0" applyFont="1" applyBorder="1" applyAlignment="1">
      <alignment horizontal="center" vertical="center" wrapText="1"/>
    </xf>
    <xf numFmtId="0" fontId="8" fillId="0" borderId="10" xfId="0" applyFont="1" applyBorder="1" applyAlignment="1">
      <alignment horizontal="justify" vertical="center" wrapText="1"/>
    </xf>
    <xf numFmtId="0" fontId="8" fillId="0" borderId="11" xfId="0" applyFont="1" applyBorder="1" applyAlignment="1">
      <alignment horizontal="justify" vertical="center" wrapText="1"/>
    </xf>
    <xf numFmtId="0" fontId="8" fillId="0" borderId="23" xfId="0" applyFont="1" applyBorder="1" applyAlignment="1">
      <alignment horizontal="center" vertical="center" wrapText="1"/>
    </xf>
    <xf numFmtId="0" fontId="8" fillId="0" borderId="23" xfId="0" applyFont="1" applyBorder="1" applyAlignment="1">
      <alignment horizontal="justify" vertical="center" wrapText="1"/>
    </xf>
    <xf numFmtId="0" fontId="12" fillId="0" borderId="16" xfId="0" applyFont="1" applyBorder="1" applyAlignment="1">
      <alignment horizontal="center" vertical="center" wrapText="1"/>
    </xf>
    <xf numFmtId="168" fontId="5" fillId="0" borderId="23" xfId="1" applyNumberFormat="1" applyFont="1" applyBorder="1" applyAlignment="1">
      <alignment horizontal="justify" vertical="center" wrapText="1"/>
    </xf>
    <xf numFmtId="168" fontId="5" fillId="0" borderId="10" xfId="1" applyNumberFormat="1" applyFont="1" applyBorder="1" applyAlignment="1">
      <alignment horizontal="justify" vertical="center" wrapText="1"/>
    </xf>
    <xf numFmtId="168" fontId="8" fillId="0" borderId="10" xfId="1" applyNumberFormat="1" applyFont="1" applyBorder="1" applyAlignment="1">
      <alignment horizontal="justify" vertical="center" wrapText="1"/>
    </xf>
    <xf numFmtId="168" fontId="5" fillId="0" borderId="10" xfId="1" applyNumberFormat="1" applyFont="1" applyBorder="1" applyAlignment="1">
      <alignment horizontal="center" vertical="center" wrapText="1"/>
    </xf>
    <xf numFmtId="168" fontId="8" fillId="0" borderId="11" xfId="1" applyNumberFormat="1" applyFont="1" applyBorder="1" applyAlignment="1">
      <alignment horizontal="justify" vertical="center" wrapText="1"/>
    </xf>
    <xf numFmtId="3" fontId="37" fillId="9" borderId="22" xfId="0" applyNumberFormat="1" applyFont="1" applyFill="1" applyBorder="1" applyAlignment="1" applyProtection="1">
      <alignment horizontal="center" vertical="center" wrapText="1"/>
    </xf>
    <xf numFmtId="0" fontId="43" fillId="9" borderId="24" xfId="0" applyFont="1" applyFill="1" applyBorder="1" applyAlignment="1">
      <alignment horizontal="centerContinuous" wrapText="1"/>
    </xf>
    <xf numFmtId="0" fontId="43" fillId="9" borderId="25" xfId="0" applyFont="1" applyFill="1" applyBorder="1" applyAlignment="1">
      <alignment horizontal="centerContinuous" wrapText="1"/>
    </xf>
    <xf numFmtId="0" fontId="43" fillId="9" borderId="18" xfId="0" applyFont="1" applyFill="1" applyBorder="1" applyAlignment="1">
      <alignment horizontal="centerContinuous" wrapText="1"/>
    </xf>
    <xf numFmtId="170" fontId="38" fillId="9" borderId="16" xfId="0" applyNumberFormat="1" applyFont="1" applyFill="1" applyBorder="1" applyAlignment="1">
      <alignment horizontal="center" vertical="center" wrapText="1"/>
    </xf>
    <xf numFmtId="0" fontId="38" fillId="9" borderId="16" xfId="0" applyFont="1" applyFill="1" applyBorder="1" applyAlignment="1">
      <alignment horizontal="center" vertical="center" wrapText="1"/>
    </xf>
    <xf numFmtId="176" fontId="5" fillId="0" borderId="16" xfId="3" applyNumberFormat="1" applyFont="1" applyBorder="1" applyAlignment="1">
      <alignment horizontal="center"/>
    </xf>
    <xf numFmtId="176" fontId="5" fillId="0" borderId="16" xfId="0" applyNumberFormat="1" applyFont="1" applyBorder="1"/>
    <xf numFmtId="0" fontId="0" fillId="0" borderId="0" xfId="0" applyNumberFormat="1" applyAlignment="1"/>
    <xf numFmtId="0" fontId="8" fillId="3" borderId="0" xfId="0" applyFont="1" applyFill="1" applyAlignment="1">
      <alignment horizontal="centerContinuous"/>
    </xf>
    <xf numFmtId="0" fontId="5" fillId="3" borderId="0" xfId="0" applyFont="1" applyFill="1" applyAlignment="1">
      <alignment horizontal="centerContinuous"/>
    </xf>
    <xf numFmtId="0" fontId="5" fillId="3" borderId="0" xfId="0" applyFont="1" applyFill="1"/>
    <xf numFmtId="168" fontId="5" fillId="3" borderId="0" xfId="1" applyNumberFormat="1" applyFont="1" applyFill="1" applyAlignment="1">
      <alignment horizontal="centerContinuous"/>
    </xf>
    <xf numFmtId="0" fontId="8" fillId="3" borderId="0" xfId="0" applyFont="1" applyFill="1"/>
    <xf numFmtId="168" fontId="8" fillId="3" borderId="0" xfId="1" applyNumberFormat="1" applyFont="1" applyFill="1" applyAlignment="1">
      <alignment horizontal="centerContinuous"/>
    </xf>
    <xf numFmtId="0" fontId="8" fillId="3" borderId="0" xfId="0" applyFont="1" applyFill="1" applyAlignment="1">
      <alignment vertical="center"/>
    </xf>
    <xf numFmtId="0" fontId="15" fillId="3" borderId="0" xfId="0" applyFont="1" applyFill="1" applyAlignment="1">
      <alignment vertical="center"/>
    </xf>
    <xf numFmtId="0" fontId="5" fillId="3" borderId="16" xfId="0" applyFont="1" applyFill="1" applyBorder="1" applyAlignment="1">
      <alignment horizontal="center" vertical="center" wrapText="1"/>
    </xf>
    <xf numFmtId="3" fontId="5" fillId="3" borderId="16" xfId="0" applyNumberFormat="1" applyFont="1" applyFill="1" applyBorder="1" applyAlignment="1">
      <alignment horizontal="right" vertical="center" wrapText="1"/>
    </xf>
    <xf numFmtId="3" fontId="5" fillId="3" borderId="24" xfId="0" applyNumberFormat="1" applyFont="1" applyFill="1" applyBorder="1" applyAlignment="1">
      <alignment horizontal="right" vertical="center" wrapText="1"/>
    </xf>
    <xf numFmtId="0" fontId="5" fillId="3" borderId="16" xfId="0" applyFont="1" applyFill="1" applyBorder="1" applyAlignment="1">
      <alignment horizontal="right"/>
    </xf>
    <xf numFmtId="0" fontId="5" fillId="3" borderId="16" xfId="0" applyFont="1" applyFill="1" applyBorder="1"/>
    <xf numFmtId="0" fontId="5" fillId="3" borderId="16" xfId="0" applyFont="1" applyFill="1" applyBorder="1" applyAlignment="1">
      <alignment horizontal="center"/>
    </xf>
    <xf numFmtId="168" fontId="5" fillId="3" borderId="16" xfId="1" applyNumberFormat="1" applyFont="1" applyFill="1" applyBorder="1"/>
    <xf numFmtId="3" fontId="5" fillId="3" borderId="16" xfId="0" applyNumberFormat="1" applyFont="1" applyFill="1" applyBorder="1" applyAlignment="1">
      <alignment vertical="center" wrapText="1"/>
    </xf>
    <xf numFmtId="0" fontId="5" fillId="3" borderId="0" xfId="0" applyFont="1" applyFill="1" applyBorder="1" applyAlignment="1">
      <alignment horizontal="center" vertical="center" wrapText="1"/>
    </xf>
    <xf numFmtId="0" fontId="5" fillId="3" borderId="0" xfId="0" applyFont="1" applyFill="1" applyBorder="1" applyAlignment="1">
      <alignment horizontal="right"/>
    </xf>
    <xf numFmtId="0" fontId="52" fillId="3" borderId="0" xfId="0" applyFont="1" applyFill="1"/>
    <xf numFmtId="0" fontId="53" fillId="0" borderId="0" xfId="0" applyFont="1"/>
    <xf numFmtId="0" fontId="54" fillId="0" borderId="0" xfId="0" applyFont="1"/>
    <xf numFmtId="0" fontId="5" fillId="3" borderId="16" xfId="0" applyFont="1" applyFill="1" applyBorder="1" applyAlignment="1">
      <alignment horizontal="right" vertical="center" wrapText="1"/>
    </xf>
    <xf numFmtId="0" fontId="5" fillId="4" borderId="16" xfId="0" applyFont="1" applyFill="1" applyBorder="1"/>
    <xf numFmtId="168" fontId="5" fillId="3" borderId="0" xfId="1" applyNumberFormat="1" applyFont="1" applyFill="1"/>
    <xf numFmtId="0" fontId="8" fillId="3" borderId="16" xfId="0" applyFont="1" applyFill="1" applyBorder="1" applyAlignment="1">
      <alignment horizontal="center"/>
    </xf>
    <xf numFmtId="0" fontId="15" fillId="3" borderId="0" xfId="0" applyFont="1" applyFill="1"/>
    <xf numFmtId="0" fontId="8" fillId="3" borderId="16" xfId="0" applyFont="1" applyFill="1" applyBorder="1"/>
    <xf numFmtId="9" fontId="5" fillId="3" borderId="16" xfId="3" applyFont="1" applyFill="1" applyBorder="1"/>
    <xf numFmtId="170" fontId="38" fillId="9" borderId="16" xfId="0" applyNumberFormat="1" applyFont="1" applyFill="1" applyBorder="1" applyAlignment="1">
      <alignment horizontal="center" vertical="center" wrapText="1"/>
    </xf>
    <xf numFmtId="0" fontId="38" fillId="9" borderId="16" xfId="0" applyFont="1" applyFill="1" applyBorder="1" applyAlignment="1">
      <alignment horizontal="center" vertical="center" wrapText="1"/>
    </xf>
    <xf numFmtId="0" fontId="5" fillId="3" borderId="10" xfId="0" applyFont="1" applyFill="1" applyBorder="1"/>
    <xf numFmtId="0" fontId="5" fillId="3" borderId="11" xfId="0" applyFont="1" applyFill="1" applyBorder="1"/>
    <xf numFmtId="0" fontId="12" fillId="9" borderId="17" xfId="0" applyFont="1" applyFill="1" applyBorder="1" applyAlignment="1">
      <alignment horizontal="center" vertical="center" wrapText="1"/>
    </xf>
    <xf numFmtId="0" fontId="12" fillId="9" borderId="19" xfId="0" applyFont="1" applyFill="1" applyBorder="1" applyAlignment="1">
      <alignment horizontal="center" vertical="center" wrapText="1"/>
    </xf>
    <xf numFmtId="0" fontId="12" fillId="9" borderId="15" xfId="0" applyFont="1" applyFill="1" applyBorder="1" applyAlignment="1">
      <alignment horizontal="center" vertical="center" wrapText="1"/>
    </xf>
    <xf numFmtId="0" fontId="5" fillId="3" borderId="9" xfId="0" applyFont="1" applyFill="1" applyBorder="1"/>
    <xf numFmtId="0" fontId="5" fillId="3" borderId="9" xfId="0" applyFont="1" applyFill="1" applyBorder="1" applyAlignment="1">
      <alignment horizontal="center"/>
    </xf>
    <xf numFmtId="168" fontId="5" fillId="3" borderId="9" xfId="1" applyNumberFormat="1" applyFont="1" applyFill="1" applyBorder="1"/>
    <xf numFmtId="0" fontId="5" fillId="3" borderId="10" xfId="0" applyFont="1" applyFill="1" applyBorder="1" applyAlignment="1">
      <alignment horizontal="center"/>
    </xf>
    <xf numFmtId="168" fontId="5" fillId="3" borderId="10" xfId="1" applyNumberFormat="1" applyFont="1" applyFill="1" applyBorder="1"/>
    <xf numFmtId="168" fontId="5" fillId="3" borderId="11" xfId="1" applyNumberFormat="1" applyFont="1" applyFill="1" applyBorder="1"/>
    <xf numFmtId="0" fontId="0" fillId="0" borderId="0" xfId="0" applyNumberFormat="1" applyAlignment="1">
      <alignment horizontal="center"/>
    </xf>
    <xf numFmtId="3" fontId="38" fillId="9" borderId="16" xfId="0" applyNumberFormat="1" applyFont="1" applyFill="1" applyBorder="1" applyAlignment="1">
      <alignment horizontal="center" vertical="center" wrapText="1"/>
    </xf>
    <xf numFmtId="0" fontId="38" fillId="9" borderId="16" xfId="0" applyFont="1" applyFill="1" applyBorder="1" applyAlignment="1">
      <alignment horizontal="center" vertical="center" wrapText="1"/>
    </xf>
    <xf numFmtId="0" fontId="19" fillId="0" borderId="0" xfId="0" applyNumberFormat="1" applyFont="1" applyAlignment="1">
      <alignment horizontal="centerContinuous" vertical="center"/>
    </xf>
    <xf numFmtId="0" fontId="4" fillId="0" borderId="0" xfId="0" applyNumberFormat="1" applyFont="1" applyAlignment="1">
      <alignment horizontal="centerContinuous"/>
    </xf>
    <xf numFmtId="168" fontId="4" fillId="0" borderId="0" xfId="1" applyNumberFormat="1" applyFont="1" applyAlignment="1">
      <alignment horizontal="centerContinuous"/>
    </xf>
    <xf numFmtId="170" fontId="7" fillId="0" borderId="0" xfId="0" applyNumberFormat="1" applyFont="1" applyAlignment="1">
      <alignment horizontal="centerContinuous"/>
    </xf>
    <xf numFmtId="168" fontId="7" fillId="0" borderId="0" xfId="1" applyNumberFormat="1" applyFont="1" applyAlignment="1">
      <alignment horizontal="centerContinuous"/>
    </xf>
    <xf numFmtId="170" fontId="4" fillId="0" borderId="0" xfId="0" applyNumberFormat="1" applyFont="1" applyAlignment="1">
      <alignment horizontal="centerContinuous"/>
    </xf>
    <xf numFmtId="0" fontId="38" fillId="9" borderId="17" xfId="0" applyFont="1" applyFill="1" applyBorder="1" applyAlignment="1">
      <alignment vertical="center" wrapText="1"/>
    </xf>
    <xf numFmtId="170" fontId="38" fillId="9" borderId="17" xfId="0" applyNumberFormat="1" applyFont="1" applyFill="1" applyBorder="1" applyAlignment="1">
      <alignment horizontal="center" vertical="center" wrapText="1"/>
    </xf>
    <xf numFmtId="168" fontId="38" fillId="9" borderId="17" xfId="1" applyNumberFormat="1" applyFont="1" applyFill="1" applyBorder="1" applyAlignment="1">
      <alignment horizontal="center" vertical="center" wrapText="1"/>
    </xf>
    <xf numFmtId="170" fontId="4" fillId="0" borderId="9" xfId="0" applyNumberFormat="1" applyFont="1" applyBorder="1"/>
    <xf numFmtId="168" fontId="4" fillId="0" borderId="9" xfId="1" applyNumberFormat="1" applyFont="1" applyBorder="1"/>
    <xf numFmtId="170" fontId="4" fillId="0" borderId="10" xfId="0" applyNumberFormat="1" applyFont="1" applyBorder="1"/>
    <xf numFmtId="168" fontId="4" fillId="0" borderId="10" xfId="1" applyNumberFormat="1" applyFont="1" applyBorder="1"/>
    <xf numFmtId="0" fontId="4" fillId="0" borderId="11" xfId="0" applyFont="1" applyBorder="1"/>
    <xf numFmtId="170" fontId="4" fillId="0" borderId="11" xfId="0" applyNumberFormat="1" applyFont="1" applyBorder="1"/>
    <xf numFmtId="168" fontId="4" fillId="0" borderId="11" xfId="1" applyNumberFormat="1" applyFont="1" applyBorder="1"/>
    <xf numFmtId="0" fontId="7" fillId="15" borderId="15" xfId="0" applyFont="1" applyFill="1" applyBorder="1"/>
    <xf numFmtId="170" fontId="7" fillId="15" borderId="15" xfId="0" applyNumberFormat="1" applyFont="1" applyFill="1" applyBorder="1"/>
    <xf numFmtId="168" fontId="7" fillId="15" borderId="15" xfId="1" applyNumberFormat="1" applyFont="1" applyFill="1" applyBorder="1"/>
    <xf numFmtId="0" fontId="23" fillId="0" borderId="0" xfId="0" applyFont="1"/>
    <xf numFmtId="168" fontId="4" fillId="0" borderId="0" xfId="1" applyNumberFormat="1" applyFont="1"/>
    <xf numFmtId="0" fontId="38" fillId="9" borderId="9" xfId="0" applyFont="1" applyFill="1" applyBorder="1" applyAlignment="1">
      <alignment vertical="center" wrapText="1"/>
    </xf>
    <xf numFmtId="0" fontId="38" fillId="9" borderId="9" xfId="0" applyFont="1" applyFill="1" applyBorder="1" applyAlignment="1">
      <alignment horizontal="center" vertical="center" wrapText="1"/>
    </xf>
    <xf numFmtId="170" fontId="38" fillId="9" borderId="9" xfId="0" applyNumberFormat="1" applyFont="1" applyFill="1" applyBorder="1" applyAlignment="1">
      <alignment horizontal="center" vertical="center" wrapText="1"/>
    </xf>
    <xf numFmtId="0" fontId="4" fillId="0" borderId="10" xfId="0" applyFont="1" applyBorder="1" applyAlignment="1"/>
    <xf numFmtId="170" fontId="4" fillId="0" borderId="10" xfId="0" applyNumberFormat="1" applyFont="1" applyBorder="1" applyAlignment="1"/>
    <xf numFmtId="168" fontId="4" fillId="0" borderId="10" xfId="1" applyNumberFormat="1" applyFont="1" applyBorder="1" applyAlignment="1"/>
    <xf numFmtId="0" fontId="7" fillId="15" borderId="16" xfId="0" applyFont="1" applyFill="1" applyBorder="1" applyAlignment="1"/>
    <xf numFmtId="168" fontId="7" fillId="15" borderId="16" xfId="1" applyNumberFormat="1" applyFont="1" applyFill="1" applyBorder="1" applyAlignment="1"/>
    <xf numFmtId="168" fontId="4" fillId="0" borderId="16" xfId="1" applyNumberFormat="1" applyFont="1" applyBorder="1" applyAlignment="1"/>
    <xf numFmtId="0" fontId="7" fillId="15" borderId="11" xfId="0" applyFont="1" applyFill="1" applyBorder="1" applyAlignment="1"/>
    <xf numFmtId="170" fontId="7" fillId="15" borderId="11" xfId="0" applyNumberFormat="1" applyFont="1" applyFill="1" applyBorder="1" applyAlignment="1"/>
    <xf numFmtId="168" fontId="7" fillId="15" borderId="11" xfId="1" applyNumberFormat="1" applyFont="1" applyFill="1" applyBorder="1" applyAlignment="1"/>
    <xf numFmtId="168" fontId="43" fillId="9" borderId="16" xfId="1" applyNumberFormat="1" applyFont="1" applyFill="1" applyBorder="1" applyAlignment="1">
      <alignment horizontal="center" vertical="center" wrapText="1"/>
    </xf>
    <xf numFmtId="0" fontId="8" fillId="11" borderId="16" xfId="0" applyFont="1" applyFill="1" applyBorder="1" applyAlignment="1">
      <alignment horizontal="center" vertical="center"/>
    </xf>
    <xf numFmtId="0" fontId="19" fillId="0" borderId="0" xfId="0" applyFont="1" applyAlignment="1">
      <alignment horizontal="centerContinuous" vertical="center" wrapText="1"/>
    </xf>
    <xf numFmtId="0" fontId="8" fillId="3" borderId="0" xfId="0" applyFont="1" applyFill="1" applyAlignment="1">
      <alignment horizontal="centerContinuous" wrapText="1"/>
    </xf>
    <xf numFmtId="0" fontId="5" fillId="3" borderId="0" xfId="0" applyFont="1" applyFill="1" applyBorder="1" applyAlignment="1">
      <alignment horizontal="centerContinuous"/>
    </xf>
    <xf numFmtId="0" fontId="8" fillId="3" borderId="0" xfId="0" applyFont="1" applyFill="1" applyBorder="1" applyAlignment="1">
      <alignment horizontal="centerContinuous"/>
    </xf>
    <xf numFmtId="3" fontId="5" fillId="3" borderId="19" xfId="0" applyNumberFormat="1" applyFont="1" applyFill="1" applyBorder="1" applyAlignment="1">
      <alignment horizontal="right" vertical="center" wrapText="1"/>
    </xf>
    <xf numFmtId="0" fontId="5" fillId="3" borderId="0" xfId="0" quotePrefix="1" applyFont="1" applyFill="1"/>
    <xf numFmtId="9" fontId="5" fillId="3" borderId="16" xfId="0" applyNumberFormat="1" applyFont="1" applyFill="1" applyBorder="1"/>
    <xf numFmtId="3" fontId="5" fillId="3" borderId="26" xfId="0" applyNumberFormat="1" applyFont="1" applyFill="1" applyBorder="1" applyAlignment="1">
      <alignment horizontal="right" vertical="center" wrapText="1"/>
    </xf>
    <xf numFmtId="0" fontId="5" fillId="3" borderId="0" xfId="0" applyFont="1" applyFill="1" applyBorder="1"/>
    <xf numFmtId="0" fontId="8" fillId="3" borderId="0" xfId="0" applyFont="1" applyFill="1" applyBorder="1"/>
    <xf numFmtId="168" fontId="5" fillId="3" borderId="0" xfId="1" applyNumberFormat="1" applyFont="1" applyFill="1" applyBorder="1"/>
    <xf numFmtId="170" fontId="38" fillId="9" borderId="16" xfId="0" applyNumberFormat="1" applyFont="1" applyFill="1" applyBorder="1" applyAlignment="1">
      <alignment horizontal="center" vertical="center" wrapText="1"/>
    </xf>
    <xf numFmtId="0" fontId="38" fillId="9" borderId="16" xfId="0" applyFont="1" applyFill="1" applyBorder="1" applyAlignment="1">
      <alignment horizontal="center" vertical="center" wrapText="1"/>
    </xf>
    <xf numFmtId="0" fontId="5" fillId="0" borderId="23" xfId="0" applyFont="1" applyFill="1" applyBorder="1" applyAlignment="1" applyProtection="1">
      <alignment horizontal="center" vertical="center" wrapText="1"/>
    </xf>
    <xf numFmtId="0" fontId="5" fillId="2" borderId="23" xfId="0" applyFont="1" applyFill="1" applyBorder="1" applyAlignment="1" applyProtection="1">
      <alignment horizontal="center" vertical="center" wrapText="1"/>
    </xf>
    <xf numFmtId="0" fontId="4" fillId="0" borderId="23" xfId="0" applyFont="1" applyFill="1" applyBorder="1" applyAlignment="1" applyProtection="1">
      <alignment vertical="center" wrapText="1"/>
    </xf>
    <xf numFmtId="0" fontId="4" fillId="2" borderId="10" xfId="0" applyFont="1" applyFill="1" applyBorder="1" applyAlignment="1" applyProtection="1">
      <alignment horizontal="center" vertical="center" wrapText="1"/>
    </xf>
    <xf numFmtId="0" fontId="7" fillId="2" borderId="10" xfId="0" applyFont="1" applyFill="1" applyBorder="1" applyAlignment="1" applyProtection="1">
      <alignment horizontal="center" vertical="center" wrapText="1"/>
    </xf>
    <xf numFmtId="0" fontId="22" fillId="0" borderId="10" xfId="0" applyFont="1" applyFill="1" applyBorder="1" applyAlignment="1" applyProtection="1">
      <alignment vertical="center" wrapText="1"/>
    </xf>
    <xf numFmtId="0" fontId="7" fillId="2" borderId="11"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0" fontId="22" fillId="0" borderId="0" xfId="0" applyFont="1" applyFill="1" applyBorder="1" applyAlignment="1" applyProtection="1">
      <alignment horizontal="centerContinuous" vertical="center" wrapText="1"/>
    </xf>
    <xf numFmtId="0" fontId="4" fillId="0" borderId="0" xfId="0" applyFont="1" applyFill="1" applyBorder="1" applyAlignment="1" applyProtection="1">
      <alignment horizontal="centerContinuous" vertical="center" wrapText="1"/>
    </xf>
    <xf numFmtId="9" fontId="4" fillId="10" borderId="16" xfId="3" applyFont="1" applyFill="1" applyBorder="1"/>
    <xf numFmtId="168" fontId="7" fillId="0" borderId="0" xfId="1" quotePrefix="1" applyNumberFormat="1" applyFont="1" applyAlignment="1">
      <alignment horizontal="centerContinuous"/>
    </xf>
    <xf numFmtId="170" fontId="4" fillId="10" borderId="16" xfId="0" applyNumberFormat="1" applyFont="1" applyFill="1" applyBorder="1"/>
    <xf numFmtId="169" fontId="7" fillId="10" borderId="16" xfId="0" applyNumberFormat="1" applyFont="1" applyFill="1" applyBorder="1"/>
    <xf numFmtId="3" fontId="4" fillId="0" borderId="0" xfId="0" quotePrefix="1" applyNumberFormat="1" applyFont="1" applyAlignment="1">
      <alignment vertical="center" wrapText="1"/>
    </xf>
    <xf numFmtId="2" fontId="5" fillId="10" borderId="0" xfId="0" applyNumberFormat="1" applyFont="1" applyFill="1" applyBorder="1" applyAlignment="1" applyProtection="1">
      <alignment vertical="center"/>
      <protection hidden="1"/>
    </xf>
    <xf numFmtId="0" fontId="0" fillId="0" borderId="0" xfId="0" applyNumberFormat="1"/>
    <xf numFmtId="0" fontId="4" fillId="0" borderId="0" xfId="0" applyFont="1" applyBorder="1" applyAlignment="1">
      <alignment wrapText="1"/>
    </xf>
    <xf numFmtId="0" fontId="4" fillId="0" borderId="0" xfId="0" applyFont="1" applyBorder="1" applyAlignment="1">
      <alignment vertical="center" wrapText="1"/>
    </xf>
    <xf numFmtId="3" fontId="37" fillId="9" borderId="16" xfId="0" applyNumberFormat="1" applyFont="1" applyFill="1" applyBorder="1" applyAlignment="1" applyProtection="1">
      <alignment horizontal="centerContinuous" vertical="center" wrapText="1"/>
    </xf>
    <xf numFmtId="0" fontId="8" fillId="11" borderId="0" xfId="0" applyFont="1" applyFill="1" applyBorder="1" applyAlignment="1" applyProtection="1">
      <alignment horizontal="centerContinuous" wrapText="1"/>
    </xf>
    <xf numFmtId="168" fontId="5" fillId="11" borderId="16" xfId="1" applyNumberFormat="1" applyFont="1" applyFill="1" applyBorder="1" applyAlignment="1">
      <alignment horizontal="justify" vertical="center" wrapText="1"/>
    </xf>
    <xf numFmtId="0" fontId="78" fillId="10" borderId="16" xfId="0" applyFont="1" applyFill="1" applyBorder="1" applyAlignment="1">
      <alignment horizontal="center"/>
    </xf>
    <xf numFmtId="0" fontId="78" fillId="11" borderId="0" xfId="0" applyFont="1" applyFill="1" applyBorder="1" applyAlignment="1">
      <alignment horizontal="center"/>
    </xf>
    <xf numFmtId="0" fontId="3" fillId="0" borderId="0" xfId="0" applyFont="1" applyAlignment="1">
      <alignment horizontal="centerContinuous"/>
    </xf>
    <xf numFmtId="0" fontId="12" fillId="9" borderId="16" xfId="0" applyFont="1" applyFill="1" applyBorder="1" applyAlignment="1">
      <alignment horizontal="center" vertical="center" wrapText="1"/>
    </xf>
    <xf numFmtId="3" fontId="12" fillId="9" borderId="16" xfId="0" applyNumberFormat="1" applyFont="1" applyFill="1" applyBorder="1" applyAlignment="1">
      <alignment horizontal="center" vertical="center" wrapText="1"/>
    </xf>
    <xf numFmtId="0" fontId="27" fillId="0" borderId="0" xfId="0" applyFont="1" applyFill="1" applyBorder="1" applyAlignment="1" applyProtection="1">
      <alignment horizontal="center"/>
      <protection locked="0"/>
    </xf>
    <xf numFmtId="0" fontId="27" fillId="0" borderId="0" xfId="0" applyFont="1" applyFill="1" applyBorder="1" applyAlignment="1" applyProtection="1">
      <protection locked="0"/>
    </xf>
    <xf numFmtId="3" fontId="3" fillId="0" borderId="0" xfId="0" applyNumberFormat="1" applyFont="1" applyFill="1" applyBorder="1" applyAlignment="1" applyProtection="1">
      <alignment horizontal="centerContinuous"/>
      <protection locked="0"/>
    </xf>
    <xf numFmtId="168" fontId="19" fillId="0" borderId="0" xfId="1" applyNumberFormat="1" applyFont="1" applyFill="1" applyBorder="1" applyAlignment="1" applyProtection="1">
      <alignment horizontal="centerContinuous" vertical="center"/>
      <protection locked="0"/>
    </xf>
    <xf numFmtId="168" fontId="8" fillId="0" borderId="0" xfId="1" applyNumberFormat="1" applyFont="1" applyFill="1" applyBorder="1" applyAlignment="1" applyProtection="1">
      <alignment horizontal="centerContinuous" vertical="center"/>
      <protection locked="0"/>
    </xf>
    <xf numFmtId="168" fontId="4" fillId="0" borderId="0" xfId="1" applyNumberFormat="1" applyFont="1" applyFill="1" applyBorder="1" applyAlignment="1" applyProtection="1">
      <alignment horizontal="centerContinuous" vertical="center" wrapText="1"/>
      <protection locked="0"/>
    </xf>
    <xf numFmtId="168" fontId="3" fillId="0" borderId="0" xfId="1" applyNumberFormat="1" applyFont="1" applyFill="1" applyBorder="1" applyAlignment="1" applyProtection="1">
      <alignment horizontal="centerContinuous"/>
      <protection locked="0"/>
    </xf>
    <xf numFmtId="168" fontId="4" fillId="0" borderId="0" xfId="1" applyNumberFormat="1" applyFont="1" applyFill="1" applyBorder="1" applyAlignment="1" applyProtection="1">
      <protection locked="0"/>
    </xf>
    <xf numFmtId="0" fontId="18" fillId="15" borderId="16" xfId="0" applyNumberFormat="1" applyFont="1" applyFill="1" applyBorder="1" applyAlignment="1">
      <alignment horizontal="center" vertical="center" wrapText="1"/>
    </xf>
    <xf numFmtId="0" fontId="4" fillId="0" borderId="0" xfId="0" applyFont="1" applyFill="1" applyBorder="1" applyAlignment="1" applyProtection="1">
      <alignment horizontal="right"/>
      <protection locked="0"/>
    </xf>
    <xf numFmtId="168" fontId="4" fillId="0" borderId="0" xfId="1" applyNumberFormat="1" applyFont="1" applyFill="1" applyBorder="1" applyAlignment="1" applyProtection="1">
      <alignment horizontal="right" wrapText="1"/>
      <protection locked="0"/>
    </xf>
    <xf numFmtId="169" fontId="37" fillId="9" borderId="16" xfId="0" applyNumberFormat="1" applyFont="1" applyFill="1" applyBorder="1" applyAlignment="1" applyProtection="1">
      <alignment horizontal="center" vertical="center" wrapText="1"/>
      <protection locked="0"/>
    </xf>
    <xf numFmtId="0" fontId="18" fillId="9" borderId="16" xfId="0" applyFont="1" applyFill="1" applyBorder="1" applyAlignment="1" applyProtection="1">
      <alignment horizontal="center" vertical="center" wrapText="1"/>
      <protection locked="0"/>
    </xf>
    <xf numFmtId="167" fontId="8" fillId="9" borderId="11" xfId="0" applyNumberFormat="1" applyFont="1" applyFill="1" applyBorder="1" applyAlignment="1" applyProtection="1">
      <alignment vertical="center" wrapText="1"/>
    </xf>
    <xf numFmtId="0" fontId="19" fillId="0" borderId="0" xfId="0" applyFont="1" applyFill="1" applyBorder="1" applyAlignment="1" applyProtection="1">
      <alignment vertical="center"/>
      <protection locked="0"/>
    </xf>
    <xf numFmtId="0" fontId="3" fillId="0" borderId="0" xfId="0" applyFont="1" applyFill="1" applyBorder="1" applyAlignment="1" applyProtection="1">
      <alignment vertical="center"/>
      <protection locked="0"/>
    </xf>
    <xf numFmtId="0" fontId="8" fillId="0" borderId="0" xfId="0" applyFont="1" applyFill="1" applyBorder="1" applyAlignment="1" applyProtection="1">
      <alignment vertical="center"/>
      <protection locked="0"/>
    </xf>
    <xf numFmtId="3" fontId="18" fillId="9" borderId="17" xfId="0" applyNumberFormat="1" applyFont="1" applyFill="1" applyBorder="1" applyAlignment="1" applyProtection="1">
      <alignment horizontal="center" vertical="center" wrapText="1"/>
      <protection locked="0"/>
    </xf>
    <xf numFmtId="3" fontId="3" fillId="0" borderId="0" xfId="0" applyNumberFormat="1" applyFont="1" applyFill="1" applyBorder="1" applyAlignment="1" applyProtection="1">
      <alignment horizontal="center"/>
      <protection locked="0"/>
    </xf>
    <xf numFmtId="0" fontId="37" fillId="9" borderId="16" xfId="0" applyNumberFormat="1" applyFont="1" applyFill="1" applyBorder="1" applyAlignment="1" applyProtection="1">
      <alignment horizontal="center" vertical="center" wrapText="1"/>
    </xf>
    <xf numFmtId="0" fontId="37" fillId="9" borderId="24" xfId="0" applyNumberFormat="1" applyFont="1" applyFill="1" applyBorder="1" applyAlignment="1" applyProtection="1">
      <alignment horizontal="center" vertical="center" wrapText="1"/>
    </xf>
    <xf numFmtId="0" fontId="12" fillId="0" borderId="16" xfId="0" applyFont="1" applyBorder="1" applyAlignment="1">
      <alignment horizontal="centerContinuous"/>
    </xf>
    <xf numFmtId="0" fontId="28" fillId="0" borderId="0" xfId="0" applyFont="1" applyAlignment="1">
      <alignment horizontal="centerContinuous"/>
    </xf>
    <xf numFmtId="0" fontId="26" fillId="0" borderId="0" xfId="0" applyFont="1" applyAlignment="1">
      <alignment horizontal="centerContinuous"/>
    </xf>
    <xf numFmtId="3" fontId="37" fillId="9" borderId="16" xfId="0" applyNumberFormat="1" applyFont="1" applyFill="1" applyBorder="1" applyAlignment="1" applyProtection="1">
      <alignment horizontal="center" vertical="center" wrapText="1"/>
      <protection locked="0"/>
    </xf>
    <xf numFmtId="169" fontId="37" fillId="9" borderId="16" xfId="0" applyNumberFormat="1" applyFont="1" applyFill="1" applyBorder="1" applyAlignment="1" applyProtection="1">
      <alignment horizontal="center" vertical="center" wrapText="1"/>
      <protection locked="0"/>
    </xf>
    <xf numFmtId="0" fontId="4" fillId="0" borderId="0" xfId="0" applyFont="1" applyAlignment="1">
      <alignment horizontal="center" vertical="center"/>
    </xf>
    <xf numFmtId="170" fontId="4" fillId="0" borderId="0" xfId="0" applyNumberFormat="1" applyFont="1" applyAlignment="1">
      <alignment vertical="center"/>
    </xf>
    <xf numFmtId="3" fontId="4" fillId="0" borderId="0" xfId="0" applyNumberFormat="1" applyFont="1" applyAlignment="1">
      <alignment vertical="center"/>
    </xf>
    <xf numFmtId="167" fontId="4" fillId="0" borderId="0" xfId="0" applyNumberFormat="1" applyFont="1" applyAlignment="1">
      <alignment vertical="center"/>
    </xf>
    <xf numFmtId="0" fontId="4" fillId="0" borderId="0" xfId="0" applyFont="1" applyBorder="1" applyAlignment="1">
      <alignment vertical="center"/>
    </xf>
    <xf numFmtId="0" fontId="5" fillId="0" borderId="9" xfId="0" applyFont="1" applyFill="1" applyBorder="1" applyAlignment="1" applyProtection="1">
      <alignment vertical="center" wrapText="1"/>
    </xf>
    <xf numFmtId="0" fontId="8" fillId="0" borderId="11" xfId="0" applyFont="1" applyFill="1" applyBorder="1" applyAlignment="1" applyProtection="1">
      <alignment horizontal="center" vertical="center" wrapText="1"/>
    </xf>
    <xf numFmtId="0" fontId="8" fillId="2" borderId="11" xfId="0" applyFont="1" applyFill="1" applyBorder="1" applyAlignment="1" applyProtection="1">
      <alignment horizontal="center" vertical="center" wrapText="1"/>
    </xf>
    <xf numFmtId="0" fontId="9" fillId="0" borderId="10" xfId="0" applyFont="1" applyFill="1" applyBorder="1" applyAlignment="1" applyProtection="1">
      <alignment vertical="center" wrapText="1"/>
    </xf>
    <xf numFmtId="0" fontId="5" fillId="0" borderId="0" xfId="0" applyFont="1" applyFill="1" applyBorder="1" applyAlignment="1" applyProtection="1">
      <alignment horizontal="center" vertical="center" wrapText="1"/>
    </xf>
    <xf numFmtId="0" fontId="21" fillId="0" borderId="0" xfId="0" applyFont="1" applyFill="1" applyBorder="1" applyAlignment="1" applyProtection="1">
      <alignment horizontal="centerContinuous" vertical="center" wrapText="1"/>
    </xf>
    <xf numFmtId="0" fontId="5" fillId="0" borderId="0" xfId="0" applyFont="1" applyFill="1" applyBorder="1" applyAlignment="1" applyProtection="1">
      <alignment horizontal="centerContinuous" vertical="center" wrapText="1"/>
    </xf>
    <xf numFmtId="0" fontId="8" fillId="0" borderId="0" xfId="0" applyFont="1" applyFill="1" applyBorder="1" applyAlignment="1" applyProtection="1">
      <alignment horizontal="center"/>
    </xf>
    <xf numFmtId="0" fontId="57" fillId="0" borderId="0" xfId="0" applyFont="1" applyAlignment="1">
      <alignment horizontal="left"/>
    </xf>
    <xf numFmtId="0" fontId="5" fillId="0" borderId="0" xfId="0" applyFont="1" applyAlignment="1">
      <alignment horizontal="centerContinuous"/>
    </xf>
    <xf numFmtId="0" fontId="5" fillId="0" borderId="0" xfId="0" applyFont="1" applyAlignment="1">
      <alignment horizontal="left"/>
    </xf>
    <xf numFmtId="2" fontId="5" fillId="0" borderId="0" xfId="0" applyNumberFormat="1" applyFont="1" applyAlignment="1">
      <alignment horizontal="center"/>
    </xf>
    <xf numFmtId="0" fontId="12" fillId="9" borderId="17" xfId="0" applyFont="1" applyFill="1" applyBorder="1" applyAlignment="1" applyProtection="1">
      <alignment horizontal="center" vertical="center"/>
    </xf>
    <xf numFmtId="0" fontId="0" fillId="0" borderId="0" xfId="0" quotePrefix="1"/>
    <xf numFmtId="0" fontId="37" fillId="9" borderId="17" xfId="0" applyFont="1" applyFill="1" applyBorder="1" applyAlignment="1" applyProtection="1">
      <alignment horizontal="center" vertical="center" wrapText="1"/>
    </xf>
    <xf numFmtId="169" fontId="37" fillId="9" borderId="16" xfId="0" applyNumberFormat="1" applyFont="1" applyFill="1" applyBorder="1" applyAlignment="1" applyProtection="1">
      <alignment horizontal="center" vertical="center" wrapText="1"/>
      <protection locked="0"/>
    </xf>
    <xf numFmtId="170" fontId="4" fillId="0" borderId="0" xfId="1" applyNumberFormat="1" applyFont="1"/>
    <xf numFmtId="0" fontId="4" fillId="0" borderId="0" xfId="0" applyNumberFormat="1" applyFont="1"/>
    <xf numFmtId="0" fontId="4" fillId="0" borderId="0" xfId="0" applyNumberFormat="1" applyFont="1" applyAlignment="1">
      <alignment horizontal="center"/>
    </xf>
    <xf numFmtId="170" fontId="4" fillId="0" borderId="0" xfId="1" applyNumberFormat="1" applyFont="1" applyAlignment="1">
      <alignment horizontal="centerContinuous"/>
    </xf>
    <xf numFmtId="170" fontId="7" fillId="0" borderId="0" xfId="1" applyNumberFormat="1" applyFont="1" applyAlignment="1">
      <alignment horizontal="centerContinuous"/>
    </xf>
    <xf numFmtId="0" fontId="7" fillId="0" borderId="0" xfId="0" applyNumberFormat="1" applyFont="1" applyAlignment="1">
      <alignment horizontal="centerContinuous"/>
    </xf>
    <xf numFmtId="0" fontId="5" fillId="11" borderId="0" xfId="0" applyFont="1" applyFill="1" applyAlignment="1"/>
    <xf numFmtId="0" fontId="5" fillId="0" borderId="16" xfId="0" applyFont="1" applyBorder="1" applyAlignment="1">
      <alignment horizontal="center"/>
    </xf>
    <xf numFmtId="0" fontId="5" fillId="0" borderId="16" xfId="0" applyFont="1" applyBorder="1" applyAlignment="1">
      <alignment horizontal="left"/>
    </xf>
    <xf numFmtId="0" fontId="61" fillId="0" borderId="16" xfId="0" applyFont="1" applyBorder="1" applyAlignment="1">
      <alignment vertical="center" wrapText="1"/>
    </xf>
    <xf numFmtId="0" fontId="61" fillId="0" borderId="16" xfId="0" applyFont="1" applyBorder="1" applyAlignment="1">
      <alignment horizontal="center" vertical="center" wrapText="1"/>
    </xf>
    <xf numFmtId="0" fontId="58" fillId="0" borderId="16" xfId="0" applyFont="1" applyBorder="1" applyAlignment="1">
      <alignment horizontal="center" vertical="center" wrapText="1"/>
    </xf>
    <xf numFmtId="0" fontId="8" fillId="0" borderId="16" xfId="0" applyFont="1" applyBorder="1" applyAlignment="1">
      <alignment horizontal="center"/>
    </xf>
    <xf numFmtId="0" fontId="5" fillId="10" borderId="0" xfId="0" applyFont="1" applyFill="1"/>
    <xf numFmtId="0" fontId="79" fillId="10" borderId="0" xfId="0" applyFont="1" applyFill="1"/>
    <xf numFmtId="3" fontId="38" fillId="9" borderId="16" xfId="1" quotePrefix="1" applyNumberFormat="1" applyFont="1" applyFill="1" applyBorder="1" applyAlignment="1">
      <alignment horizontal="center" vertical="center" wrapText="1"/>
    </xf>
    <xf numFmtId="3" fontId="37" fillId="9" borderId="16" xfId="0" applyNumberFormat="1" applyFont="1" applyFill="1" applyBorder="1" applyAlignment="1" applyProtection="1">
      <alignment horizontal="center" vertical="center" wrapText="1"/>
    </xf>
    <xf numFmtId="0" fontId="24" fillId="11" borderId="16" xfId="0" applyFont="1" applyFill="1" applyBorder="1" applyAlignment="1">
      <alignment horizontal="center" vertical="center" wrapText="1"/>
    </xf>
    <xf numFmtId="0" fontId="3" fillId="11" borderId="16" xfId="0" applyFont="1" applyFill="1" applyBorder="1" applyAlignment="1">
      <alignment horizontal="left" vertical="center"/>
    </xf>
    <xf numFmtId="0" fontId="5" fillId="11" borderId="16" xfId="0" applyFont="1" applyFill="1" applyBorder="1"/>
    <xf numFmtId="0" fontId="24" fillId="11" borderId="16" xfId="0" applyFont="1" applyFill="1" applyBorder="1" applyAlignment="1">
      <alignment horizontal="center" vertical="center" wrapText="1"/>
    </xf>
    <xf numFmtId="0" fontId="3" fillId="11" borderId="16" xfId="0" applyFont="1" applyFill="1" applyBorder="1" applyAlignment="1">
      <alignment horizontal="left" vertical="center"/>
    </xf>
    <xf numFmtId="0" fontId="5" fillId="11" borderId="16" xfId="0" applyFont="1" applyFill="1" applyBorder="1" applyAlignment="1"/>
    <xf numFmtId="0" fontId="61" fillId="11" borderId="16" xfId="0" applyFont="1" applyFill="1" applyBorder="1" applyAlignment="1">
      <alignment horizontal="center" vertical="center"/>
    </xf>
    <xf numFmtId="0" fontId="19" fillId="0" borderId="0" xfId="0" applyNumberFormat="1" applyFont="1" applyFill="1" applyBorder="1" applyAlignment="1" applyProtection="1">
      <alignment horizontal="centerContinuous" vertical="center" wrapText="1"/>
    </xf>
    <xf numFmtId="3" fontId="37" fillId="9" borderId="17" xfId="1" applyNumberFormat="1" applyFont="1" applyFill="1" applyBorder="1" applyAlignment="1">
      <alignment horizontal="center" vertical="center" wrapText="1"/>
    </xf>
    <xf numFmtId="0" fontId="4" fillId="0" borderId="0" xfId="0" applyFont="1" applyAlignment="1"/>
    <xf numFmtId="0" fontId="5" fillId="0" borderId="0" xfId="0" applyFont="1" applyAlignment="1">
      <alignment horizontal="centerContinuous" vertical="center"/>
    </xf>
    <xf numFmtId="0" fontId="8" fillId="0" borderId="0" xfId="0" applyFont="1" applyAlignment="1">
      <alignment horizontal="centerContinuous" vertical="center"/>
    </xf>
    <xf numFmtId="2" fontId="5" fillId="0" borderId="0" xfId="0" applyNumberFormat="1" applyFont="1" applyAlignment="1">
      <alignment horizontal="center" vertical="center"/>
    </xf>
    <xf numFmtId="168" fontId="5" fillId="0" borderId="0" xfId="1" applyNumberFormat="1" applyFont="1" applyAlignment="1">
      <alignment vertical="center"/>
    </xf>
    <xf numFmtId="168" fontId="5" fillId="0" borderId="9" xfId="1" applyNumberFormat="1" applyFont="1" applyFill="1" applyBorder="1" applyAlignment="1" applyProtection="1">
      <alignment horizontal="center" vertical="center" wrapText="1"/>
    </xf>
    <xf numFmtId="168" fontId="5" fillId="0" borderId="10" xfId="1" applyNumberFormat="1" applyFont="1" applyFill="1" applyBorder="1" applyAlignment="1" applyProtection="1">
      <alignment horizontal="center" vertical="center" wrapText="1"/>
    </xf>
    <xf numFmtId="168" fontId="5" fillId="0" borderId="10" xfId="1" applyNumberFormat="1" applyFont="1" applyFill="1" applyBorder="1" applyAlignment="1" applyProtection="1">
      <alignment vertical="center" wrapText="1"/>
    </xf>
    <xf numFmtId="168" fontId="8" fillId="0" borderId="0" xfId="1" applyNumberFormat="1" applyFont="1" applyAlignment="1">
      <alignment vertical="center"/>
    </xf>
    <xf numFmtId="168" fontId="8" fillId="0" borderId="11" xfId="1" applyNumberFormat="1" applyFont="1" applyFill="1" applyBorder="1" applyAlignment="1" applyProtection="1">
      <alignment vertical="center" wrapText="1"/>
    </xf>
    <xf numFmtId="168" fontId="5" fillId="0" borderId="0" xfId="1" applyNumberFormat="1" applyFont="1" applyFill="1" applyBorder="1" applyAlignment="1" applyProtection="1">
      <alignment horizontal="centerContinuous" vertical="center" wrapText="1"/>
    </xf>
    <xf numFmtId="168" fontId="5" fillId="0" borderId="0" xfId="1" applyNumberFormat="1" applyFont="1" applyFill="1" applyBorder="1" applyAlignment="1" applyProtection="1">
      <alignment vertical="center"/>
    </xf>
    <xf numFmtId="168" fontId="21" fillId="0" borderId="0" xfId="1" applyNumberFormat="1" applyFont="1" applyFill="1" applyBorder="1" applyAlignment="1" applyProtection="1">
      <alignment horizontal="centerContinuous" vertical="center"/>
    </xf>
    <xf numFmtId="168" fontId="8" fillId="0" borderId="0" xfId="1" applyNumberFormat="1" applyFont="1" applyFill="1" applyBorder="1" applyAlignment="1" applyProtection="1">
      <alignment horizontal="centerContinuous" vertical="center"/>
    </xf>
    <xf numFmtId="168" fontId="9" fillId="0" borderId="0" xfId="1" applyNumberFormat="1" applyFont="1" applyFill="1" applyBorder="1" applyAlignment="1" applyProtection="1">
      <alignment horizontal="centerContinuous" vertical="center"/>
    </xf>
    <xf numFmtId="168" fontId="5" fillId="0" borderId="0" xfId="1" applyNumberFormat="1" applyFont="1" applyFill="1" applyBorder="1" applyAlignment="1" applyProtection="1">
      <alignment horizontal="centerContinuous" vertical="center"/>
    </xf>
    <xf numFmtId="3" fontId="5" fillId="0" borderId="0" xfId="0" applyNumberFormat="1" applyFont="1" applyAlignment="1">
      <alignment horizontal="centerContinuous" vertical="center"/>
    </xf>
    <xf numFmtId="3" fontId="8" fillId="0" borderId="0" xfId="0" applyNumberFormat="1" applyFont="1" applyAlignment="1">
      <alignment horizontal="centerContinuous" vertical="center"/>
    </xf>
    <xf numFmtId="168" fontId="5" fillId="0" borderId="9" xfId="1" applyNumberFormat="1" applyFont="1" applyFill="1" applyBorder="1" applyAlignment="1" applyProtection="1">
      <alignment vertical="center" wrapText="1"/>
    </xf>
    <xf numFmtId="0" fontId="8" fillId="0" borderId="10" xfId="0" applyFont="1" applyFill="1" applyBorder="1" applyAlignment="1" applyProtection="1">
      <alignment horizontal="center" vertical="center" wrapText="1"/>
    </xf>
    <xf numFmtId="0" fontId="8" fillId="2" borderId="10" xfId="0" applyFont="1" applyFill="1" applyBorder="1" applyAlignment="1" applyProtection="1">
      <alignment horizontal="center" vertical="center" wrapText="1"/>
    </xf>
    <xf numFmtId="168" fontId="5" fillId="0" borderId="23" xfId="1" applyNumberFormat="1" applyFont="1" applyFill="1" applyBorder="1" applyAlignment="1" applyProtection="1">
      <alignment vertical="center" wrapText="1"/>
    </xf>
    <xf numFmtId="168" fontId="8" fillId="0" borderId="10" xfId="1" applyNumberFormat="1" applyFont="1" applyFill="1" applyBorder="1" applyAlignment="1" applyProtection="1">
      <alignment vertical="center" wrapText="1"/>
    </xf>
    <xf numFmtId="168" fontId="21" fillId="0" borderId="10" xfId="1" applyNumberFormat="1" applyFont="1" applyFill="1" applyBorder="1" applyAlignment="1" applyProtection="1">
      <alignment vertical="center" wrapText="1"/>
    </xf>
    <xf numFmtId="3" fontId="4" fillId="0" borderId="0" xfId="0" applyNumberFormat="1" applyFont="1" applyAlignment="1">
      <alignment horizontal="centerContinuous" vertical="center"/>
    </xf>
    <xf numFmtId="3" fontId="7" fillId="0" borderId="0" xfId="0" applyNumberFormat="1" applyFont="1" applyAlignment="1">
      <alignment horizontal="centerContinuous" vertical="center"/>
    </xf>
    <xf numFmtId="3" fontId="7" fillId="0" borderId="0" xfId="0" applyNumberFormat="1" applyFont="1" applyAlignment="1">
      <alignment vertical="center"/>
    </xf>
    <xf numFmtId="0" fontId="8" fillId="0" borderId="17" xfId="0" applyFont="1" applyBorder="1" applyAlignment="1">
      <alignment horizontal="center" vertical="center" wrapText="1"/>
    </xf>
    <xf numFmtId="0" fontId="8" fillId="0" borderId="20" xfId="0" applyFont="1" applyBorder="1" applyAlignment="1">
      <alignment horizontal="center" vertical="center" wrapText="1"/>
    </xf>
    <xf numFmtId="0" fontId="5" fillId="14" borderId="24" xfId="0" applyFont="1" applyFill="1" applyBorder="1"/>
    <xf numFmtId="168" fontId="5" fillId="14" borderId="16" xfId="1" applyNumberFormat="1" applyFont="1" applyFill="1" applyBorder="1"/>
    <xf numFmtId="0" fontId="5" fillId="14" borderId="16" xfId="0" applyFont="1" applyFill="1" applyBorder="1"/>
    <xf numFmtId="0" fontId="5" fillId="0" borderId="9" xfId="0" applyFont="1" applyBorder="1"/>
    <xf numFmtId="0" fontId="5" fillId="14" borderId="9" xfId="0" applyFont="1" applyFill="1" applyBorder="1"/>
    <xf numFmtId="168" fontId="5" fillId="0" borderId="10" xfId="1" applyNumberFormat="1" applyFont="1" applyBorder="1"/>
    <xf numFmtId="0" fontId="5" fillId="0" borderId="10" xfId="0" applyFont="1" applyBorder="1"/>
    <xf numFmtId="0" fontId="5" fillId="14" borderId="10" xfId="0" applyFont="1" applyFill="1" applyBorder="1"/>
    <xf numFmtId="0" fontId="5" fillId="14" borderId="11" xfId="0" applyFont="1" applyFill="1" applyBorder="1"/>
    <xf numFmtId="0" fontId="5" fillId="0" borderId="11" xfId="0" applyFont="1" applyBorder="1"/>
    <xf numFmtId="168" fontId="5" fillId="0" borderId="11" xfId="1" applyNumberFormat="1" applyFont="1" applyBorder="1"/>
    <xf numFmtId="168" fontId="5" fillId="0" borderId="9" xfId="1" applyNumberFormat="1" applyFont="1" applyBorder="1"/>
    <xf numFmtId="10" fontId="5" fillId="0" borderId="11" xfId="3" applyNumberFormat="1" applyFont="1" applyBorder="1"/>
    <xf numFmtId="0" fontId="8" fillId="14" borderId="24" xfId="0" applyFont="1" applyFill="1" applyBorder="1"/>
    <xf numFmtId="168" fontId="8" fillId="14" borderId="16" xfId="1" applyNumberFormat="1" applyFont="1" applyFill="1" applyBorder="1"/>
    <xf numFmtId="0" fontId="8" fillId="14" borderId="16" xfId="0" applyFont="1" applyFill="1" applyBorder="1"/>
    <xf numFmtId="3" fontId="38" fillId="9" borderId="17" xfId="1" quotePrefix="1" applyNumberFormat="1" applyFont="1" applyFill="1" applyBorder="1" applyAlignment="1">
      <alignment horizontal="center" vertical="center" wrapText="1"/>
    </xf>
    <xf numFmtId="0" fontId="43" fillId="0" borderId="0" xfId="0" applyFont="1" applyAlignment="1">
      <alignment horizontal="centerContinuous"/>
    </xf>
    <xf numFmtId="0" fontId="43" fillId="0" borderId="0" xfId="0" applyFont="1"/>
    <xf numFmtId="0" fontId="43" fillId="0" borderId="16" xfId="0" applyFont="1" applyBorder="1"/>
    <xf numFmtId="0" fontId="43" fillId="0" borderId="16" xfId="0" applyFont="1" applyBorder="1" applyAlignment="1">
      <alignment horizontal="center"/>
    </xf>
    <xf numFmtId="0" fontId="0" fillId="0" borderId="16" xfId="0" applyBorder="1"/>
    <xf numFmtId="0" fontId="0" fillId="0" borderId="16" xfId="0" applyBorder="1" applyAlignment="1">
      <alignment horizontal="center"/>
    </xf>
    <xf numFmtId="0" fontId="1" fillId="0" borderId="16" xfId="0" applyFont="1" applyBorder="1" applyAlignment="1">
      <alignment horizontal="center"/>
    </xf>
    <xf numFmtId="0" fontId="43" fillId="16" borderId="0" xfId="0" applyFont="1" applyFill="1"/>
    <xf numFmtId="0" fontId="43" fillId="16" borderId="16" xfId="0" applyFont="1" applyFill="1" applyBorder="1"/>
    <xf numFmtId="0" fontId="43" fillId="16" borderId="16" xfId="0" applyFont="1" applyFill="1" applyBorder="1" applyAlignment="1">
      <alignment horizontal="center"/>
    </xf>
    <xf numFmtId="0" fontId="1" fillId="0" borderId="16" xfId="0" applyFont="1" applyBorder="1"/>
    <xf numFmtId="0" fontId="0" fillId="10" borderId="16" xfId="0" applyFill="1" applyBorder="1"/>
    <xf numFmtId="0" fontId="80" fillId="0" borderId="16" xfId="0" applyFont="1" applyBorder="1"/>
    <xf numFmtId="0" fontId="0" fillId="16" borderId="16" xfId="0" applyFill="1" applyBorder="1"/>
    <xf numFmtId="0" fontId="0" fillId="16" borderId="16" xfId="0" applyFill="1" applyBorder="1" applyAlignment="1">
      <alignment horizontal="center"/>
    </xf>
    <xf numFmtId="0" fontId="38" fillId="9" borderId="17" xfId="0" applyFont="1" applyFill="1" applyBorder="1" applyAlignment="1">
      <alignment horizontal="center" vertical="center" wrapText="1"/>
    </xf>
    <xf numFmtId="0" fontId="38" fillId="9" borderId="16" xfId="0" applyFont="1" applyFill="1" applyBorder="1" applyAlignment="1">
      <alignment horizontal="center" vertical="center" wrapText="1"/>
    </xf>
    <xf numFmtId="0" fontId="38" fillId="9" borderId="16" xfId="0" applyFont="1" applyFill="1" applyBorder="1" applyAlignment="1">
      <alignment horizontal="center" vertical="center" wrapText="1"/>
    </xf>
    <xf numFmtId="170" fontId="38" fillId="9" borderId="16" xfId="0" applyNumberFormat="1" applyFont="1" applyFill="1" applyBorder="1" applyAlignment="1">
      <alignment horizontal="center" vertical="center" wrapText="1"/>
    </xf>
    <xf numFmtId="3" fontId="38" fillId="9" borderId="16" xfId="0" applyNumberFormat="1" applyFont="1" applyFill="1" applyBorder="1" applyAlignment="1">
      <alignment horizontal="center" vertical="center" wrapText="1"/>
    </xf>
    <xf numFmtId="0" fontId="4" fillId="0" borderId="0" xfId="1" applyNumberFormat="1" applyFont="1" applyAlignment="1">
      <alignment horizontal="centerContinuous"/>
    </xf>
    <xf numFmtId="0" fontId="4" fillId="0" borderId="0" xfId="0" applyNumberFormat="1" applyFont="1" applyAlignment="1"/>
    <xf numFmtId="0" fontId="7" fillId="0" borderId="0" xfId="1" applyNumberFormat="1" applyFont="1" applyAlignment="1">
      <alignment horizontal="centerContinuous"/>
    </xf>
    <xf numFmtId="0" fontId="7" fillId="0" borderId="0" xfId="0" applyNumberFormat="1" applyFont="1" applyAlignment="1"/>
    <xf numFmtId="3" fontId="4" fillId="0" borderId="0" xfId="0" applyNumberFormat="1" applyFont="1" applyAlignment="1">
      <alignment horizontal="center" vertical="center"/>
    </xf>
    <xf numFmtId="170" fontId="4" fillId="0" borderId="0" xfId="0" applyNumberFormat="1" applyFont="1" applyAlignment="1">
      <alignment horizontal="center" vertical="center"/>
    </xf>
    <xf numFmtId="3" fontId="4" fillId="0" borderId="0" xfId="0" applyNumberFormat="1" applyFont="1" applyAlignment="1">
      <alignment horizontal="center"/>
    </xf>
    <xf numFmtId="3" fontId="27" fillId="0" borderId="0" xfId="0" applyNumberFormat="1" applyFont="1" applyAlignment="1">
      <alignment vertical="center" wrapText="1"/>
    </xf>
    <xf numFmtId="0" fontId="8" fillId="0" borderId="24" xfId="0" applyFont="1" applyBorder="1"/>
    <xf numFmtId="0" fontId="38" fillId="9" borderId="16" xfId="0" applyFont="1" applyFill="1" applyBorder="1" applyAlignment="1">
      <alignment horizontal="center" vertical="center" wrapText="1"/>
    </xf>
    <xf numFmtId="168" fontId="21" fillId="0" borderId="0" xfId="1" applyNumberFormat="1" applyFont="1" applyAlignment="1">
      <alignment vertical="center"/>
    </xf>
    <xf numFmtId="0" fontId="21" fillId="0" borderId="10" xfId="0" applyFont="1" applyFill="1" applyBorder="1" applyAlignment="1" applyProtection="1">
      <alignment horizontal="center" vertical="center" wrapText="1"/>
    </xf>
    <xf numFmtId="0" fontId="21" fillId="2" borderId="10" xfId="0" applyFont="1" applyFill="1" applyBorder="1" applyAlignment="1" applyProtection="1">
      <alignment horizontal="center" vertical="center" wrapText="1"/>
    </xf>
    <xf numFmtId="168" fontId="8" fillId="0" borderId="10" xfId="1" applyNumberFormat="1" applyFont="1" applyFill="1" applyBorder="1" applyAlignment="1" applyProtection="1">
      <alignment horizontal="center" vertical="center" wrapText="1"/>
    </xf>
    <xf numFmtId="3" fontId="8" fillId="0" borderId="10" xfId="0" applyNumberFormat="1" applyFont="1" applyFill="1" applyBorder="1" applyAlignment="1" applyProtection="1">
      <alignment vertical="center"/>
      <protection hidden="1"/>
    </xf>
    <xf numFmtId="3" fontId="38" fillId="9" borderId="16" xfId="0" applyNumberFormat="1" applyFont="1" applyFill="1" applyBorder="1" applyAlignment="1">
      <alignment horizontal="center" vertical="center"/>
    </xf>
    <xf numFmtId="170" fontId="38" fillId="9" borderId="16" xfId="0" applyNumberFormat="1" applyFont="1" applyFill="1" applyBorder="1" applyAlignment="1">
      <alignment horizontal="center" vertical="center"/>
    </xf>
    <xf numFmtId="170" fontId="4" fillId="0" borderId="0" xfId="1" applyNumberFormat="1" applyFont="1" applyAlignment="1"/>
    <xf numFmtId="3" fontId="4" fillId="0" borderId="0" xfId="0" applyNumberFormat="1" applyFont="1" applyAlignment="1"/>
    <xf numFmtId="170" fontId="4" fillId="0" borderId="0" xfId="0" applyNumberFormat="1" applyFont="1" applyAlignment="1"/>
    <xf numFmtId="170" fontId="38" fillId="9" borderId="16" xfId="0" applyNumberFormat="1" applyFont="1" applyFill="1" applyBorder="1" applyAlignment="1">
      <alignment horizontal="center" vertical="center" wrapText="1"/>
    </xf>
    <xf numFmtId="0" fontId="5" fillId="0" borderId="16" xfId="2" applyFont="1" applyBorder="1" applyAlignment="1">
      <alignment horizontal="center" vertical="center" wrapText="1"/>
    </xf>
    <xf numFmtId="168" fontId="21" fillId="0" borderId="10" xfId="1" applyNumberFormat="1" applyFont="1" applyFill="1" applyBorder="1" applyAlignment="1" applyProtection="1">
      <alignment horizontal="center" vertical="center" wrapText="1"/>
    </xf>
    <xf numFmtId="168" fontId="8" fillId="0" borderId="11" xfId="1" applyNumberFormat="1" applyFont="1" applyFill="1" applyBorder="1" applyAlignment="1" applyProtection="1">
      <alignment horizontal="center" vertical="center" wrapText="1"/>
    </xf>
    <xf numFmtId="0" fontId="37" fillId="9" borderId="16" xfId="0" applyFont="1" applyFill="1" applyBorder="1" applyAlignment="1" applyProtection="1">
      <alignment horizontal="center" vertical="center" wrapText="1"/>
    </xf>
    <xf numFmtId="0" fontId="37" fillId="9" borderId="17" xfId="0" applyFont="1" applyFill="1" applyBorder="1" applyAlignment="1" applyProtection="1">
      <alignment horizontal="center" vertical="center" wrapText="1"/>
    </xf>
    <xf numFmtId="0" fontId="37" fillId="9" borderId="19" xfId="0" applyFont="1" applyFill="1" applyBorder="1" applyAlignment="1" applyProtection="1">
      <alignment horizontal="center" vertical="center" wrapText="1"/>
    </xf>
    <xf numFmtId="3" fontId="37" fillId="9" borderId="16" xfId="0" applyNumberFormat="1" applyFont="1" applyFill="1" applyBorder="1" applyAlignment="1" applyProtection="1">
      <alignment horizontal="center" vertical="center" wrapText="1"/>
    </xf>
    <xf numFmtId="0" fontId="12" fillId="9" borderId="16" xfId="0" applyFont="1" applyFill="1" applyBorder="1" applyAlignment="1">
      <alignment horizontal="center" vertical="center" wrapText="1"/>
    </xf>
    <xf numFmtId="0" fontId="37" fillId="9" borderId="16" xfId="0" applyNumberFormat="1" applyFont="1" applyFill="1" applyBorder="1" applyAlignment="1" applyProtection="1">
      <alignment horizontal="center" vertical="center" wrapText="1"/>
    </xf>
    <xf numFmtId="3" fontId="12" fillId="9" borderId="16" xfId="0" applyNumberFormat="1" applyFont="1" applyFill="1" applyBorder="1" applyAlignment="1">
      <alignment horizontal="center" vertical="center" wrapText="1"/>
    </xf>
    <xf numFmtId="0" fontId="37" fillId="9" borderId="16" xfId="0" applyNumberFormat="1" applyFont="1" applyFill="1" applyBorder="1" applyAlignment="1" applyProtection="1">
      <alignment horizontal="center" vertical="center"/>
    </xf>
    <xf numFmtId="3" fontId="37" fillId="9" borderId="17" xfId="0" applyNumberFormat="1" applyFont="1" applyFill="1" applyBorder="1" applyAlignment="1" applyProtection="1">
      <alignment horizontal="center" vertical="center" wrapText="1"/>
    </xf>
    <xf numFmtId="170" fontId="37" fillId="9" borderId="16" xfId="0" applyNumberFormat="1" applyFont="1" applyFill="1" applyBorder="1" applyAlignment="1" applyProtection="1">
      <alignment horizontal="center" vertical="center"/>
    </xf>
    <xf numFmtId="0" fontId="8" fillId="11" borderId="16" xfId="0" applyFont="1" applyFill="1" applyBorder="1" applyAlignment="1">
      <alignment horizontal="center" vertical="center"/>
    </xf>
    <xf numFmtId="0" fontId="4" fillId="0" borderId="0" xfId="0" applyNumberFormat="1" applyFont="1" applyAlignment="1">
      <alignment vertical="center"/>
    </xf>
    <xf numFmtId="0" fontId="4" fillId="0" borderId="0" xfId="0" applyNumberFormat="1" applyFont="1" applyAlignment="1">
      <alignment horizontal="center" vertical="center"/>
    </xf>
    <xf numFmtId="0" fontId="77" fillId="0" borderId="0" xfId="0" applyFont="1" applyFill="1" applyAlignment="1">
      <alignment vertical="center"/>
    </xf>
    <xf numFmtId="0" fontId="77" fillId="0" borderId="0" xfId="0" applyFont="1" applyFill="1" applyAlignment="1">
      <alignment horizontal="center" vertical="center"/>
    </xf>
    <xf numFmtId="3" fontId="4" fillId="0" borderId="0" xfId="0" quotePrefix="1" applyNumberFormat="1" applyFont="1" applyAlignment="1">
      <alignment vertical="center"/>
    </xf>
    <xf numFmtId="170" fontId="37" fillId="9" borderId="16" xfId="0" applyNumberFormat="1" applyFont="1" applyFill="1" applyBorder="1" applyAlignment="1" applyProtection="1">
      <alignment horizontal="centerContinuous" vertical="center" wrapText="1"/>
    </xf>
    <xf numFmtId="173" fontId="37" fillId="9" borderId="16" xfId="0" applyNumberFormat="1" applyFont="1" applyFill="1" applyBorder="1" applyAlignment="1" applyProtection="1">
      <alignment horizontal="centerContinuous" vertical="center" wrapText="1"/>
    </xf>
    <xf numFmtId="0" fontId="5" fillId="9" borderId="16" xfId="0" applyFont="1" applyFill="1" applyBorder="1" applyAlignment="1" applyProtection="1">
      <alignment horizontal="centerContinuous" vertical="center" wrapText="1"/>
    </xf>
    <xf numFmtId="170" fontId="18" fillId="9" borderId="17" xfId="0" applyNumberFormat="1" applyFont="1" applyFill="1" applyBorder="1" applyAlignment="1" applyProtection="1">
      <alignment horizontal="center" vertical="center" wrapText="1"/>
    </xf>
    <xf numFmtId="170" fontId="18" fillId="9" borderId="19" xfId="0" applyNumberFormat="1" applyFont="1" applyFill="1" applyBorder="1" applyAlignment="1" applyProtection="1">
      <alignment horizontal="center" vertical="center" wrapText="1"/>
    </xf>
    <xf numFmtId="170" fontId="37" fillId="9" borderId="17" xfId="0" applyNumberFormat="1" applyFont="1" applyFill="1" applyBorder="1" applyAlignment="1" applyProtection="1">
      <alignment horizontal="centerContinuous" vertical="center" wrapText="1"/>
    </xf>
    <xf numFmtId="173" fontId="4" fillId="0" borderId="0" xfId="0" applyNumberFormat="1" applyFont="1" applyAlignment="1">
      <alignment vertical="center"/>
    </xf>
    <xf numFmtId="170" fontId="37" fillId="9" borderId="24" xfId="0" applyNumberFormat="1" applyFont="1" applyFill="1" applyBorder="1" applyAlignment="1" applyProtection="1">
      <alignment horizontal="centerContinuous" vertical="center" wrapText="1"/>
    </xf>
    <xf numFmtId="0" fontId="7" fillId="9" borderId="16" xfId="0" applyFont="1" applyFill="1" applyBorder="1" applyAlignment="1">
      <alignment horizontal="centerContinuous" vertical="center" wrapText="1"/>
    </xf>
    <xf numFmtId="0" fontId="7" fillId="9" borderId="16" xfId="0" applyFont="1" applyFill="1" applyBorder="1" applyAlignment="1">
      <alignment horizontal="centerContinuous" vertical="center"/>
    </xf>
    <xf numFmtId="0" fontId="5" fillId="0" borderId="16" xfId="0" applyFont="1" applyBorder="1" applyAlignment="1">
      <alignment horizontal="center" vertical="top" wrapText="1"/>
    </xf>
    <xf numFmtId="0" fontId="5" fillId="13" borderId="16" xfId="0" applyFont="1" applyFill="1" applyBorder="1" applyAlignment="1">
      <alignment horizontal="center" vertical="top" wrapText="1"/>
    </xf>
    <xf numFmtId="0" fontId="5" fillId="0" borderId="16" xfId="0" applyFont="1" applyBorder="1" applyAlignment="1">
      <alignment horizontal="justify" vertical="top" wrapText="1"/>
    </xf>
    <xf numFmtId="0" fontId="9" fillId="0" borderId="16" xfId="0" applyFont="1" applyBorder="1" applyAlignment="1">
      <alignment horizontal="justify" vertical="top"/>
    </xf>
    <xf numFmtId="176" fontId="5" fillId="0" borderId="16" xfId="3" applyNumberFormat="1" applyFont="1" applyBorder="1" applyAlignment="1">
      <alignment horizontal="center" vertical="center"/>
    </xf>
    <xf numFmtId="0" fontId="5" fillId="0" borderId="0" xfId="0" applyFont="1" applyAlignment="1">
      <alignment vertical="top"/>
    </xf>
    <xf numFmtId="0" fontId="81" fillId="17" borderId="0" xfId="0" applyFont="1" applyFill="1" applyAlignment="1">
      <alignment horizontal="center" vertical="center" wrapText="1"/>
    </xf>
    <xf numFmtId="0" fontId="82" fillId="17" borderId="0" xfId="0" applyFont="1" applyFill="1" applyAlignment="1">
      <alignment horizontal="center" vertical="center" wrapText="1"/>
    </xf>
    <xf numFmtId="0" fontId="5" fillId="17" borderId="0" xfId="0" applyFont="1" applyFill="1" applyAlignment="1">
      <alignment vertical="top" wrapText="1"/>
    </xf>
    <xf numFmtId="0" fontId="83" fillId="17" borderId="0" xfId="0" applyFont="1" applyFill="1" applyAlignment="1">
      <alignment horizontal="center" vertical="center" wrapText="1"/>
    </xf>
    <xf numFmtId="0" fontId="9" fillId="0" borderId="16" xfId="0" applyFont="1" applyBorder="1" applyAlignment="1">
      <alignment horizontal="justify" vertical="center" wrapText="1"/>
    </xf>
    <xf numFmtId="0" fontId="5" fillId="2" borderId="0" xfId="0" applyFont="1" applyFill="1" applyBorder="1" applyAlignment="1" applyProtection="1">
      <alignment horizontal="center" vertical="center"/>
    </xf>
    <xf numFmtId="0" fontId="5" fillId="2" borderId="23" xfId="0" applyFont="1" applyFill="1" applyBorder="1" applyAlignment="1" applyProtection="1">
      <alignment horizontal="center" vertical="center"/>
    </xf>
    <xf numFmtId="0" fontId="5" fillId="0" borderId="23" xfId="0" applyFont="1" applyFill="1" applyBorder="1" applyAlignment="1" applyProtection="1">
      <alignment vertical="center"/>
    </xf>
    <xf numFmtId="0" fontId="5" fillId="0" borderId="23" xfId="0" applyFont="1" applyFill="1" applyBorder="1" applyAlignment="1" applyProtection="1">
      <alignment horizontal="center" vertical="center"/>
    </xf>
    <xf numFmtId="168" fontId="5" fillId="0" borderId="23" xfId="1" applyNumberFormat="1" applyFont="1" applyFill="1" applyBorder="1" applyAlignment="1" applyProtection="1">
      <alignment vertical="center"/>
    </xf>
    <xf numFmtId="0" fontId="5" fillId="2" borderId="10" xfId="0" applyFont="1" applyFill="1" applyBorder="1" applyAlignment="1" applyProtection="1">
      <alignment horizontal="center" vertical="center"/>
    </xf>
    <xf numFmtId="0" fontId="5" fillId="0" borderId="10" xfId="0" applyFont="1" applyFill="1" applyBorder="1" applyAlignment="1" applyProtection="1">
      <alignment vertical="center"/>
    </xf>
    <xf numFmtId="0" fontId="5" fillId="0" borderId="10" xfId="0" applyFont="1" applyFill="1" applyBorder="1" applyAlignment="1" applyProtection="1">
      <alignment horizontal="center" vertical="center"/>
    </xf>
    <xf numFmtId="168" fontId="5" fillId="0" borderId="10" xfId="1" applyNumberFormat="1" applyFont="1" applyFill="1" applyBorder="1" applyAlignment="1" applyProtection="1">
      <alignment vertical="center"/>
    </xf>
    <xf numFmtId="0" fontId="8" fillId="2" borderId="10" xfId="0" applyFont="1" applyFill="1" applyBorder="1" applyAlignment="1" applyProtection="1">
      <alignment horizontal="center" vertical="center"/>
    </xf>
    <xf numFmtId="0" fontId="8" fillId="0" borderId="10" xfId="0" applyFont="1" applyFill="1" applyBorder="1" applyAlignment="1" applyProtection="1">
      <alignment vertical="center"/>
    </xf>
    <xf numFmtId="0" fontId="8" fillId="0" borderId="10" xfId="0" applyFont="1" applyFill="1" applyBorder="1" applyAlignment="1" applyProtection="1">
      <alignment horizontal="center" vertical="center"/>
    </xf>
    <xf numFmtId="168" fontId="8" fillId="0" borderId="10" xfId="1" applyNumberFormat="1" applyFont="1" applyFill="1" applyBorder="1" applyAlignment="1" applyProtection="1">
      <alignment vertical="center"/>
    </xf>
    <xf numFmtId="0" fontId="5" fillId="0" borderId="0" xfId="0" applyFont="1" applyFill="1" applyBorder="1" applyAlignment="1" applyProtection="1">
      <alignment horizontal="center" vertical="center"/>
    </xf>
    <xf numFmtId="0" fontId="21" fillId="0" borderId="0" xfId="0" applyFont="1" applyFill="1" applyBorder="1" applyAlignment="1" applyProtection="1">
      <alignment horizontal="centerContinuous" vertical="center"/>
    </xf>
    <xf numFmtId="0" fontId="5" fillId="0" borderId="0" xfId="0" applyFont="1" applyAlignment="1"/>
    <xf numFmtId="0" fontId="27" fillId="0" borderId="0" xfId="0" applyFont="1" applyAlignment="1">
      <alignment wrapText="1"/>
    </xf>
    <xf numFmtId="0" fontId="0" fillId="0" borderId="0" xfId="0" applyAlignment="1">
      <alignment vertical="center"/>
    </xf>
    <xf numFmtId="0" fontId="27" fillId="0" borderId="0" xfId="0" applyFont="1" applyFill="1" applyBorder="1" applyAlignment="1" applyProtection="1">
      <alignment horizontal="center" vertical="center" wrapText="1"/>
      <protection locked="0"/>
    </xf>
    <xf numFmtId="0" fontId="27" fillId="0" borderId="0" xfId="0" applyFont="1" applyFill="1" applyBorder="1" applyAlignment="1" applyProtection="1">
      <alignment vertical="center" wrapText="1"/>
      <protection locked="0"/>
    </xf>
    <xf numFmtId="0" fontId="68" fillId="0" borderId="0" xfId="0" applyFont="1" applyFill="1" applyBorder="1" applyAlignment="1" applyProtection="1">
      <alignment horizontal="centerContinuous" vertical="center"/>
      <protection locked="0"/>
    </xf>
    <xf numFmtId="0" fontId="68" fillId="0" borderId="0" xfId="0" applyNumberFormat="1" applyFont="1" applyFill="1" applyBorder="1" applyAlignment="1" applyProtection="1">
      <alignment horizontal="centerContinuous" vertical="center"/>
    </xf>
    <xf numFmtId="0" fontId="24" fillId="0" borderId="0" xfId="0" applyFont="1" applyAlignment="1">
      <alignment horizontal="centerContinuous"/>
    </xf>
    <xf numFmtId="0" fontId="4" fillId="18" borderId="10" xfId="0" applyNumberFormat="1" applyFont="1" applyFill="1" applyBorder="1" applyAlignment="1" applyProtection="1">
      <alignment horizontal="center" vertical="center"/>
    </xf>
    <xf numFmtId="0" fontId="4" fillId="18" borderId="10" xfId="0" applyFont="1" applyFill="1" applyBorder="1" applyAlignment="1">
      <alignment horizontal="left" vertical="center" wrapText="1"/>
    </xf>
    <xf numFmtId="0" fontId="4" fillId="18" borderId="10" xfId="0" applyFont="1" applyFill="1" applyBorder="1" applyAlignment="1">
      <alignment horizontal="center" vertical="center" wrapText="1"/>
    </xf>
    <xf numFmtId="0" fontId="4" fillId="18" borderId="10" xfId="0" applyFont="1" applyFill="1" applyBorder="1"/>
    <xf numFmtId="168" fontId="4" fillId="18" borderId="10" xfId="1" applyNumberFormat="1" applyFont="1" applyFill="1" applyBorder="1" applyAlignment="1">
      <alignment horizontal="right" vertical="center" wrapText="1"/>
    </xf>
    <xf numFmtId="0" fontId="3" fillId="18" borderId="0" xfId="0" applyFont="1" applyFill="1"/>
    <xf numFmtId="0" fontId="4" fillId="18" borderId="10" xfId="0" applyNumberFormat="1" applyFont="1" applyFill="1" applyBorder="1" applyAlignment="1">
      <alignment horizontal="right" vertical="center" wrapText="1"/>
    </xf>
    <xf numFmtId="0" fontId="4" fillId="18" borderId="27" xfId="0" applyNumberFormat="1" applyFont="1" applyFill="1" applyBorder="1" applyAlignment="1" applyProtection="1">
      <alignment horizontal="center" vertical="center"/>
    </xf>
    <xf numFmtId="0" fontId="4" fillId="18" borderId="27" xfId="0" applyFont="1" applyFill="1" applyBorder="1" applyAlignment="1">
      <alignment horizontal="left" vertical="center" wrapText="1"/>
    </xf>
    <xf numFmtId="0" fontId="4" fillId="18" borderId="27" xfId="0" applyFont="1" applyFill="1" applyBorder="1" applyAlignment="1">
      <alignment horizontal="center" vertical="center" wrapText="1"/>
    </xf>
    <xf numFmtId="0" fontId="4" fillId="18" borderId="27" xfId="0" applyFont="1" applyFill="1" applyBorder="1"/>
    <xf numFmtId="0" fontId="4" fillId="18" borderId="27" xfId="0" applyNumberFormat="1" applyFont="1" applyFill="1" applyBorder="1" applyAlignment="1">
      <alignment horizontal="right" vertical="center" wrapText="1"/>
    </xf>
    <xf numFmtId="0" fontId="4" fillId="18" borderId="23" xfId="0" applyNumberFormat="1" applyFont="1" applyFill="1" applyBorder="1" applyAlignment="1" applyProtection="1">
      <alignment horizontal="center" vertical="center"/>
    </xf>
    <xf numFmtId="0" fontId="4" fillId="18" borderId="23" xfId="0" applyFont="1" applyFill="1" applyBorder="1" applyAlignment="1">
      <alignment horizontal="left" vertical="center" wrapText="1"/>
    </xf>
    <xf numFmtId="0" fontId="4" fillId="18" borderId="23" xfId="0" applyFont="1" applyFill="1" applyBorder="1" applyAlignment="1">
      <alignment horizontal="center" vertical="center" wrapText="1"/>
    </xf>
    <xf numFmtId="0" fontId="4" fillId="18" borderId="23" xfId="0" applyFont="1" applyFill="1" applyBorder="1"/>
    <xf numFmtId="0" fontId="4" fillId="18" borderId="23" xfId="0" applyNumberFormat="1" applyFont="1" applyFill="1" applyBorder="1" applyAlignment="1">
      <alignment horizontal="right" vertical="center" wrapText="1"/>
    </xf>
    <xf numFmtId="0" fontId="3" fillId="18" borderId="10" xfId="0" applyFont="1" applyFill="1" applyBorder="1"/>
    <xf numFmtId="0" fontId="4" fillId="18" borderId="11" xfId="0" applyNumberFormat="1" applyFont="1" applyFill="1" applyBorder="1" applyAlignment="1" applyProtection="1">
      <alignment horizontal="center" vertical="center"/>
    </xf>
    <xf numFmtId="0" fontId="3" fillId="18" borderId="11" xfId="0" applyFont="1" applyFill="1" applyBorder="1"/>
    <xf numFmtId="0" fontId="4" fillId="9" borderId="10" xfId="0" applyNumberFormat="1" applyFont="1" applyFill="1" applyBorder="1" applyAlignment="1" applyProtection="1">
      <alignment horizontal="center" vertical="center"/>
    </xf>
    <xf numFmtId="0" fontId="4" fillId="9" borderId="10" xfId="0" applyFont="1" applyFill="1" applyBorder="1" applyAlignment="1">
      <alignment horizontal="left" vertical="center" wrapText="1"/>
    </xf>
    <xf numFmtId="0" fontId="3" fillId="9" borderId="10" xfId="0" applyFont="1" applyFill="1" applyBorder="1"/>
    <xf numFmtId="3" fontId="4" fillId="9" borderId="10" xfId="0" applyNumberFormat="1" applyFont="1" applyFill="1" applyBorder="1" applyAlignment="1">
      <alignment horizontal="right" vertical="center" wrapText="1"/>
    </xf>
    <xf numFmtId="0" fontId="3" fillId="9" borderId="0" xfId="0" applyFont="1" applyFill="1"/>
    <xf numFmtId="0" fontId="4" fillId="19" borderId="10" xfId="0" applyNumberFormat="1" applyFont="1" applyFill="1" applyBorder="1" applyAlignment="1" applyProtection="1">
      <alignment horizontal="center" vertical="center"/>
    </xf>
    <xf numFmtId="0" fontId="4" fillId="19" borderId="10" xfId="0" applyFont="1" applyFill="1" applyBorder="1" applyAlignment="1">
      <alignment horizontal="left" vertical="center" wrapText="1"/>
    </xf>
    <xf numFmtId="0" fontId="4" fillId="19" borderId="10" xfId="0" applyFont="1" applyFill="1" applyBorder="1" applyAlignment="1">
      <alignment horizontal="center" vertical="center" wrapText="1"/>
    </xf>
    <xf numFmtId="0" fontId="4" fillId="19" borderId="10" xfId="0" applyFont="1" applyFill="1" applyBorder="1"/>
    <xf numFmtId="3" fontId="4" fillId="19" borderId="10" xfId="0" applyNumberFormat="1" applyFont="1" applyFill="1" applyBorder="1" applyAlignment="1">
      <alignment horizontal="right" vertical="center" wrapText="1"/>
    </xf>
    <xf numFmtId="0" fontId="3" fillId="19" borderId="0" xfId="0" applyFont="1" applyFill="1"/>
    <xf numFmtId="9" fontId="4" fillId="19" borderId="10" xfId="0" applyNumberFormat="1" applyFont="1" applyFill="1" applyBorder="1" applyAlignment="1">
      <alignment horizontal="right" vertical="center" wrapText="1"/>
    </xf>
    <xf numFmtId="0" fontId="4" fillId="19" borderId="10" xfId="0" applyNumberFormat="1" applyFont="1" applyFill="1" applyBorder="1" applyAlignment="1">
      <alignment horizontal="right" vertical="center" wrapText="1"/>
    </xf>
    <xf numFmtId="0" fontId="7" fillId="18" borderId="10" xfId="0" applyNumberFormat="1" applyFont="1" applyFill="1" applyBorder="1" applyAlignment="1" applyProtection="1">
      <alignment horizontal="center" vertical="center"/>
    </xf>
    <xf numFmtId="0" fontId="7" fillId="18" borderId="10" xfId="0" applyFont="1" applyFill="1" applyBorder="1" applyAlignment="1">
      <alignment horizontal="left" vertical="center"/>
    </xf>
    <xf numFmtId="0" fontId="7" fillId="18" borderId="10" xfId="0" applyFont="1" applyFill="1" applyBorder="1" applyAlignment="1">
      <alignment horizontal="center" vertical="center" wrapText="1"/>
    </xf>
    <xf numFmtId="0" fontId="7" fillId="18" borderId="10" xfId="0" applyFont="1" applyFill="1" applyBorder="1"/>
    <xf numFmtId="9" fontId="7" fillId="18" borderId="10" xfId="0" applyNumberFormat="1" applyFont="1" applyFill="1" applyBorder="1" applyAlignment="1">
      <alignment horizontal="right" vertical="center" wrapText="1"/>
    </xf>
    <xf numFmtId="0" fontId="7" fillId="18" borderId="10" xfId="0" applyNumberFormat="1" applyFont="1" applyFill="1" applyBorder="1" applyAlignment="1">
      <alignment horizontal="right" vertical="center" wrapText="1"/>
    </xf>
    <xf numFmtId="168" fontId="19" fillId="0" borderId="0" xfId="1" applyNumberFormat="1" applyFont="1" applyAlignment="1">
      <alignment horizontal="centerContinuous"/>
    </xf>
    <xf numFmtId="168" fontId="8" fillId="0" borderId="0" xfId="1" applyNumberFormat="1" applyFont="1" applyAlignment="1">
      <alignment horizontal="centerContinuous"/>
    </xf>
    <xf numFmtId="168" fontId="12" fillId="0" borderId="16" xfId="1" applyNumberFormat="1" applyFont="1" applyBorder="1" applyAlignment="1">
      <alignment horizontal="center" vertical="center" wrapText="1"/>
    </xf>
    <xf numFmtId="168" fontId="7" fillId="0" borderId="0" xfId="1" applyNumberFormat="1" applyFont="1" applyFill="1" applyBorder="1" applyAlignment="1" applyProtection="1">
      <alignment horizontal="centerContinuous"/>
    </xf>
    <xf numFmtId="168" fontId="4" fillId="0" borderId="0" xfId="1" applyNumberFormat="1" applyFont="1" applyFill="1" applyBorder="1" applyAlignment="1" applyProtection="1"/>
    <xf numFmtId="168" fontId="23" fillId="0" borderId="0" xfId="1" applyNumberFormat="1" applyFont="1" applyFill="1" applyBorder="1" applyAlignment="1" applyProtection="1">
      <alignment horizontal="centerContinuous"/>
    </xf>
    <xf numFmtId="168" fontId="4" fillId="0" borderId="0" xfId="1" applyNumberFormat="1" applyFont="1" applyFill="1" applyBorder="1" applyAlignment="1" applyProtection="1">
      <alignment horizontal="centerContinuous"/>
    </xf>
    <xf numFmtId="168" fontId="3" fillId="0" borderId="0" xfId="1" applyNumberFormat="1" applyFont="1"/>
    <xf numFmtId="0" fontId="5" fillId="10" borderId="9" xfId="0" applyFont="1" applyFill="1" applyBorder="1"/>
    <xf numFmtId="0" fontId="68" fillId="0" borderId="0" xfId="0" applyFont="1" applyAlignment="1">
      <alignment horizontal="centerContinuous"/>
    </xf>
    <xf numFmtId="0" fontId="68" fillId="0" borderId="0" xfId="0" applyFont="1"/>
    <xf numFmtId="168" fontId="7" fillId="0" borderId="10" xfId="1" applyNumberFormat="1" applyFont="1" applyFill="1" applyBorder="1" applyAlignment="1" applyProtection="1">
      <alignment vertical="center"/>
    </xf>
    <xf numFmtId="9" fontId="8" fillId="0" borderId="10" xfId="3" applyFont="1" applyBorder="1" applyAlignment="1">
      <alignment horizontal="center" vertical="center" wrapText="1"/>
    </xf>
    <xf numFmtId="0" fontId="68" fillId="0" borderId="0" xfId="0" applyFont="1" applyAlignment="1">
      <alignment horizontal="centerContinuous" wrapText="1"/>
    </xf>
    <xf numFmtId="168" fontId="12" fillId="9" borderId="17" xfId="1" applyNumberFormat="1" applyFont="1" applyFill="1" applyBorder="1" applyAlignment="1" applyProtection="1">
      <alignment horizontal="center" vertical="center"/>
    </xf>
    <xf numFmtId="168" fontId="3" fillId="0" borderId="0" xfId="1" applyNumberFormat="1" applyFont="1" applyAlignment="1">
      <alignment vertical="center"/>
    </xf>
    <xf numFmtId="168" fontId="3" fillId="0" borderId="0" xfId="1" applyNumberFormat="1" applyFont="1" applyFill="1" applyBorder="1" applyAlignment="1" applyProtection="1">
      <alignment vertical="center"/>
    </xf>
    <xf numFmtId="0" fontId="12" fillId="9" borderId="16" xfId="0" applyFont="1" applyFill="1" applyBorder="1" applyAlignment="1" applyProtection="1">
      <alignment horizontal="center" vertical="center"/>
    </xf>
    <xf numFmtId="3" fontId="12" fillId="9" borderId="16" xfId="0" applyNumberFormat="1" applyFont="1" applyFill="1" applyBorder="1" applyAlignment="1" applyProtection="1">
      <alignment horizontal="center" vertical="center"/>
    </xf>
    <xf numFmtId="3" fontId="3" fillId="0" borderId="0" xfId="0" applyNumberFormat="1" applyFont="1" applyAlignment="1">
      <alignment vertical="center"/>
    </xf>
    <xf numFmtId="3" fontId="3" fillId="0" borderId="0" xfId="0" applyNumberFormat="1" applyFont="1" applyAlignment="1"/>
    <xf numFmtId="168" fontId="3" fillId="0" borderId="0" xfId="1" applyNumberFormat="1" applyFont="1" applyAlignment="1">
      <alignment horizontal="centerContinuous"/>
    </xf>
    <xf numFmtId="168" fontId="4" fillId="0" borderId="0" xfId="1" applyNumberFormat="1" applyFont="1" applyAlignment="1">
      <alignment horizontal="centerContinuous" wrapText="1"/>
    </xf>
    <xf numFmtId="168" fontId="4" fillId="0" borderId="0" xfId="1" applyNumberFormat="1" applyFont="1" applyAlignment="1">
      <alignment wrapText="1"/>
    </xf>
    <xf numFmtId="168" fontId="7" fillId="0" borderId="0" xfId="1" applyNumberFormat="1" applyFont="1" applyAlignment="1">
      <alignment horizontal="centerContinuous" wrapText="1"/>
    </xf>
    <xf numFmtId="168" fontId="7" fillId="0" borderId="0" xfId="1" applyNumberFormat="1" applyFont="1" applyAlignment="1">
      <alignment wrapText="1"/>
    </xf>
    <xf numFmtId="168" fontId="37" fillId="9" borderId="17" xfId="1" applyNumberFormat="1" applyFont="1" applyFill="1" applyBorder="1" applyAlignment="1" applyProtection="1">
      <alignment horizontal="center" vertical="center" wrapText="1"/>
    </xf>
    <xf numFmtId="168" fontId="4" fillId="0" borderId="0" xfId="1" applyNumberFormat="1" applyFont="1" applyAlignment="1">
      <alignment vertical="center" wrapText="1"/>
    </xf>
    <xf numFmtId="0" fontId="4" fillId="0" borderId="0" xfId="1" applyNumberFormat="1" applyFont="1" applyAlignment="1">
      <alignment wrapText="1"/>
    </xf>
    <xf numFmtId="0" fontId="7" fillId="0" borderId="0" xfId="1" applyNumberFormat="1" applyFont="1" applyAlignment="1">
      <alignment wrapText="1"/>
    </xf>
    <xf numFmtId="0" fontId="37" fillId="9" borderId="17" xfId="1" applyNumberFormat="1" applyFont="1" applyFill="1" applyBorder="1" applyAlignment="1" applyProtection="1">
      <alignment horizontal="center" vertical="center" wrapText="1"/>
    </xf>
    <xf numFmtId="0" fontId="4" fillId="0" borderId="0" xfId="1" applyNumberFormat="1" applyFont="1" applyAlignment="1">
      <alignment vertical="center" wrapText="1"/>
    </xf>
    <xf numFmtId="0" fontId="37" fillId="9" borderId="17" xfId="0" applyFont="1" applyFill="1" applyBorder="1" applyAlignment="1" applyProtection="1">
      <alignment horizontal="center" vertical="center" wrapText="1"/>
    </xf>
    <xf numFmtId="3" fontId="37" fillId="9" borderId="17" xfId="0" applyNumberFormat="1" applyFont="1" applyFill="1" applyBorder="1" applyAlignment="1" applyProtection="1">
      <alignment horizontal="center" vertical="center" wrapText="1"/>
    </xf>
    <xf numFmtId="3" fontId="37" fillId="9" borderId="17" xfId="1" applyNumberFormat="1" applyFont="1" applyFill="1" applyBorder="1" applyAlignment="1" applyProtection="1">
      <alignment horizontal="center" vertical="center" wrapText="1"/>
    </xf>
    <xf numFmtId="0" fontId="12" fillId="0" borderId="16" xfId="0" applyFont="1" applyBorder="1" applyAlignment="1">
      <alignment horizontal="center" wrapText="1"/>
    </xf>
    <xf numFmtId="0" fontId="12" fillId="0" borderId="0" xfId="0" applyFont="1" applyAlignment="1">
      <alignment wrapText="1"/>
    </xf>
    <xf numFmtId="3" fontId="37" fillId="9" borderId="17" xfId="0" applyNumberFormat="1" applyFont="1" applyFill="1" applyBorder="1" applyAlignment="1" applyProtection="1">
      <alignment horizontal="center" vertical="center" wrapText="1"/>
    </xf>
    <xf numFmtId="0" fontId="8" fillId="0" borderId="0" xfId="0" applyFont="1" applyAlignment="1">
      <alignment horizontal="left"/>
    </xf>
    <xf numFmtId="2" fontId="8" fillId="0" borderId="0" xfId="0" applyNumberFormat="1" applyFont="1" applyAlignment="1">
      <alignment horizontal="center" vertical="center"/>
    </xf>
    <xf numFmtId="3" fontId="37" fillId="10" borderId="15" xfId="0" applyNumberFormat="1" applyFont="1" applyFill="1" applyBorder="1" applyAlignment="1" applyProtection="1">
      <alignment vertical="center"/>
    </xf>
    <xf numFmtId="3" fontId="37" fillId="9" borderId="16" xfId="0" applyNumberFormat="1" applyFont="1" applyFill="1" applyBorder="1" applyAlignment="1" applyProtection="1">
      <alignment horizontal="center" vertical="center" wrapText="1"/>
    </xf>
    <xf numFmtId="0" fontId="39" fillId="0" borderId="16" xfId="0" applyFont="1" applyBorder="1"/>
    <xf numFmtId="3" fontId="19" fillId="0" borderId="0" xfId="0" applyNumberFormat="1" applyFont="1" applyAlignment="1">
      <alignment horizontal="centerContinuous"/>
    </xf>
    <xf numFmtId="3" fontId="8" fillId="0" borderId="0" xfId="0" applyNumberFormat="1" applyFont="1" applyAlignment="1">
      <alignment horizontal="centerContinuous"/>
    </xf>
    <xf numFmtId="3" fontId="7" fillId="0" borderId="17" xfId="0" applyNumberFormat="1" applyFont="1" applyBorder="1" applyAlignment="1">
      <alignment horizontal="center" vertical="center" wrapText="1"/>
    </xf>
    <xf numFmtId="3" fontId="7" fillId="0" borderId="16" xfId="0" applyNumberFormat="1" applyFont="1" applyBorder="1" applyAlignment="1">
      <alignment horizontal="center" vertical="center" wrapText="1"/>
    </xf>
    <xf numFmtId="3" fontId="4" fillId="0" borderId="16" xfId="0" applyNumberFormat="1" applyFont="1" applyBorder="1" applyAlignment="1">
      <alignment horizontal="center" vertical="center" wrapText="1"/>
    </xf>
    <xf numFmtId="3" fontId="4" fillId="0" borderId="16" xfId="0" applyNumberFormat="1" applyFont="1" applyBorder="1" applyAlignment="1">
      <alignment horizontal="justify" vertical="center" wrapText="1"/>
    </xf>
    <xf numFmtId="3" fontId="4" fillId="0" borderId="16" xfId="1" applyNumberFormat="1" applyFont="1" applyBorder="1" applyAlignment="1">
      <alignment horizontal="right" vertical="center" wrapText="1"/>
    </xf>
    <xf numFmtId="3" fontId="7" fillId="0" borderId="16" xfId="1" applyNumberFormat="1" applyFont="1" applyBorder="1"/>
    <xf numFmtId="3" fontId="7" fillId="0" borderId="16" xfId="1" applyNumberFormat="1" applyFont="1" applyBorder="1" applyAlignment="1">
      <alignment vertical="center" wrapText="1"/>
    </xf>
    <xf numFmtId="3" fontId="7" fillId="0" borderId="16" xfId="1" applyNumberFormat="1" applyFont="1" applyBorder="1" applyAlignment="1">
      <alignment horizontal="center" vertical="center" wrapText="1"/>
    </xf>
    <xf numFmtId="168" fontId="7" fillId="0" borderId="0" xfId="1" applyNumberFormat="1" applyFont="1"/>
    <xf numFmtId="3" fontId="61" fillId="0" borderId="0" xfId="0" applyNumberFormat="1" applyFont="1"/>
    <xf numFmtId="0" fontId="61" fillId="0" borderId="0" xfId="0" applyFont="1"/>
    <xf numFmtId="3" fontId="8" fillId="0" borderId="0" xfId="0" applyNumberFormat="1" applyFont="1" applyAlignment="1">
      <alignment horizontal="center" vertical="center" wrapText="1"/>
    </xf>
    <xf numFmtId="3" fontId="9" fillId="0" borderId="0" xfId="0" applyNumberFormat="1" applyFont="1" applyAlignment="1">
      <alignment horizontal="center" vertical="center" wrapText="1"/>
    </xf>
    <xf numFmtId="3" fontId="61" fillId="0" borderId="0" xfId="0" applyNumberFormat="1" applyFont="1" applyAlignment="1">
      <alignment horizontal="center"/>
    </xf>
    <xf numFmtId="3" fontId="7" fillId="0" borderId="0" xfId="0" applyNumberFormat="1" applyFont="1" applyAlignment="1">
      <alignment horizontal="center"/>
    </xf>
    <xf numFmtId="3" fontId="7" fillId="18" borderId="17" xfId="0" applyNumberFormat="1" applyFont="1" applyFill="1" applyBorder="1" applyAlignment="1">
      <alignment horizontal="center" vertical="center" wrapText="1"/>
    </xf>
    <xf numFmtId="3" fontId="7" fillId="18" borderId="0" xfId="0" applyNumberFormat="1" applyFont="1" applyFill="1"/>
    <xf numFmtId="3" fontId="61" fillId="0" borderId="0" xfId="0" applyNumberFormat="1" applyFont="1" applyAlignment="1">
      <alignment wrapText="1"/>
    </xf>
    <xf numFmtId="3" fontId="7" fillId="0" borderId="0" xfId="0" applyNumberFormat="1" applyFont="1" applyAlignment="1">
      <alignment horizontal="center" wrapText="1"/>
    </xf>
    <xf numFmtId="3" fontId="19" fillId="0" borderId="0" xfId="0" applyNumberFormat="1" applyFont="1" applyAlignment="1">
      <alignment horizontal="centerContinuous" wrapText="1"/>
    </xf>
    <xf numFmtId="3" fontId="8" fillId="0" borderId="0" xfId="0" applyNumberFormat="1" applyFont="1" applyAlignment="1">
      <alignment horizontal="centerContinuous" wrapText="1"/>
    </xf>
    <xf numFmtId="3" fontId="3" fillId="0" borderId="0" xfId="0" applyNumberFormat="1" applyFont="1" applyAlignment="1">
      <alignment horizontal="centerContinuous"/>
    </xf>
    <xf numFmtId="3" fontId="3" fillId="0" borderId="0" xfId="0" applyNumberFormat="1" applyFont="1" applyAlignment="1">
      <alignment horizontal="centerContinuous" wrapText="1"/>
    </xf>
    <xf numFmtId="3" fontId="4" fillId="18" borderId="0" xfId="0" applyNumberFormat="1" applyFont="1" applyFill="1"/>
    <xf numFmtId="3" fontId="7" fillId="0" borderId="0" xfId="0" applyNumberFormat="1" applyFont="1" applyAlignment="1">
      <alignment horizontal="center" vertical="center" wrapText="1"/>
    </xf>
    <xf numFmtId="3" fontId="7" fillId="0" borderId="0" xfId="0" applyNumberFormat="1" applyFont="1" applyAlignment="1">
      <alignment horizontal="centerContinuous" vertical="center" wrapText="1"/>
    </xf>
    <xf numFmtId="3" fontId="7" fillId="0" borderId="0" xfId="1" applyNumberFormat="1" applyFont="1" applyAlignment="1">
      <alignment horizontal="centerContinuous"/>
    </xf>
    <xf numFmtId="3" fontId="4" fillId="0" borderId="0" xfId="1" applyNumberFormat="1" applyFont="1" applyAlignment="1">
      <alignment horizontal="centerContinuous"/>
    </xf>
    <xf numFmtId="3" fontId="7" fillId="0" borderId="9" xfId="0" applyNumberFormat="1" applyFont="1" applyBorder="1" applyAlignment="1">
      <alignment horizontal="center" vertical="center" wrapText="1"/>
    </xf>
    <xf numFmtId="3" fontId="7" fillId="0" borderId="9" xfId="0" applyNumberFormat="1" applyFont="1" applyBorder="1" applyAlignment="1">
      <alignment vertical="center" wrapText="1"/>
    </xf>
    <xf numFmtId="3" fontId="7" fillId="0" borderId="9" xfId="1" applyNumberFormat="1" applyFont="1" applyBorder="1" applyAlignment="1">
      <alignment horizontal="right" vertical="center" wrapText="1"/>
    </xf>
    <xf numFmtId="3" fontId="7" fillId="0" borderId="15" xfId="0" applyNumberFormat="1" applyFont="1" applyBorder="1" applyAlignment="1">
      <alignment horizontal="center" vertical="center" wrapText="1"/>
    </xf>
    <xf numFmtId="3" fontId="7" fillId="0" borderId="15" xfId="0" applyNumberFormat="1" applyFont="1" applyBorder="1" applyAlignment="1">
      <alignment horizontal="justify" vertical="center" wrapText="1"/>
    </xf>
    <xf numFmtId="3" fontId="7" fillId="0" borderId="15" xfId="1" applyNumberFormat="1" applyFont="1" applyBorder="1" applyAlignment="1">
      <alignment horizontal="right" vertical="center" wrapText="1"/>
    </xf>
    <xf numFmtId="3" fontId="4" fillId="0" borderId="0" xfId="1" applyNumberFormat="1" applyFont="1" applyAlignment="1">
      <alignment horizontal="right"/>
    </xf>
    <xf numFmtId="3" fontId="7" fillId="0" borderId="0" xfId="0" applyNumberFormat="1" applyFont="1" applyAlignment="1">
      <alignment wrapText="1"/>
    </xf>
    <xf numFmtId="3" fontId="7" fillId="0" borderId="0" xfId="1" applyNumberFormat="1" applyFont="1" applyAlignment="1">
      <alignment horizontal="right" vertical="center"/>
    </xf>
    <xf numFmtId="3" fontId="7" fillId="18" borderId="0" xfId="0" applyNumberFormat="1" applyFont="1" applyFill="1" applyAlignment="1">
      <alignment horizontal="centerContinuous" wrapText="1"/>
    </xf>
    <xf numFmtId="3" fontId="4" fillId="18" borderId="0" xfId="0" applyNumberFormat="1" applyFont="1" applyFill="1" applyAlignment="1">
      <alignment horizontal="centerContinuous"/>
    </xf>
    <xf numFmtId="3" fontId="7" fillId="18" borderId="9" xfId="0" applyNumberFormat="1" applyFont="1" applyFill="1" applyBorder="1" applyAlignment="1">
      <alignment horizontal="center" vertical="center" wrapText="1"/>
    </xf>
    <xf numFmtId="3" fontId="7" fillId="18" borderId="15" xfId="0" applyNumberFormat="1" applyFont="1" applyFill="1" applyBorder="1" applyAlignment="1">
      <alignment horizontal="center" vertical="center" wrapText="1"/>
    </xf>
    <xf numFmtId="3" fontId="7" fillId="18" borderId="0" xfId="0" applyNumberFormat="1" applyFont="1" applyFill="1" applyAlignment="1">
      <alignment wrapText="1"/>
    </xf>
    <xf numFmtId="3" fontId="68" fillId="11" borderId="0" xfId="0" applyNumberFormat="1" applyFont="1" applyFill="1" applyAlignment="1">
      <alignment horizontal="centerContinuous" vertical="center" wrapText="1"/>
    </xf>
    <xf numFmtId="3" fontId="7" fillId="11" borderId="0" xfId="0" applyNumberFormat="1" applyFont="1" applyFill="1" applyAlignment="1">
      <alignment horizontal="centerContinuous" vertical="center"/>
    </xf>
    <xf numFmtId="3" fontId="7" fillId="11" borderId="0" xfId="1" applyNumberFormat="1" applyFont="1" applyFill="1" applyAlignment="1">
      <alignment horizontal="centerContinuous" vertical="center"/>
    </xf>
    <xf numFmtId="3" fontId="7" fillId="11" borderId="0" xfId="0" applyNumberFormat="1" applyFont="1" applyFill="1" applyAlignment="1">
      <alignment vertical="center"/>
    </xf>
    <xf numFmtId="3" fontId="7" fillId="11" borderId="0" xfId="0" applyNumberFormat="1" applyFont="1" applyFill="1" applyAlignment="1">
      <alignment horizontal="centerContinuous" vertical="center" wrapText="1"/>
    </xf>
    <xf numFmtId="3" fontId="4" fillId="11" borderId="0" xfId="0" applyNumberFormat="1" applyFont="1" applyFill="1" applyAlignment="1">
      <alignment horizontal="centerContinuous" vertical="center"/>
    </xf>
    <xf numFmtId="3" fontId="4" fillId="11" borderId="0" xfId="1" applyNumberFormat="1" applyFont="1" applyFill="1" applyAlignment="1">
      <alignment horizontal="centerContinuous" vertical="center"/>
    </xf>
    <xf numFmtId="3" fontId="4" fillId="11" borderId="0" xfId="0" applyNumberFormat="1" applyFont="1" applyFill="1" applyAlignment="1">
      <alignment vertical="center"/>
    </xf>
    <xf numFmtId="0" fontId="8" fillId="0" borderId="17" xfId="0" applyFont="1" applyBorder="1" applyAlignment="1">
      <alignment vertical="center" wrapText="1"/>
    </xf>
    <xf numFmtId="3" fontId="7" fillId="11" borderId="17" xfId="0" applyNumberFormat="1" applyFont="1" applyFill="1" applyBorder="1" applyAlignment="1">
      <alignment horizontal="center" vertical="center" wrapText="1"/>
    </xf>
    <xf numFmtId="3" fontId="8" fillId="0" borderId="17" xfId="0" applyNumberFormat="1" applyFont="1" applyBorder="1" applyAlignment="1">
      <alignment horizontal="center" vertical="center" wrapText="1"/>
    </xf>
    <xf numFmtId="3" fontId="7" fillId="11" borderId="18" xfId="0" applyNumberFormat="1" applyFont="1" applyFill="1" applyBorder="1" applyAlignment="1">
      <alignment horizontal="center" vertical="center" wrapText="1"/>
    </xf>
    <xf numFmtId="3" fontId="7" fillId="11" borderId="16" xfId="0" applyNumberFormat="1" applyFont="1" applyFill="1" applyBorder="1" applyAlignment="1">
      <alignment horizontal="center" vertical="center" wrapText="1"/>
    </xf>
    <xf numFmtId="3" fontId="4" fillId="11" borderId="0" xfId="0" applyNumberFormat="1" applyFont="1" applyFill="1" applyAlignment="1">
      <alignment vertical="center" wrapText="1"/>
    </xf>
    <xf numFmtId="3" fontId="4" fillId="11" borderId="16" xfId="0" applyNumberFormat="1" applyFont="1" applyFill="1" applyBorder="1" applyAlignment="1">
      <alignment horizontal="center" vertical="center" wrapText="1"/>
    </xf>
    <xf numFmtId="3" fontId="5" fillId="0" borderId="16" xfId="0" applyNumberFormat="1" applyFont="1" applyBorder="1" applyAlignment="1">
      <alignment horizontal="right" vertical="center" wrapText="1"/>
    </xf>
    <xf numFmtId="3" fontId="4" fillId="11" borderId="18" xfId="0" applyNumberFormat="1" applyFont="1" applyFill="1" applyBorder="1" applyAlignment="1">
      <alignment horizontal="center" vertical="center"/>
    </xf>
    <xf numFmtId="3" fontId="4" fillId="11" borderId="16" xfId="0" applyNumberFormat="1" applyFont="1" applyFill="1" applyBorder="1" applyAlignment="1">
      <alignment vertical="center"/>
    </xf>
    <xf numFmtId="3" fontId="4" fillId="11" borderId="16" xfId="1" applyNumberFormat="1" applyFont="1" applyFill="1" applyBorder="1" applyAlignment="1">
      <alignment horizontal="right" vertical="center" wrapText="1"/>
    </xf>
    <xf numFmtId="3" fontId="23" fillId="16" borderId="16" xfId="0" applyNumberFormat="1" applyFont="1" applyFill="1" applyBorder="1" applyAlignment="1">
      <alignment horizontal="center" vertical="center" wrapText="1"/>
    </xf>
    <xf numFmtId="3" fontId="23" fillId="11" borderId="16" xfId="1" applyNumberFormat="1" applyFont="1" applyFill="1" applyBorder="1" applyAlignment="1">
      <alignment horizontal="right" vertical="center" wrapText="1"/>
    </xf>
    <xf numFmtId="3" fontId="23" fillId="11" borderId="18" xfId="0" applyNumberFormat="1" applyFont="1" applyFill="1" applyBorder="1" applyAlignment="1">
      <alignment horizontal="center" vertical="center"/>
    </xf>
    <xf numFmtId="3" fontId="23" fillId="11" borderId="16" xfId="0" applyNumberFormat="1" applyFont="1" applyFill="1" applyBorder="1" applyAlignment="1">
      <alignment vertical="center"/>
    </xf>
    <xf numFmtId="3" fontId="23" fillId="11" borderId="0" xfId="0" applyNumberFormat="1" applyFont="1" applyFill="1" applyAlignment="1">
      <alignment vertical="center"/>
    </xf>
    <xf numFmtId="3" fontId="7" fillId="16" borderId="16" xfId="0" applyNumberFormat="1" applyFont="1" applyFill="1" applyBorder="1" applyAlignment="1">
      <alignment horizontal="center" vertical="center" wrapText="1"/>
    </xf>
    <xf numFmtId="3" fontId="7" fillId="11" borderId="16" xfId="1" applyNumberFormat="1" applyFont="1" applyFill="1" applyBorder="1" applyAlignment="1">
      <alignment horizontal="right" vertical="center" wrapText="1"/>
    </xf>
    <xf numFmtId="3" fontId="7" fillId="11" borderId="16" xfId="0" applyNumberFormat="1" applyFont="1" applyFill="1" applyBorder="1" applyAlignment="1">
      <alignment horizontal="right" vertical="center" wrapText="1"/>
    </xf>
    <xf numFmtId="3" fontId="7" fillId="11" borderId="18" xfId="0" applyNumberFormat="1" applyFont="1" applyFill="1" applyBorder="1" applyAlignment="1">
      <alignment vertical="center"/>
    </xf>
    <xf numFmtId="3" fontId="7" fillId="11" borderId="16" xfId="0" applyNumberFormat="1" applyFont="1" applyFill="1" applyBorder="1" applyAlignment="1">
      <alignment vertical="center"/>
    </xf>
    <xf numFmtId="3" fontId="4" fillId="16" borderId="0" xfId="0" applyNumberFormat="1" applyFont="1" applyFill="1" applyAlignment="1">
      <alignment vertical="center"/>
    </xf>
    <xf numFmtId="3" fontId="4" fillId="11" borderId="0" xfId="1" applyNumberFormat="1" applyFont="1" applyFill="1" applyAlignment="1">
      <alignment vertical="center"/>
    </xf>
    <xf numFmtId="3" fontId="7" fillId="11" borderId="0" xfId="0" applyNumberFormat="1" applyFont="1" applyFill="1" applyAlignment="1">
      <alignment vertical="center" wrapText="1"/>
    </xf>
    <xf numFmtId="3" fontId="7" fillId="11" borderId="0" xfId="0" applyNumberFormat="1" applyFont="1" applyFill="1" applyAlignment="1">
      <alignment horizontal="center" vertical="center" wrapText="1"/>
    </xf>
    <xf numFmtId="3" fontId="5" fillId="0" borderId="18" xfId="0" applyNumberFormat="1" applyFont="1" applyBorder="1" applyAlignment="1">
      <alignment horizontal="right" vertical="center" wrapText="1"/>
    </xf>
    <xf numFmtId="3" fontId="4" fillId="11" borderId="18" xfId="1" applyNumberFormat="1" applyFont="1" applyFill="1" applyBorder="1" applyAlignment="1">
      <alignment horizontal="right" vertical="center" wrapText="1"/>
    </xf>
    <xf numFmtId="3" fontId="23" fillId="11" borderId="18" xfId="1" applyNumberFormat="1" applyFont="1" applyFill="1" applyBorder="1" applyAlignment="1">
      <alignment horizontal="right" vertical="center" wrapText="1"/>
    </xf>
    <xf numFmtId="0" fontId="9" fillId="0" borderId="15" xfId="0" applyFont="1" applyBorder="1" applyAlignment="1">
      <alignment horizontal="justify" vertical="center" wrapText="1"/>
    </xf>
    <xf numFmtId="0" fontId="9" fillId="0" borderId="15" xfId="0" applyFont="1" applyBorder="1" applyAlignment="1">
      <alignment horizontal="center" vertical="center" wrapText="1"/>
    </xf>
    <xf numFmtId="0" fontId="8" fillId="0" borderId="16" xfId="0" applyFont="1" applyBorder="1" applyAlignment="1">
      <alignment vertical="center" wrapText="1"/>
    </xf>
    <xf numFmtId="3" fontId="8" fillId="0" borderId="16" xfId="0" applyNumberFormat="1" applyFont="1" applyBorder="1" applyAlignment="1">
      <alignment horizontal="center" vertical="center" wrapText="1"/>
    </xf>
    <xf numFmtId="3" fontId="7" fillId="11" borderId="16" xfId="0" applyNumberFormat="1" applyFont="1" applyFill="1" applyBorder="1" applyAlignment="1">
      <alignment vertical="center" wrapText="1"/>
    </xf>
    <xf numFmtId="0" fontId="4" fillId="11" borderId="0" xfId="0" applyNumberFormat="1" applyFont="1" applyFill="1" applyAlignment="1">
      <alignment vertical="center" wrapText="1"/>
    </xf>
    <xf numFmtId="0" fontId="7" fillId="11" borderId="0" xfId="0" applyNumberFormat="1" applyFont="1" applyFill="1" applyAlignment="1">
      <alignment vertical="center" wrapText="1"/>
    </xf>
    <xf numFmtId="0" fontId="7" fillId="11" borderId="0" xfId="0" applyNumberFormat="1" applyFont="1" applyFill="1" applyAlignment="1">
      <alignment horizontal="centerContinuous" vertical="center" wrapText="1"/>
    </xf>
    <xf numFmtId="0" fontId="7" fillId="11" borderId="0" xfId="1" applyNumberFormat="1" applyFont="1" applyFill="1" applyAlignment="1">
      <alignment horizontal="centerContinuous" vertical="center" wrapText="1"/>
    </xf>
    <xf numFmtId="0" fontId="4" fillId="11" borderId="0" xfId="0" applyNumberFormat="1" applyFont="1" applyFill="1" applyAlignment="1">
      <alignment horizontal="centerContinuous" vertical="center" wrapText="1"/>
    </xf>
    <xf numFmtId="0" fontId="4" fillId="11" borderId="0" xfId="1" applyNumberFormat="1" applyFont="1" applyFill="1" applyAlignment="1">
      <alignment horizontal="centerContinuous" vertical="center" wrapText="1"/>
    </xf>
    <xf numFmtId="3" fontId="7" fillId="18" borderId="0" xfId="0" applyNumberFormat="1" applyFont="1" applyFill="1" applyBorder="1" applyAlignment="1">
      <alignment horizontal="center" vertical="center"/>
    </xf>
    <xf numFmtId="3" fontId="68" fillId="11" borderId="0" xfId="0" applyNumberFormat="1" applyFont="1" applyFill="1" applyBorder="1" applyAlignment="1">
      <alignment horizontal="centerContinuous" vertical="center" wrapText="1"/>
    </xf>
    <xf numFmtId="3" fontId="7" fillId="11" borderId="0" xfId="0" applyNumberFormat="1" applyFont="1" applyFill="1" applyBorder="1" applyAlignment="1">
      <alignment horizontal="centerContinuous" vertical="center"/>
    </xf>
    <xf numFmtId="0" fontId="0" fillId="0" borderId="0" xfId="0" applyBorder="1"/>
    <xf numFmtId="3" fontId="7" fillId="11" borderId="0" xfId="0" applyNumberFormat="1" applyFont="1" applyFill="1" applyBorder="1" applyAlignment="1">
      <alignment horizontal="centerContinuous" vertical="center" wrapText="1"/>
    </xf>
    <xf numFmtId="3" fontId="4" fillId="18" borderId="0" xfId="0" applyNumberFormat="1" applyFont="1" applyFill="1" applyBorder="1" applyAlignment="1">
      <alignment horizontal="center" vertical="center"/>
    </xf>
    <xf numFmtId="3" fontId="4" fillId="11" borderId="0" xfId="0" applyNumberFormat="1" applyFont="1" applyFill="1" applyBorder="1" applyAlignment="1">
      <alignment horizontal="centerContinuous" vertical="center"/>
    </xf>
    <xf numFmtId="3" fontId="4" fillId="18" borderId="0" xfId="0" applyNumberFormat="1" applyFont="1" applyFill="1" applyBorder="1" applyAlignment="1">
      <alignment vertical="center"/>
    </xf>
    <xf numFmtId="0" fontId="5" fillId="0" borderId="16" xfId="0" applyNumberFormat="1" applyFont="1" applyBorder="1" applyAlignment="1">
      <alignment vertical="center" wrapText="1"/>
    </xf>
    <xf numFmtId="3" fontId="4" fillId="11" borderId="0" xfId="0" applyNumberFormat="1" applyFont="1" applyFill="1" applyBorder="1" applyAlignment="1">
      <alignment vertical="center"/>
    </xf>
    <xf numFmtId="0" fontId="4" fillId="11" borderId="0" xfId="0" applyNumberFormat="1" applyFont="1" applyFill="1" applyBorder="1" applyAlignment="1">
      <alignment vertical="center" wrapText="1"/>
    </xf>
    <xf numFmtId="3" fontId="7" fillId="18" borderId="0" xfId="0" applyNumberFormat="1" applyFont="1" applyFill="1" applyBorder="1" applyAlignment="1">
      <alignment vertical="center"/>
    </xf>
    <xf numFmtId="3" fontId="7" fillId="11" borderId="0" xfId="0" applyNumberFormat="1" applyFont="1" applyFill="1" applyBorder="1" applyAlignment="1">
      <alignment vertical="center" wrapText="1"/>
    </xf>
    <xf numFmtId="0" fontId="7" fillId="11" borderId="0" xfId="0" applyNumberFormat="1" applyFont="1" applyFill="1" applyBorder="1" applyAlignment="1">
      <alignment vertical="center" wrapText="1"/>
    </xf>
    <xf numFmtId="0" fontId="7" fillId="11" borderId="0" xfId="0" applyNumberFormat="1" applyFont="1" applyFill="1" applyBorder="1" applyAlignment="1">
      <alignment horizontal="centerContinuous" vertical="center" wrapText="1"/>
    </xf>
    <xf numFmtId="0" fontId="4" fillId="11" borderId="0" xfId="0" applyNumberFormat="1" applyFont="1" applyFill="1" applyBorder="1" applyAlignment="1">
      <alignment horizontal="centerContinuous" vertical="center" wrapText="1"/>
    </xf>
    <xf numFmtId="0" fontId="0" fillId="18" borderId="0" xfId="0" applyFill="1" applyBorder="1" applyAlignment="1"/>
    <xf numFmtId="0" fontId="19" fillId="16" borderId="0" xfId="0" applyNumberFormat="1" applyFont="1" applyFill="1" applyAlignment="1">
      <alignment horizontal="center"/>
    </xf>
    <xf numFmtId="0" fontId="8" fillId="16" borderId="0" xfId="0" applyNumberFormat="1" applyFont="1" applyFill="1" applyAlignment="1">
      <alignment horizontal="center"/>
    </xf>
    <xf numFmtId="170" fontId="7" fillId="0" borderId="17" xfId="0" applyNumberFormat="1" applyFont="1" applyBorder="1" applyAlignment="1">
      <alignment horizontal="center" vertical="center" wrapText="1"/>
    </xf>
    <xf numFmtId="170" fontId="61" fillId="0" borderId="0" xfId="0" applyNumberFormat="1" applyFont="1" applyAlignment="1">
      <alignment horizontal="center"/>
    </xf>
    <xf numFmtId="3" fontId="7" fillId="11" borderId="0" xfId="0" applyNumberFormat="1" applyFont="1" applyFill="1" applyAlignment="1">
      <alignment horizontal="centerContinuous" wrapText="1"/>
    </xf>
    <xf numFmtId="3" fontId="7" fillId="11" borderId="0" xfId="0" applyNumberFormat="1" applyFont="1" applyFill="1" applyAlignment="1">
      <alignment horizontal="centerContinuous"/>
    </xf>
    <xf numFmtId="3" fontId="7" fillId="11" borderId="0" xfId="1" applyNumberFormat="1" applyFont="1" applyFill="1" applyAlignment="1">
      <alignment horizontal="centerContinuous"/>
    </xf>
    <xf numFmtId="3" fontId="7" fillId="11" borderId="0" xfId="0" applyNumberFormat="1" applyFont="1" applyFill="1" applyAlignment="1"/>
    <xf numFmtId="3" fontId="4" fillId="11" borderId="0" xfId="0" applyNumberFormat="1" applyFont="1" applyFill="1" applyAlignment="1"/>
    <xf numFmtId="3" fontId="4" fillId="11" borderId="0" xfId="1" applyNumberFormat="1" applyFont="1" applyFill="1" applyAlignment="1"/>
    <xf numFmtId="3" fontId="7" fillId="11" borderId="16" xfId="1" applyNumberFormat="1" applyFont="1" applyFill="1" applyBorder="1" applyAlignment="1">
      <alignment horizontal="center" vertical="center" wrapText="1"/>
    </xf>
    <xf numFmtId="3" fontId="7" fillId="11" borderId="16" xfId="1" applyNumberFormat="1" applyFont="1" applyFill="1" applyBorder="1" applyAlignment="1">
      <alignment vertical="center" wrapText="1"/>
    </xf>
    <xf numFmtId="3" fontId="4" fillId="11" borderId="16" xfId="0" applyNumberFormat="1" applyFont="1" applyFill="1" applyBorder="1" applyAlignment="1">
      <alignment horizontal="center"/>
    </xf>
    <xf numFmtId="3" fontId="4" fillId="11" borderId="16" xfId="0" applyNumberFormat="1" applyFont="1" applyFill="1" applyBorder="1" applyAlignment="1"/>
    <xf numFmtId="3" fontId="8" fillId="11" borderId="16" xfId="0" applyNumberFormat="1" applyFont="1" applyFill="1" applyBorder="1" applyAlignment="1">
      <alignment horizontal="justify" vertical="center" wrapText="1"/>
    </xf>
    <xf numFmtId="3" fontId="21" fillId="11" borderId="16" xfId="0" applyNumberFormat="1" applyFont="1" applyFill="1" applyBorder="1" applyAlignment="1">
      <alignment horizontal="justify" vertical="center" wrapText="1"/>
    </xf>
    <xf numFmtId="3" fontId="23" fillId="11" borderId="16" xfId="0" applyNumberFormat="1" applyFont="1" applyFill="1" applyBorder="1" applyAlignment="1">
      <alignment horizontal="center" vertical="center" wrapText="1"/>
    </xf>
    <xf numFmtId="3" fontId="9" fillId="11" borderId="16" xfId="0" applyNumberFormat="1" applyFont="1" applyFill="1" applyBorder="1" applyAlignment="1">
      <alignment horizontal="justify" vertical="center" wrapText="1"/>
    </xf>
    <xf numFmtId="3" fontId="23" fillId="11" borderId="16" xfId="0" applyNumberFormat="1" applyFont="1" applyFill="1" applyBorder="1" applyAlignment="1">
      <alignment vertical="center" wrapText="1"/>
    </xf>
    <xf numFmtId="3" fontId="23" fillId="11" borderId="16" xfId="0" applyNumberFormat="1" applyFont="1" applyFill="1" applyBorder="1" applyAlignment="1">
      <alignment horizontal="center"/>
    </xf>
    <xf numFmtId="3" fontId="23" fillId="11" borderId="16" xfId="0" applyNumberFormat="1" applyFont="1" applyFill="1" applyBorder="1" applyAlignment="1"/>
    <xf numFmtId="3" fontId="23" fillId="11" borderId="0" xfId="0" applyNumberFormat="1" applyFont="1" applyFill="1" applyAlignment="1"/>
    <xf numFmtId="3" fontId="7" fillId="11" borderId="16" xfId="0" applyNumberFormat="1" applyFont="1" applyFill="1" applyBorder="1" applyAlignment="1">
      <alignment horizontal="justify" vertical="center" wrapText="1"/>
    </xf>
    <xf numFmtId="3" fontId="7" fillId="11" borderId="16" xfId="0" applyNumberFormat="1" applyFont="1" applyFill="1" applyBorder="1" applyAlignment="1"/>
    <xf numFmtId="3" fontId="7" fillId="11" borderId="0" xfId="0" applyNumberFormat="1" applyFont="1" applyFill="1" applyAlignment="1">
      <alignment wrapText="1"/>
    </xf>
    <xf numFmtId="3" fontId="4" fillId="11" borderId="0" xfId="0" applyNumberFormat="1" applyFont="1" applyFill="1" applyAlignment="1">
      <alignment horizontal="centerContinuous"/>
    </xf>
    <xf numFmtId="3" fontId="4" fillId="11" borderId="0" xfId="1" applyNumberFormat="1" applyFont="1" applyFill="1" applyAlignment="1">
      <alignment horizontal="centerContinuous"/>
    </xf>
    <xf numFmtId="3" fontId="7" fillId="11" borderId="0" xfId="0" applyNumberFormat="1" applyFont="1" applyFill="1"/>
    <xf numFmtId="3" fontId="4" fillId="11" borderId="0" xfId="0" applyNumberFormat="1" applyFont="1" applyFill="1"/>
    <xf numFmtId="3" fontId="4" fillId="11" borderId="0" xfId="1" applyNumberFormat="1" applyFont="1" applyFill="1"/>
    <xf numFmtId="3" fontId="4" fillId="11" borderId="16" xfId="0" applyNumberFormat="1" applyFont="1" applyFill="1" applyBorder="1"/>
    <xf numFmtId="3" fontId="23" fillId="11" borderId="16" xfId="0" applyNumberFormat="1" applyFont="1" applyFill="1" applyBorder="1"/>
    <xf numFmtId="3" fontId="23" fillId="11" borderId="0" xfId="0" applyNumberFormat="1" applyFont="1" applyFill="1"/>
    <xf numFmtId="3" fontId="7" fillId="11" borderId="16" xfId="0" applyNumberFormat="1" applyFont="1" applyFill="1" applyBorder="1"/>
    <xf numFmtId="0" fontId="84" fillId="0" borderId="0" xfId="0" applyFont="1"/>
    <xf numFmtId="3" fontId="7" fillId="0" borderId="17" xfId="1" applyNumberFormat="1" applyFont="1" applyBorder="1" applyAlignment="1">
      <alignment horizontal="center" vertical="center" wrapText="1"/>
    </xf>
    <xf numFmtId="170" fontId="7" fillId="0" borderId="9" xfId="0" applyNumberFormat="1" applyFont="1" applyBorder="1" applyAlignment="1">
      <alignment vertical="center" wrapText="1"/>
    </xf>
    <xf numFmtId="170" fontId="7" fillId="0" borderId="15" xfId="0" applyNumberFormat="1" applyFont="1" applyBorder="1" applyAlignment="1">
      <alignment horizontal="center" vertical="center" wrapText="1"/>
    </xf>
    <xf numFmtId="170" fontId="7" fillId="0" borderId="0" xfId="0" applyNumberFormat="1" applyFont="1" applyAlignment="1">
      <alignment horizontal="centerContinuous" vertical="center"/>
    </xf>
    <xf numFmtId="3" fontId="4" fillId="16" borderId="0" xfId="0" applyNumberFormat="1" applyFont="1" applyFill="1" applyAlignment="1">
      <alignment horizontal="center" vertical="center"/>
    </xf>
    <xf numFmtId="3" fontId="7" fillId="16" borderId="0" xfId="0" applyNumberFormat="1" applyFont="1" applyFill="1" applyAlignment="1">
      <alignment horizontal="center" vertical="center"/>
    </xf>
    <xf numFmtId="3" fontId="7" fillId="16" borderId="17" xfId="0" applyNumberFormat="1" applyFont="1" applyFill="1" applyBorder="1" applyAlignment="1">
      <alignment horizontal="center" vertical="center"/>
    </xf>
    <xf numFmtId="3" fontId="4" fillId="16" borderId="16" xfId="0" applyNumberFormat="1" applyFont="1" applyFill="1" applyBorder="1" applyAlignment="1">
      <alignment horizontal="center" vertical="center"/>
    </xf>
    <xf numFmtId="3" fontId="23" fillId="16" borderId="16" xfId="0" applyNumberFormat="1" applyFont="1" applyFill="1" applyBorder="1" applyAlignment="1">
      <alignment horizontal="center" vertical="center"/>
    </xf>
    <xf numFmtId="3" fontId="7" fillId="16" borderId="16" xfId="0" applyNumberFormat="1" applyFont="1" applyFill="1" applyBorder="1" applyAlignment="1">
      <alignment horizontal="center" vertical="center"/>
    </xf>
    <xf numFmtId="3" fontId="7" fillId="16" borderId="0" xfId="0" applyNumberFormat="1" applyFont="1" applyFill="1" applyAlignment="1">
      <alignment vertical="center"/>
    </xf>
    <xf numFmtId="3" fontId="4" fillId="16" borderId="24" xfId="0" applyNumberFormat="1" applyFont="1" applyFill="1" applyBorder="1" applyAlignment="1">
      <alignment horizontal="center" vertical="center"/>
    </xf>
    <xf numFmtId="3" fontId="23" fillId="16" borderId="24" xfId="0" applyNumberFormat="1" applyFont="1" applyFill="1" applyBorder="1" applyAlignment="1">
      <alignment horizontal="center" vertical="center"/>
    </xf>
    <xf numFmtId="3" fontId="9" fillId="0" borderId="16" xfId="0" applyNumberFormat="1" applyFont="1" applyBorder="1" applyAlignment="1">
      <alignment horizontal="right" vertical="center" wrapText="1"/>
    </xf>
    <xf numFmtId="0" fontId="9" fillId="0" borderId="16" xfId="0" applyNumberFormat="1" applyFont="1" applyBorder="1" applyAlignment="1">
      <alignment horizontal="right" vertical="center" wrapText="1"/>
    </xf>
    <xf numFmtId="3" fontId="7" fillId="11" borderId="0" xfId="0" applyNumberFormat="1" applyFont="1" applyFill="1" applyAlignment="1">
      <alignment horizontal="center" vertical="center"/>
    </xf>
    <xf numFmtId="3" fontId="7" fillId="11" borderId="0" xfId="0" applyNumberFormat="1" applyFont="1" applyFill="1" applyBorder="1" applyAlignment="1">
      <alignment vertical="center"/>
    </xf>
    <xf numFmtId="0" fontId="43" fillId="0" borderId="0" xfId="0" applyFont="1" applyBorder="1"/>
    <xf numFmtId="3" fontId="1" fillId="11" borderId="16" xfId="2" applyNumberFormat="1" applyFont="1" applyFill="1" applyBorder="1" applyAlignment="1">
      <alignment horizontal="center" vertical="center" wrapText="1"/>
    </xf>
    <xf numFmtId="3" fontId="4" fillId="20" borderId="16" xfId="0" applyNumberFormat="1" applyFont="1" applyFill="1" applyBorder="1"/>
    <xf numFmtId="3" fontId="7" fillId="16" borderId="0" xfId="0" applyNumberFormat="1" applyFont="1" applyFill="1" applyAlignment="1">
      <alignment horizontal="centerContinuous" wrapText="1"/>
    </xf>
    <xf numFmtId="3" fontId="4" fillId="16" borderId="0" xfId="0" applyNumberFormat="1" applyFont="1" applyFill="1" applyAlignment="1">
      <alignment horizontal="centerContinuous"/>
    </xf>
    <xf numFmtId="3" fontId="4" fillId="16" borderId="0" xfId="0" applyNumberFormat="1" applyFont="1" applyFill="1"/>
    <xf numFmtId="3" fontId="7" fillId="16" borderId="0" xfId="0" applyNumberFormat="1" applyFont="1" applyFill="1" applyAlignment="1">
      <alignment wrapText="1"/>
    </xf>
    <xf numFmtId="3" fontId="7" fillId="16" borderId="0" xfId="0" applyNumberFormat="1" applyFont="1" applyFill="1"/>
    <xf numFmtId="0" fontId="7" fillId="18" borderId="0" xfId="0" applyNumberFormat="1" applyFont="1" applyFill="1" applyBorder="1" applyAlignment="1">
      <alignment vertical="center"/>
    </xf>
    <xf numFmtId="3" fontId="0" fillId="0" borderId="0" xfId="0" applyNumberFormat="1" applyBorder="1"/>
    <xf numFmtId="170" fontId="4" fillId="0" borderId="17" xfId="0" applyNumberFormat="1" applyFont="1" applyBorder="1" applyAlignment="1">
      <alignment horizontal="right" vertical="center" wrapText="1"/>
    </xf>
    <xf numFmtId="3" fontId="4" fillId="0" borderId="17" xfId="0" applyNumberFormat="1" applyFont="1" applyBorder="1" applyAlignment="1">
      <alignment horizontal="right" vertical="center" wrapText="1"/>
    </xf>
    <xf numFmtId="3" fontId="23" fillId="0" borderId="0" xfId="0" applyNumberFormat="1" applyFont="1" applyAlignment="1">
      <alignment horizontal="center" vertical="center" wrapText="1"/>
    </xf>
    <xf numFmtId="3" fontId="7" fillId="0" borderId="0" xfId="0" applyNumberFormat="1" applyFont="1" applyAlignment="1">
      <alignment vertical="center" wrapText="1"/>
    </xf>
    <xf numFmtId="3" fontId="3" fillId="18" borderId="0" xfId="0" applyNumberFormat="1" applyFont="1" applyFill="1" applyAlignment="1">
      <alignment horizontal="center"/>
    </xf>
    <xf numFmtId="3" fontId="7" fillId="18" borderId="17" xfId="0" applyNumberFormat="1" applyFont="1" applyFill="1" applyBorder="1" applyAlignment="1">
      <alignment horizontal="center" vertical="center"/>
    </xf>
    <xf numFmtId="3" fontId="4" fillId="18" borderId="16" xfId="0" applyNumberFormat="1" applyFont="1" applyFill="1" applyBorder="1" applyAlignment="1"/>
    <xf numFmtId="3" fontId="7" fillId="18" borderId="16" xfId="1" applyNumberFormat="1" applyFont="1" applyFill="1" applyBorder="1" applyAlignment="1">
      <alignment vertical="center"/>
    </xf>
    <xf numFmtId="3" fontId="4" fillId="18" borderId="0" xfId="0" applyNumberFormat="1" applyFont="1" applyFill="1" applyAlignment="1"/>
    <xf numFmtId="3" fontId="7" fillId="18" borderId="0" xfId="0" applyNumberFormat="1" applyFont="1" applyFill="1" applyAlignment="1"/>
    <xf numFmtId="3" fontId="61" fillId="18" borderId="0" xfId="0" applyNumberFormat="1" applyFont="1" applyFill="1" applyAlignment="1"/>
    <xf numFmtId="3" fontId="7" fillId="0" borderId="0" xfId="1" applyNumberFormat="1" applyFont="1" applyAlignment="1">
      <alignment horizontal="right"/>
    </xf>
    <xf numFmtId="3" fontId="4" fillId="16" borderId="0" xfId="0" applyNumberFormat="1" applyFont="1" applyFill="1" applyAlignment="1"/>
    <xf numFmtId="3" fontId="7" fillId="16" borderId="0" xfId="0" applyNumberFormat="1" applyFont="1" applyFill="1" applyAlignment="1"/>
    <xf numFmtId="0" fontId="4" fillId="12" borderId="0" xfId="0" applyFont="1" applyFill="1" applyAlignment="1">
      <alignment horizontal="centerContinuous"/>
    </xf>
    <xf numFmtId="0" fontId="7" fillId="12" borderId="0" xfId="0" applyFont="1" applyFill="1" applyAlignment="1">
      <alignment horizontal="centerContinuous"/>
    </xf>
    <xf numFmtId="0" fontId="5" fillId="12" borderId="0" xfId="0" applyFont="1" applyFill="1" applyBorder="1" applyAlignment="1" applyProtection="1">
      <alignment horizontal="center" vertical="center"/>
    </xf>
    <xf numFmtId="0" fontId="8" fillId="12" borderId="0" xfId="0" applyFont="1" applyFill="1" applyBorder="1" applyAlignment="1" applyProtection="1">
      <alignment horizontal="center" vertical="center"/>
    </xf>
    <xf numFmtId="0" fontId="12" fillId="12" borderId="17" xfId="0" applyFont="1" applyFill="1" applyBorder="1" applyAlignment="1" applyProtection="1">
      <alignment horizontal="center" vertical="center"/>
    </xf>
    <xf numFmtId="0" fontId="5" fillId="12" borderId="10" xfId="0" applyFont="1" applyFill="1" applyBorder="1" applyAlignment="1" applyProtection="1">
      <alignment horizontal="center" vertical="center" wrapText="1"/>
    </xf>
    <xf numFmtId="0" fontId="8" fillId="12" borderId="10" xfId="0" applyFont="1" applyFill="1" applyBorder="1" applyAlignment="1" applyProtection="1">
      <alignment horizontal="center" vertical="center" wrapText="1"/>
    </xf>
    <xf numFmtId="0" fontId="21" fillId="12" borderId="10" xfId="0" applyFont="1" applyFill="1" applyBorder="1" applyAlignment="1" applyProtection="1">
      <alignment horizontal="center" vertical="center" wrapText="1"/>
    </xf>
    <xf numFmtId="0" fontId="8" fillId="12" borderId="11" xfId="0" applyFont="1" applyFill="1" applyBorder="1" applyAlignment="1" applyProtection="1">
      <alignment horizontal="center" vertical="center" wrapText="1"/>
    </xf>
    <xf numFmtId="0" fontId="5" fillId="12" borderId="0" xfId="0" applyFont="1" applyFill="1" applyBorder="1" applyAlignment="1" applyProtection="1"/>
    <xf numFmtId="0" fontId="21" fillId="12" borderId="0" xfId="0" applyFont="1" applyFill="1" applyBorder="1" applyAlignment="1" applyProtection="1">
      <alignment horizontal="centerContinuous"/>
    </xf>
    <xf numFmtId="0" fontId="8" fillId="12" borderId="0" xfId="0" applyFont="1" applyFill="1" applyBorder="1" applyAlignment="1" applyProtection="1"/>
    <xf numFmtId="0" fontId="4" fillId="12" borderId="0" xfId="0" applyFont="1" applyFill="1"/>
    <xf numFmtId="0" fontId="5" fillId="12" borderId="0" xfId="0" applyFont="1" applyFill="1" applyAlignment="1">
      <alignment horizontal="centerContinuous"/>
    </xf>
    <xf numFmtId="0" fontId="5" fillId="12" borderId="9" xfId="0" applyFont="1" applyFill="1" applyBorder="1" applyAlignment="1" applyProtection="1">
      <alignment horizontal="center" vertical="center"/>
    </xf>
    <xf numFmtId="0" fontId="5" fillId="12" borderId="10" xfId="0" applyFont="1" applyFill="1" applyBorder="1" applyAlignment="1" applyProtection="1">
      <alignment horizontal="center" vertical="center"/>
    </xf>
    <xf numFmtId="0" fontId="8" fillId="12" borderId="10" xfId="0" applyFont="1" applyFill="1" applyBorder="1" applyAlignment="1" applyProtection="1">
      <alignment horizontal="center" vertical="center"/>
    </xf>
    <xf numFmtId="0" fontId="8" fillId="12" borderId="11" xfId="0" applyFont="1" applyFill="1" applyBorder="1" applyAlignment="1" applyProtection="1">
      <alignment horizontal="center" vertical="center"/>
    </xf>
    <xf numFmtId="0" fontId="4" fillId="12" borderId="0" xfId="0" applyFont="1" applyFill="1" applyAlignment="1"/>
    <xf numFmtId="0" fontId="37" fillId="9" borderId="17" xfId="0" applyFont="1" applyFill="1" applyBorder="1" applyAlignment="1" applyProtection="1">
      <alignment horizontal="center" vertical="center" wrapText="1"/>
    </xf>
    <xf numFmtId="3" fontId="37" fillId="9" borderId="17" xfId="0" applyNumberFormat="1" applyFont="1" applyFill="1" applyBorder="1" applyAlignment="1" applyProtection="1">
      <alignment horizontal="center" vertical="center" wrapText="1"/>
    </xf>
    <xf numFmtId="0" fontId="5" fillId="0" borderId="9" xfId="0" applyFont="1" applyFill="1" applyBorder="1" applyAlignment="1" applyProtection="1">
      <alignment horizontal="center" vertical="center"/>
    </xf>
    <xf numFmtId="0" fontId="21" fillId="0" borderId="10" xfId="0" applyFont="1" applyFill="1" applyBorder="1" applyAlignment="1" applyProtection="1">
      <alignment horizontal="center" vertical="center"/>
    </xf>
    <xf numFmtId="0" fontId="8" fillId="0" borderId="11" xfId="0" applyFont="1" applyFill="1" applyBorder="1" applyAlignment="1" applyProtection="1">
      <alignment horizontal="center" vertical="center"/>
    </xf>
    <xf numFmtId="3" fontId="18" fillId="0" borderId="17" xfId="0" applyNumberFormat="1" applyFont="1" applyFill="1" applyBorder="1" applyAlignment="1" applyProtection="1">
      <alignment horizontal="center" vertical="center" wrapText="1"/>
    </xf>
    <xf numFmtId="0" fontId="61" fillId="0" borderId="0" xfId="0" applyFont="1" applyBorder="1"/>
    <xf numFmtId="0" fontId="61" fillId="0" borderId="0" xfId="0" applyFont="1" applyBorder="1" applyAlignment="1">
      <alignment horizontal="left"/>
    </xf>
    <xf numFmtId="0" fontId="5" fillId="0" borderId="0" xfId="0" applyFont="1" applyBorder="1"/>
    <xf numFmtId="0" fontId="61" fillId="0" borderId="0" xfId="0" applyFont="1" applyBorder="1" applyAlignment="1"/>
    <xf numFmtId="0" fontId="8" fillId="0" borderId="11" xfId="0" applyFont="1" applyBorder="1"/>
    <xf numFmtId="0" fontId="9" fillId="0" borderId="0" xfId="0" applyFont="1"/>
    <xf numFmtId="0" fontId="68" fillId="0" borderId="0" xfId="0" applyFont="1" applyAlignment="1">
      <alignment horizontal="right"/>
    </xf>
    <xf numFmtId="0" fontId="24" fillId="18" borderId="0" xfId="0" applyFont="1" applyFill="1"/>
    <xf numFmtId="0" fontId="24" fillId="0" borderId="0" xfId="0" applyFont="1" applyAlignment="1">
      <alignment horizontal="left"/>
    </xf>
    <xf numFmtId="170" fontId="24" fillId="0" borderId="0" xfId="0" applyNumberFormat="1" applyFont="1"/>
    <xf numFmtId="3" fontId="24" fillId="0" borderId="0" xfId="0" applyNumberFormat="1" applyFont="1"/>
    <xf numFmtId="168" fontId="24" fillId="0" borderId="0" xfId="1" applyNumberFormat="1" applyFont="1"/>
    <xf numFmtId="0" fontId="61" fillId="0" borderId="0" xfId="0" applyFont="1" applyAlignment="1">
      <alignment horizontal="left"/>
    </xf>
    <xf numFmtId="170" fontId="61" fillId="0" borderId="0" xfId="0" applyNumberFormat="1" applyFont="1"/>
    <xf numFmtId="170" fontId="8" fillId="16" borderId="16" xfId="0" applyNumberFormat="1" applyFont="1" applyFill="1" applyBorder="1" applyAlignment="1">
      <alignment horizontal="center" vertical="center" wrapText="1"/>
    </xf>
    <xf numFmtId="3" fontId="8" fillId="16" borderId="16" xfId="0" applyNumberFormat="1" applyFont="1" applyFill="1" applyBorder="1" applyAlignment="1">
      <alignment horizontal="center" vertical="center" wrapText="1"/>
    </xf>
    <xf numFmtId="0" fontId="5" fillId="0" borderId="16" xfId="0" applyNumberFormat="1" applyFont="1" applyBorder="1" applyAlignment="1">
      <alignment horizontal="center"/>
    </xf>
    <xf numFmtId="0" fontId="68" fillId="18" borderId="0" xfId="0" applyFont="1" applyFill="1"/>
    <xf numFmtId="0" fontId="8" fillId="0" borderId="11" xfId="0" applyFont="1" applyBorder="1" applyAlignment="1">
      <alignment horizontal="left"/>
    </xf>
    <xf numFmtId="170" fontId="8" fillId="0" borderId="11" xfId="0" applyNumberFormat="1" applyFont="1" applyBorder="1"/>
    <xf numFmtId="3" fontId="8" fillId="0" borderId="11" xfId="0" applyNumberFormat="1" applyFont="1" applyBorder="1"/>
    <xf numFmtId="0" fontId="8" fillId="0" borderId="0" xfId="0" applyFont="1" applyBorder="1" applyAlignment="1">
      <alignment horizontal="left"/>
    </xf>
    <xf numFmtId="170" fontId="5" fillId="0" borderId="0" xfId="0" applyNumberFormat="1" applyFont="1" applyBorder="1"/>
    <xf numFmtId="3" fontId="5" fillId="0" borderId="0" xfId="0" applyNumberFormat="1" applyFont="1" applyBorder="1"/>
    <xf numFmtId="37" fontId="5" fillId="0" borderId="0" xfId="1" applyNumberFormat="1" applyFont="1" applyBorder="1"/>
    <xf numFmtId="0" fontId="58" fillId="0" borderId="0" xfId="0" applyFont="1" applyBorder="1" applyAlignment="1">
      <alignment horizontal="left"/>
    </xf>
    <xf numFmtId="170" fontId="61" fillId="0" borderId="0" xfId="0" applyNumberFormat="1" applyFont="1" applyBorder="1"/>
    <xf numFmtId="3" fontId="61" fillId="0" borderId="0" xfId="0" applyNumberFormat="1" applyFont="1" applyBorder="1"/>
    <xf numFmtId="37" fontId="58" fillId="0" borderId="0" xfId="1" applyNumberFormat="1" applyFont="1" applyBorder="1"/>
    <xf numFmtId="37" fontId="61" fillId="0" borderId="0" xfId="1" applyNumberFormat="1" applyFont="1" applyBorder="1"/>
    <xf numFmtId="0" fontId="64" fillId="0" borderId="0" xfId="0" applyFont="1" applyBorder="1" applyAlignment="1">
      <alignment horizontal="left"/>
    </xf>
    <xf numFmtId="37" fontId="61" fillId="0" borderId="0" xfId="1" applyNumberFormat="1" applyFont="1"/>
    <xf numFmtId="3" fontId="5" fillId="0" borderId="0" xfId="0" applyNumberFormat="1" applyFont="1"/>
    <xf numFmtId="170" fontId="5" fillId="0" borderId="0" xfId="0" applyNumberFormat="1" applyFont="1"/>
    <xf numFmtId="168" fontId="5" fillId="0" borderId="0" xfId="1" applyNumberFormat="1" applyFont="1"/>
    <xf numFmtId="168" fontId="68" fillId="0" borderId="0" xfId="1" applyNumberFormat="1" applyFont="1" applyAlignment="1">
      <alignment horizontal="center"/>
    </xf>
    <xf numFmtId="168" fontId="9" fillId="0" borderId="0" xfId="1" applyNumberFormat="1" applyFont="1" applyAlignment="1">
      <alignment horizontal="center"/>
    </xf>
    <xf numFmtId="170" fontId="37" fillId="9" borderId="16" xfId="0" applyNumberFormat="1" applyFont="1" applyFill="1" applyBorder="1" applyAlignment="1" applyProtection="1">
      <alignment horizontal="center" vertical="center" wrapText="1"/>
    </xf>
    <xf numFmtId="170" fontId="37" fillId="9" borderId="17" xfId="0" applyNumberFormat="1" applyFont="1" applyFill="1" applyBorder="1" applyAlignment="1" applyProtection="1">
      <alignment horizontal="center" vertical="center" wrapText="1"/>
    </xf>
    <xf numFmtId="3" fontId="24" fillId="0" borderId="0" xfId="1" applyNumberFormat="1" applyFont="1"/>
    <xf numFmtId="3" fontId="68" fillId="0" borderId="0" xfId="0" applyNumberFormat="1" applyFont="1" applyAlignment="1">
      <alignment horizontal="right"/>
    </xf>
    <xf numFmtId="3" fontId="9" fillId="0" borderId="0" xfId="0" applyNumberFormat="1" applyFont="1"/>
    <xf numFmtId="3" fontId="8" fillId="0" borderId="11" xfId="1" applyNumberFormat="1" applyFont="1" applyBorder="1"/>
    <xf numFmtId="3" fontId="5" fillId="0" borderId="0" xfId="1" applyNumberFormat="1" applyFont="1" applyBorder="1"/>
    <xf numFmtId="3" fontId="58" fillId="0" borderId="0" xfId="1" applyNumberFormat="1" applyFont="1" applyBorder="1"/>
    <xf numFmtId="3" fontId="61" fillId="0" borderId="0" xfId="1" applyNumberFormat="1" applyFont="1" applyBorder="1"/>
    <xf numFmtId="3" fontId="61" fillId="0" borderId="0" xfId="1" applyNumberFormat="1" applyFont="1"/>
    <xf numFmtId="3" fontId="5" fillId="0" borderId="0" xfId="1" applyNumberFormat="1" applyFont="1"/>
    <xf numFmtId="3" fontId="68" fillId="0" borderId="0" xfId="0" applyNumberFormat="1" applyFont="1" applyAlignment="1">
      <alignment horizontal="center"/>
    </xf>
    <xf numFmtId="3" fontId="68" fillId="0" borderId="0" xfId="1" applyNumberFormat="1" applyFont="1" applyAlignment="1">
      <alignment horizontal="center"/>
    </xf>
    <xf numFmtId="3" fontId="9" fillId="0" borderId="0" xfId="0" applyNumberFormat="1" applyFont="1" applyAlignment="1">
      <alignment horizontal="center"/>
    </xf>
    <xf numFmtId="3" fontId="9" fillId="0" borderId="0" xfId="1" applyNumberFormat="1" applyFont="1" applyAlignment="1">
      <alignment horizontal="center"/>
    </xf>
    <xf numFmtId="0" fontId="5" fillId="0" borderId="16" xfId="0" applyFont="1" applyBorder="1" applyAlignment="1">
      <alignment horizontal="left" wrapText="1"/>
    </xf>
    <xf numFmtId="170" fontId="5" fillId="0" borderId="16" xfId="0" applyNumberFormat="1" applyFont="1" applyBorder="1" applyAlignment="1">
      <alignment horizontal="right"/>
    </xf>
    <xf numFmtId="37" fontId="5" fillId="0" borderId="16" xfId="1" applyNumberFormat="1" applyFont="1" applyBorder="1" applyAlignment="1">
      <alignment horizontal="right"/>
    </xf>
    <xf numFmtId="0" fontId="5" fillId="0" borderId="16" xfId="0" applyNumberFormat="1" applyFont="1" applyBorder="1" applyAlignment="1">
      <alignment horizontal="center" wrapText="1"/>
    </xf>
    <xf numFmtId="0" fontId="5" fillId="0" borderId="16" xfId="1" applyNumberFormat="1" applyFont="1" applyBorder="1" applyAlignment="1">
      <alignment horizontal="center"/>
    </xf>
    <xf numFmtId="0" fontId="8" fillId="16" borderId="16" xfId="0" applyNumberFormat="1" applyFont="1" applyFill="1" applyBorder="1" applyAlignment="1">
      <alignment horizontal="center" vertical="center" wrapText="1"/>
    </xf>
    <xf numFmtId="0" fontId="8" fillId="0" borderId="11" xfId="0" applyNumberFormat="1" applyFont="1" applyBorder="1"/>
    <xf numFmtId="0" fontId="8" fillId="0" borderId="11" xfId="0" applyNumberFormat="1" applyFont="1" applyBorder="1" applyAlignment="1">
      <alignment horizontal="left"/>
    </xf>
    <xf numFmtId="0" fontId="8" fillId="0" borderId="11" xfId="1" applyNumberFormat="1" applyFont="1" applyBorder="1"/>
    <xf numFmtId="0" fontId="8" fillId="0" borderId="0" xfId="0" applyNumberFormat="1" applyFont="1"/>
    <xf numFmtId="0" fontId="68" fillId="0" borderId="0" xfId="0" applyNumberFormat="1" applyFont="1"/>
    <xf numFmtId="0" fontId="4" fillId="10" borderId="0" xfId="0" applyFont="1" applyFill="1"/>
    <xf numFmtId="0" fontId="84" fillId="10" borderId="0" xfId="0" applyFont="1" applyFill="1"/>
    <xf numFmtId="0" fontId="8" fillId="0" borderId="0" xfId="0" applyFont="1" applyAlignment="1">
      <alignment horizontal="left" wrapText="1"/>
    </xf>
    <xf numFmtId="0" fontId="5" fillId="0" borderId="0" xfId="0" applyFont="1" applyAlignment="1">
      <alignment horizontal="left" wrapText="1"/>
    </xf>
    <xf numFmtId="0" fontId="12" fillId="9" borderId="17" xfId="0" applyFont="1" applyFill="1" applyBorder="1" applyAlignment="1" applyProtection="1">
      <alignment horizontal="center" vertical="center" wrapText="1"/>
    </xf>
    <xf numFmtId="0" fontId="5" fillId="0" borderId="0" xfId="0" applyFont="1" applyFill="1" applyBorder="1" applyAlignment="1" applyProtection="1">
      <alignment wrapText="1"/>
    </xf>
    <xf numFmtId="0" fontId="21" fillId="0" borderId="0" xfId="0" applyFont="1" applyFill="1" applyBorder="1" applyAlignment="1" applyProtection="1">
      <alignment horizontal="centerContinuous" wrapText="1"/>
    </xf>
    <xf numFmtId="0" fontId="8" fillId="0" borderId="0" xfId="0" applyFont="1" applyFill="1" applyBorder="1" applyAlignment="1" applyProtection="1">
      <alignment horizontal="center" wrapText="1"/>
    </xf>
    <xf numFmtId="0" fontId="9" fillId="0" borderId="0" xfId="0" applyFont="1" applyFill="1" applyBorder="1" applyAlignment="1" applyProtection="1">
      <alignment horizontal="center" wrapText="1"/>
    </xf>
    <xf numFmtId="0" fontId="5" fillId="0" borderId="0" xfId="0" applyFont="1" applyAlignment="1">
      <alignment horizontal="centerContinuous" wrapText="1"/>
    </xf>
    <xf numFmtId="3" fontId="18" fillId="9" borderId="16" xfId="0" applyNumberFormat="1" applyFont="1" applyFill="1" applyBorder="1" applyAlignment="1" applyProtection="1">
      <alignment horizontal="center" vertical="center" wrapText="1"/>
    </xf>
    <xf numFmtId="3" fontId="37" fillId="9" borderId="16" xfId="0" applyNumberFormat="1" applyFont="1" applyFill="1" applyBorder="1" applyAlignment="1" applyProtection="1">
      <alignment horizontal="center" vertical="center" wrapText="1"/>
    </xf>
    <xf numFmtId="0" fontId="37" fillId="9" borderId="17" xfId="0" applyFont="1" applyFill="1" applyBorder="1" applyAlignment="1" applyProtection="1">
      <alignment horizontal="center" vertical="center" wrapText="1"/>
    </xf>
    <xf numFmtId="0" fontId="12" fillId="9" borderId="9" xfId="0" applyNumberFormat="1" applyFont="1" applyFill="1" applyBorder="1" applyAlignment="1" applyProtection="1">
      <alignment horizontal="center" vertical="center"/>
    </xf>
    <xf numFmtId="0" fontId="12" fillId="12" borderId="9" xfId="0" applyNumberFormat="1" applyFont="1" applyFill="1" applyBorder="1" applyAlignment="1" applyProtection="1">
      <alignment horizontal="center" vertical="center"/>
    </xf>
    <xf numFmtId="0" fontId="12" fillId="9" borderId="9" xfId="0" applyNumberFormat="1" applyFont="1" applyFill="1" applyBorder="1" applyAlignment="1" applyProtection="1">
      <alignment horizontal="center" vertical="center" wrapText="1"/>
    </xf>
    <xf numFmtId="0" fontId="12" fillId="0" borderId="0" xfId="1" applyNumberFormat="1" applyFont="1" applyAlignment="1">
      <alignment vertical="center"/>
    </xf>
    <xf numFmtId="168" fontId="61" fillId="0" borderId="10" xfId="1" applyNumberFormat="1" applyFont="1" applyBorder="1" applyAlignment="1">
      <alignment vertical="center"/>
    </xf>
    <xf numFmtId="0" fontId="9" fillId="0" borderId="10" xfId="0" applyFont="1" applyFill="1" applyBorder="1" applyAlignment="1" applyProtection="1">
      <alignment horizontal="center" vertical="center" wrapText="1"/>
    </xf>
    <xf numFmtId="0" fontId="9" fillId="12" borderId="10" xfId="0" applyFont="1" applyFill="1" applyBorder="1" applyAlignment="1" applyProtection="1">
      <alignment horizontal="center" vertical="center" wrapText="1"/>
    </xf>
    <xf numFmtId="168" fontId="64" fillId="0" borderId="10" xfId="1" applyNumberFormat="1" applyFont="1" applyBorder="1" applyAlignment="1">
      <alignment vertical="center"/>
    </xf>
    <xf numFmtId="168" fontId="9" fillId="0" borderId="0" xfId="1" applyNumberFormat="1" applyFont="1" applyAlignment="1">
      <alignment vertical="center"/>
    </xf>
    <xf numFmtId="168" fontId="5" fillId="0" borderId="10" xfId="0" applyNumberFormat="1" applyFont="1" applyFill="1" applyBorder="1" applyAlignment="1" applyProtection="1">
      <alignment horizontal="center" vertical="center" wrapText="1"/>
    </xf>
    <xf numFmtId="177" fontId="5" fillId="0" borderId="10" xfId="0" applyNumberFormat="1" applyFont="1" applyFill="1" applyBorder="1" applyAlignment="1" applyProtection="1">
      <alignment horizontal="center" vertical="center" wrapText="1"/>
    </xf>
    <xf numFmtId="176" fontId="5" fillId="0" borderId="10" xfId="3" applyNumberFormat="1" applyFont="1" applyFill="1" applyBorder="1" applyAlignment="1" applyProtection="1">
      <alignment horizontal="center" vertical="center" wrapText="1"/>
    </xf>
    <xf numFmtId="176" fontId="8" fillId="0" borderId="10" xfId="0" applyNumberFormat="1" applyFont="1" applyFill="1" applyBorder="1" applyAlignment="1" applyProtection="1">
      <alignment horizontal="center" vertical="center" wrapText="1"/>
    </xf>
    <xf numFmtId="168" fontId="8" fillId="0" borderId="10" xfId="0" applyNumberFormat="1" applyFont="1" applyFill="1" applyBorder="1" applyAlignment="1" applyProtection="1">
      <alignment horizontal="center" vertical="center" wrapText="1"/>
    </xf>
    <xf numFmtId="168" fontId="58" fillId="0" borderId="10" xfId="1" applyNumberFormat="1" applyFont="1" applyBorder="1" applyAlignment="1">
      <alignment vertical="center"/>
    </xf>
    <xf numFmtId="176" fontId="5" fillId="0" borderId="10" xfId="0" applyNumberFormat="1" applyFont="1" applyFill="1" applyBorder="1" applyAlignment="1" applyProtection="1">
      <alignment horizontal="center" vertical="center" wrapText="1"/>
    </xf>
    <xf numFmtId="168" fontId="21" fillId="0" borderId="10" xfId="0" applyNumberFormat="1" applyFont="1" applyFill="1" applyBorder="1" applyAlignment="1" applyProtection="1">
      <alignment horizontal="center" vertical="center" wrapText="1"/>
    </xf>
    <xf numFmtId="168" fontId="70" fillId="0" borderId="10" xfId="1" applyNumberFormat="1" applyFont="1" applyBorder="1" applyAlignment="1">
      <alignment vertical="center"/>
    </xf>
    <xf numFmtId="168" fontId="58" fillId="0" borderId="11" xfId="1" applyNumberFormat="1" applyFont="1" applyBorder="1" applyAlignment="1">
      <alignment vertical="center"/>
    </xf>
    <xf numFmtId="0" fontId="5" fillId="12" borderId="23" xfId="0" applyFont="1" applyFill="1" applyBorder="1" applyAlignment="1" applyProtection="1">
      <alignment horizontal="center" vertical="center" wrapText="1"/>
    </xf>
    <xf numFmtId="168" fontId="5" fillId="0" borderId="0" xfId="1" applyNumberFormat="1" applyFont="1" applyAlignment="1">
      <alignment horizontal="centerContinuous" vertical="center"/>
    </xf>
    <xf numFmtId="170" fontId="37" fillId="9" borderId="15" xfId="0" applyNumberFormat="1" applyFont="1" applyFill="1" applyBorder="1" applyAlignment="1" applyProtection="1">
      <alignment horizontal="center" vertical="center" wrapText="1"/>
    </xf>
    <xf numFmtId="0" fontId="37" fillId="9" borderId="17" xfId="0" applyFont="1" applyFill="1" applyBorder="1" applyAlignment="1" applyProtection="1">
      <alignment horizontal="center" vertical="center" wrapText="1"/>
    </xf>
    <xf numFmtId="0" fontId="4" fillId="0" borderId="9" xfId="0" applyFont="1" applyBorder="1" applyAlignment="1">
      <alignment wrapText="1"/>
    </xf>
    <xf numFmtId="0" fontId="4" fillId="0" borderId="10" xfId="0" applyFont="1" applyBorder="1" applyAlignment="1">
      <alignment wrapText="1"/>
    </xf>
    <xf numFmtId="0" fontId="7" fillId="15" borderId="11" xfId="0" applyFont="1" applyFill="1" applyBorder="1" applyAlignment="1">
      <alignment wrapText="1"/>
    </xf>
    <xf numFmtId="167" fontId="85" fillId="15" borderId="11" xfId="0" applyNumberFormat="1" applyFont="1" applyFill="1" applyBorder="1" applyAlignment="1">
      <alignment wrapText="1"/>
    </xf>
    <xf numFmtId="3" fontId="4" fillId="0" borderId="0" xfId="1" applyNumberFormat="1" applyFont="1" applyAlignment="1">
      <alignment horizontal="centerContinuous" wrapText="1"/>
    </xf>
    <xf numFmtId="3" fontId="7" fillId="0" borderId="0" xfId="1" applyNumberFormat="1" applyFont="1" applyAlignment="1">
      <alignment horizontal="centerContinuous" wrapText="1"/>
    </xf>
    <xf numFmtId="3" fontId="4" fillId="0" borderId="9" xfId="1" applyNumberFormat="1" applyFont="1" applyBorder="1" applyAlignment="1">
      <alignment wrapText="1"/>
    </xf>
    <xf numFmtId="3" fontId="4" fillId="0" borderId="10" xfId="1" applyNumberFormat="1" applyFont="1" applyBorder="1" applyAlignment="1">
      <alignment wrapText="1"/>
    </xf>
    <xf numFmtId="3" fontId="7" fillId="15" borderId="11" xfId="1" applyNumberFormat="1" applyFont="1" applyFill="1" applyBorder="1" applyAlignment="1">
      <alignment wrapText="1"/>
    </xf>
    <xf numFmtId="3" fontId="4" fillId="0" borderId="0" xfId="1" applyNumberFormat="1" applyFont="1" applyAlignment="1">
      <alignment wrapText="1"/>
    </xf>
    <xf numFmtId="175" fontId="3" fillId="0" borderId="0" xfId="0" applyNumberFormat="1" applyFont="1"/>
    <xf numFmtId="2" fontId="8" fillId="8" borderId="22" xfId="0" applyNumberFormat="1" applyFont="1" applyFill="1" applyBorder="1" applyAlignment="1" applyProtection="1">
      <alignment vertical="center"/>
      <protection hidden="1"/>
    </xf>
    <xf numFmtId="0" fontId="4" fillId="0" borderId="0" xfId="0" quotePrefix="1" applyFont="1" applyProtection="1">
      <protection hidden="1"/>
    </xf>
    <xf numFmtId="0" fontId="7" fillId="0" borderId="0" xfId="0" quotePrefix="1" applyFont="1" applyProtection="1">
      <protection hidden="1"/>
    </xf>
    <xf numFmtId="178" fontId="5" fillId="14" borderId="16" xfId="1" applyNumberFormat="1" applyFont="1" applyFill="1" applyBorder="1"/>
    <xf numFmtId="0" fontId="5" fillId="11" borderId="10" xfId="0" applyFont="1" applyFill="1" applyBorder="1" applyAlignment="1">
      <alignment horizontal="center" vertical="center" wrapText="1"/>
    </xf>
    <xf numFmtId="0" fontId="5" fillId="11" borderId="10" xfId="0" applyFont="1" applyFill="1" applyBorder="1" applyAlignment="1">
      <alignment horizontal="justify" vertical="center" wrapText="1"/>
    </xf>
    <xf numFmtId="0" fontId="5" fillId="11" borderId="10" xfId="0" applyFont="1" applyFill="1" applyBorder="1" applyAlignment="1">
      <alignment horizontal="center" vertical="center"/>
    </xf>
    <xf numFmtId="168" fontId="5" fillId="11" borderId="10" xfId="1" applyNumberFormat="1" applyFont="1" applyFill="1" applyBorder="1" applyAlignment="1">
      <alignment horizontal="right" vertical="center" wrapText="1"/>
    </xf>
    <xf numFmtId="0" fontId="5" fillId="11" borderId="9" xfId="0" applyFont="1" applyFill="1" applyBorder="1" applyAlignment="1">
      <alignment horizontal="center" vertical="center" wrapText="1"/>
    </xf>
    <xf numFmtId="0" fontId="5" fillId="11" borderId="10" xfId="0" applyFont="1" applyFill="1" applyBorder="1" applyProtection="1">
      <protection locked="0"/>
    </xf>
    <xf numFmtId="0" fontId="84" fillId="0" borderId="0" xfId="0" applyFont="1" applyProtection="1">
      <protection hidden="1"/>
    </xf>
    <xf numFmtId="168" fontId="5" fillId="0" borderId="28" xfId="1" applyNumberFormat="1" applyFont="1" applyBorder="1" applyAlignment="1" applyProtection="1">
      <alignment vertical="center"/>
      <protection hidden="1"/>
    </xf>
    <xf numFmtId="168" fontId="5" fillId="0" borderId="0" xfId="1" applyNumberFormat="1" applyFont="1" applyBorder="1" applyAlignment="1" applyProtection="1">
      <alignment horizontal="center" vertical="center"/>
      <protection hidden="1"/>
    </xf>
    <xf numFmtId="168" fontId="5" fillId="11" borderId="10" xfId="1" applyNumberFormat="1" applyFont="1" applyFill="1" applyBorder="1"/>
    <xf numFmtId="0" fontId="5" fillId="11" borderId="10" xfId="0" applyFont="1" applyFill="1" applyBorder="1"/>
    <xf numFmtId="0" fontId="3" fillId="11" borderId="0" xfId="0" applyFont="1" applyFill="1"/>
    <xf numFmtId="168" fontId="5" fillId="11" borderId="10" xfId="1" applyNumberFormat="1" applyFont="1" applyFill="1" applyBorder="1" applyAlignment="1">
      <alignment horizontal="right" vertical="center"/>
    </xf>
    <xf numFmtId="168" fontId="5" fillId="11" borderId="10" xfId="1" applyNumberFormat="1" applyFont="1" applyFill="1" applyBorder="1" applyAlignment="1"/>
    <xf numFmtId="0" fontId="5" fillId="11" borderId="10" xfId="0" applyFont="1" applyFill="1" applyBorder="1" applyAlignment="1"/>
    <xf numFmtId="0" fontId="5" fillId="11" borderId="10" xfId="0" applyFont="1" applyFill="1" applyBorder="1" applyAlignment="1" applyProtection="1">
      <protection locked="0"/>
    </xf>
    <xf numFmtId="0" fontId="5" fillId="11" borderId="11" xfId="0" applyFont="1" applyFill="1" applyBorder="1" applyAlignment="1">
      <alignment horizontal="center" vertical="center" wrapText="1"/>
    </xf>
    <xf numFmtId="0" fontId="5" fillId="11" borderId="11" xfId="0" applyFont="1" applyFill="1" applyBorder="1" applyAlignment="1">
      <alignment horizontal="center" vertical="center"/>
    </xf>
    <xf numFmtId="168" fontId="5" fillId="11" borderId="11" xfId="1" applyNumberFormat="1" applyFont="1" applyFill="1" applyBorder="1" applyAlignment="1">
      <alignment horizontal="right" vertical="center"/>
    </xf>
    <xf numFmtId="0" fontId="5" fillId="11" borderId="11" xfId="0" applyFont="1" applyFill="1" applyBorder="1" applyAlignment="1" applyProtection="1">
      <protection locked="0"/>
    </xf>
    <xf numFmtId="168" fontId="5" fillId="11" borderId="11" xfId="1" applyNumberFormat="1" applyFont="1" applyFill="1" applyBorder="1" applyAlignment="1"/>
    <xf numFmtId="0" fontId="5" fillId="11" borderId="11" xfId="0" applyFont="1" applyFill="1" applyBorder="1"/>
    <xf numFmtId="0" fontId="5" fillId="11" borderId="9" xfId="0" applyFont="1" applyFill="1" applyBorder="1"/>
    <xf numFmtId="0" fontId="5" fillId="0" borderId="17" xfId="0" applyFont="1" applyBorder="1" applyAlignment="1">
      <alignment horizontal="center" vertical="center" wrapText="1"/>
    </xf>
    <xf numFmtId="168" fontId="5" fillId="0" borderId="27" xfId="1" applyNumberFormat="1" applyFont="1" applyBorder="1" applyAlignment="1">
      <alignment horizontal="right" vertical="center" wrapText="1"/>
    </xf>
    <xf numFmtId="0" fontId="5" fillId="11" borderId="10" xfId="0" quotePrefix="1" applyFont="1" applyFill="1" applyBorder="1" applyAlignment="1">
      <alignment horizontal="center" vertical="center" wrapText="1"/>
    </xf>
    <xf numFmtId="0" fontId="8" fillId="14" borderId="16" xfId="0" applyFont="1" applyFill="1" applyBorder="1" applyAlignment="1">
      <alignment horizontal="justify" vertical="center"/>
    </xf>
    <xf numFmtId="0" fontId="5" fillId="11" borderId="10" xfId="0" applyFont="1" applyFill="1" applyBorder="1" applyAlignment="1">
      <alignment horizontal="justify" vertical="center"/>
    </xf>
    <xf numFmtId="0" fontId="5" fillId="11" borderId="10" xfId="0" quotePrefix="1" applyFont="1" applyFill="1" applyBorder="1" applyAlignment="1">
      <alignment horizontal="justify" vertical="center"/>
    </xf>
    <xf numFmtId="0" fontId="5" fillId="11" borderId="11" xfId="0" applyFont="1" applyFill="1" applyBorder="1" applyAlignment="1">
      <alignment horizontal="justify" vertical="center"/>
    </xf>
    <xf numFmtId="0" fontId="5" fillId="0" borderId="9" xfId="0" applyFont="1" applyBorder="1" applyAlignment="1">
      <alignment horizontal="justify" vertical="center"/>
    </xf>
    <xf numFmtId="0" fontId="5" fillId="0" borderId="10" xfId="0" applyFont="1" applyBorder="1" applyAlignment="1">
      <alignment horizontal="justify" vertical="center"/>
    </xf>
    <xf numFmtId="0" fontId="5" fillId="0" borderId="11" xfId="0" applyFont="1" applyBorder="1" applyAlignment="1">
      <alignment horizontal="justify" vertical="center"/>
    </xf>
    <xf numFmtId="0" fontId="22" fillId="0" borderId="10" xfId="0" applyFont="1" applyFill="1" applyBorder="1" applyAlignment="1" applyProtection="1">
      <alignment horizontal="center" vertical="center" wrapText="1"/>
    </xf>
    <xf numFmtId="0" fontId="22" fillId="2" borderId="10" xfId="0" applyFont="1" applyFill="1" applyBorder="1" applyAlignment="1" applyProtection="1">
      <alignment horizontal="center" vertical="center" wrapText="1"/>
    </xf>
    <xf numFmtId="0" fontId="23" fillId="0" borderId="10" xfId="0" applyFont="1" applyFill="1" applyBorder="1" applyAlignment="1" applyProtection="1">
      <alignment vertical="center" wrapText="1"/>
    </xf>
    <xf numFmtId="0" fontId="7" fillId="11" borderId="10" xfId="0" applyFont="1" applyFill="1" applyBorder="1" applyAlignment="1" applyProtection="1">
      <alignment horizontal="center" vertical="center" wrapText="1"/>
    </xf>
    <xf numFmtId="0" fontId="7" fillId="11" borderId="10" xfId="0" applyFont="1" applyFill="1" applyBorder="1" applyAlignment="1" applyProtection="1">
      <alignment vertical="center" wrapText="1"/>
    </xf>
    <xf numFmtId="168" fontId="8" fillId="11" borderId="10" xfId="1" applyNumberFormat="1" applyFont="1" applyFill="1" applyBorder="1" applyAlignment="1" applyProtection="1">
      <alignment vertical="center" wrapText="1"/>
    </xf>
    <xf numFmtId="168" fontId="8" fillId="11" borderId="0" xfId="1" applyNumberFormat="1" applyFont="1" applyFill="1" applyAlignment="1">
      <alignment vertical="center"/>
    </xf>
    <xf numFmtId="0" fontId="5" fillId="0" borderId="0" xfId="0" applyFont="1" applyFill="1" applyBorder="1" applyAlignment="1" applyProtection="1">
      <alignment horizontal="centerContinuous" vertical="center"/>
    </xf>
    <xf numFmtId="168" fontId="8" fillId="0" borderId="11" xfId="1" applyNumberFormat="1" applyFont="1" applyFill="1" applyBorder="1" applyAlignment="1" applyProtection="1">
      <alignment vertical="center"/>
    </xf>
    <xf numFmtId="0" fontId="8" fillId="0" borderId="11" xfId="0" applyFont="1" applyFill="1" applyBorder="1" applyAlignment="1" applyProtection="1">
      <alignment vertical="center"/>
    </xf>
    <xf numFmtId="0" fontId="8" fillId="2" borderId="11" xfId="0" applyFont="1" applyFill="1" applyBorder="1" applyAlignment="1" applyProtection="1">
      <alignment horizontal="center" vertical="center"/>
    </xf>
    <xf numFmtId="168" fontId="21" fillId="0" borderId="10" xfId="1" applyNumberFormat="1" applyFont="1" applyFill="1" applyBorder="1" applyAlignment="1" applyProtection="1">
      <alignment vertical="center"/>
    </xf>
    <xf numFmtId="0" fontId="21" fillId="0" borderId="10" xfId="0" applyFont="1" applyFill="1" applyBorder="1" applyAlignment="1" applyProtection="1">
      <alignment vertical="center"/>
    </xf>
    <xf numFmtId="0" fontId="21" fillId="2" borderId="10" xfId="0" applyFont="1" applyFill="1" applyBorder="1" applyAlignment="1" applyProtection="1">
      <alignment horizontal="center" vertical="center"/>
    </xf>
    <xf numFmtId="0" fontId="22" fillId="0" borderId="0" xfId="0" applyFont="1" applyAlignment="1">
      <alignment horizontal="centerContinuous"/>
    </xf>
    <xf numFmtId="0" fontId="21" fillId="2" borderId="0" xfId="0" applyFont="1" applyFill="1" applyBorder="1" applyAlignment="1" applyProtection="1">
      <alignment horizontal="center" vertical="center"/>
    </xf>
    <xf numFmtId="0" fontId="22" fillId="0" borderId="0" xfId="0" quotePrefix="1" applyFont="1" applyAlignment="1">
      <alignment horizontal="left"/>
    </xf>
    <xf numFmtId="0" fontId="22" fillId="0" borderId="0" xfId="0" applyFont="1" applyAlignment="1">
      <alignment horizontal="left"/>
    </xf>
    <xf numFmtId="2" fontId="21" fillId="0" borderId="0" xfId="0" applyNumberFormat="1" applyFont="1" applyAlignment="1">
      <alignment horizontal="center"/>
    </xf>
    <xf numFmtId="0" fontId="21" fillId="0" borderId="0" xfId="0" applyNumberFormat="1" applyFont="1" applyAlignment="1">
      <alignment vertical="center"/>
    </xf>
    <xf numFmtId="0" fontId="5" fillId="0" borderId="10" xfId="0" applyFont="1" applyBorder="1" applyAlignment="1" applyProtection="1">
      <protection locked="0"/>
    </xf>
    <xf numFmtId="168" fontId="5" fillId="0" borderId="10" xfId="1" applyNumberFormat="1" applyFont="1" applyBorder="1" applyAlignment="1"/>
    <xf numFmtId="0" fontId="5" fillId="0" borderId="0" xfId="0" applyNumberFormat="1" applyFont="1" applyFill="1" applyBorder="1" applyAlignment="1" applyProtection="1">
      <alignment vertical="center"/>
      <protection hidden="1"/>
    </xf>
    <xf numFmtId="0" fontId="8" fillId="0" borderId="0" xfId="0" applyNumberFormat="1" applyFont="1" applyFill="1" applyBorder="1" applyAlignment="1" applyProtection="1">
      <alignment vertical="center"/>
      <protection hidden="1"/>
    </xf>
    <xf numFmtId="0" fontId="5" fillId="0" borderId="0" xfId="0" applyNumberFormat="1" applyFont="1" applyFill="1" applyBorder="1" applyAlignment="1" applyProtection="1">
      <alignment horizontal="centerContinuous" vertical="center"/>
      <protection hidden="1"/>
    </xf>
    <xf numFmtId="0" fontId="8" fillId="0" borderId="0" xfId="0" applyNumberFormat="1" applyFont="1" applyFill="1" applyBorder="1" applyAlignment="1" applyProtection="1">
      <alignment horizontal="centerContinuous" vertical="center"/>
      <protection hidden="1"/>
    </xf>
    <xf numFmtId="0" fontId="8" fillId="2" borderId="0" xfId="0" applyNumberFormat="1" applyFont="1" applyFill="1" applyBorder="1" applyAlignment="1" applyProtection="1">
      <alignment vertical="center"/>
      <protection hidden="1"/>
    </xf>
    <xf numFmtId="0" fontId="5" fillId="2" borderId="0" xfId="0" applyNumberFormat="1" applyFont="1" applyFill="1" applyBorder="1" applyAlignment="1" applyProtection="1">
      <alignment vertical="center"/>
      <protection hidden="1"/>
    </xf>
    <xf numFmtId="0" fontId="5" fillId="0" borderId="0" xfId="0" applyNumberFormat="1" applyFont="1" applyFill="1" applyBorder="1" applyAlignment="1" applyProtection="1">
      <alignment vertical="center" wrapText="1"/>
      <protection hidden="1"/>
    </xf>
    <xf numFmtId="0" fontId="5" fillId="0" borderId="0" xfId="0" applyNumberFormat="1" applyFont="1" applyFill="1" applyBorder="1" applyAlignment="1" applyProtection="1">
      <alignment horizontal="center" vertical="center" wrapText="1"/>
      <protection hidden="1"/>
    </xf>
    <xf numFmtId="0" fontId="8" fillId="0" borderId="0" xfId="0" applyNumberFormat="1" applyFont="1" applyFill="1" applyBorder="1" applyAlignment="1" applyProtection="1">
      <alignment horizontal="center" vertical="center"/>
      <protection hidden="1"/>
    </xf>
    <xf numFmtId="0" fontId="5" fillId="0" borderId="16" xfId="0" applyNumberFormat="1" applyFont="1" applyFill="1" applyBorder="1" applyAlignment="1" applyProtection="1">
      <alignment horizontal="center" vertical="center" wrapText="1"/>
      <protection hidden="1"/>
    </xf>
    <xf numFmtId="0" fontId="16" fillId="0" borderId="0" xfId="0" applyNumberFormat="1" applyFont="1" applyFill="1" applyBorder="1" applyAlignment="1" applyProtection="1">
      <alignment horizontal="center" vertical="center"/>
      <protection hidden="1"/>
    </xf>
    <xf numFmtId="0" fontId="6" fillId="0" borderId="0" xfId="0" applyNumberFormat="1" applyFont="1" applyFill="1" applyBorder="1" applyAlignment="1" applyProtection="1">
      <alignment horizontal="center" vertical="center"/>
      <protection hidden="1"/>
    </xf>
    <xf numFmtId="0" fontId="5" fillId="3" borderId="0" xfId="0" applyNumberFormat="1" applyFont="1" applyFill="1" applyBorder="1" applyAlignment="1" applyProtection="1">
      <alignment vertical="center"/>
      <protection hidden="1"/>
    </xf>
    <xf numFmtId="0" fontId="6" fillId="0" borderId="0" xfId="0" applyNumberFormat="1" applyFont="1" applyFill="1" applyBorder="1" applyAlignment="1" applyProtection="1">
      <alignment horizontal="justify" vertical="center"/>
      <protection hidden="1"/>
    </xf>
    <xf numFmtId="0" fontId="5" fillId="0" borderId="16" xfId="0" applyNumberFormat="1" applyFont="1" applyFill="1" applyBorder="1" applyAlignment="1" applyProtection="1">
      <alignment vertical="center"/>
      <protection hidden="1"/>
    </xf>
    <xf numFmtId="0" fontId="4" fillId="0" borderId="0" xfId="0" applyNumberFormat="1" applyFont="1" applyProtection="1">
      <protection hidden="1"/>
    </xf>
    <xf numFmtId="0" fontId="8" fillId="12" borderId="0" xfId="0" applyNumberFormat="1" applyFont="1" applyFill="1" applyBorder="1" applyAlignment="1" applyProtection="1">
      <alignment vertical="center"/>
      <protection hidden="1"/>
    </xf>
    <xf numFmtId="0" fontId="5" fillId="12" borderId="0" xfId="0" applyNumberFormat="1" applyFont="1" applyFill="1" applyBorder="1" applyAlignment="1" applyProtection="1">
      <alignment vertical="center"/>
      <protection hidden="1"/>
    </xf>
    <xf numFmtId="2" fontId="79" fillId="0" borderId="0" xfId="0" applyNumberFormat="1" applyFont="1" applyFill="1" applyBorder="1" applyAlignment="1" applyProtection="1">
      <alignment vertical="center"/>
      <protection hidden="1"/>
    </xf>
    <xf numFmtId="0" fontId="79" fillId="0" borderId="0" xfId="0" applyNumberFormat="1" applyFont="1" applyFill="1" applyBorder="1" applyAlignment="1" applyProtection="1">
      <alignment vertical="center"/>
      <protection hidden="1"/>
    </xf>
    <xf numFmtId="0" fontId="74" fillId="0" borderId="0" xfId="0" applyNumberFormat="1" applyFont="1" applyFill="1" applyBorder="1" applyAlignment="1" applyProtection="1">
      <alignment vertical="center"/>
      <protection hidden="1"/>
    </xf>
    <xf numFmtId="2" fontId="74" fillId="7" borderId="0" xfId="0" applyNumberFormat="1" applyFont="1" applyFill="1" applyBorder="1" applyAlignment="1" applyProtection="1">
      <alignment vertical="center"/>
      <protection hidden="1"/>
    </xf>
    <xf numFmtId="0" fontId="79" fillId="8" borderId="16" xfId="0" applyNumberFormat="1" applyFont="1" applyFill="1" applyBorder="1" applyAlignment="1" applyProtection="1">
      <alignment vertical="center"/>
      <protection hidden="1"/>
    </xf>
    <xf numFmtId="2" fontId="79" fillId="0" borderId="16" xfId="0" applyNumberFormat="1" applyFont="1" applyFill="1" applyBorder="1" applyAlignment="1" applyProtection="1">
      <alignment vertical="center"/>
      <protection hidden="1"/>
    </xf>
    <xf numFmtId="0" fontId="79" fillId="0" borderId="0" xfId="0" applyNumberFormat="1" applyFont="1" applyFill="1" applyBorder="1" applyAlignment="1" applyProtection="1">
      <alignment horizontal="centerContinuous" vertical="center"/>
      <protection hidden="1"/>
    </xf>
    <xf numFmtId="0" fontId="74" fillId="2" borderId="0" xfId="0" applyNumberFormat="1" applyFont="1" applyFill="1" applyBorder="1" applyAlignment="1" applyProtection="1">
      <alignment vertical="center"/>
      <protection hidden="1"/>
    </xf>
    <xf numFmtId="0" fontId="79" fillId="2" borderId="0" xfId="0" applyNumberFormat="1" applyFont="1" applyFill="1" applyBorder="1" applyAlignment="1" applyProtection="1">
      <alignment vertical="center"/>
      <protection hidden="1"/>
    </xf>
    <xf numFmtId="0" fontId="79" fillId="11" borderId="16" xfId="0" applyNumberFormat="1" applyFont="1" applyFill="1" applyBorder="1" applyAlignment="1" applyProtection="1">
      <alignment vertical="center"/>
      <protection hidden="1"/>
    </xf>
    <xf numFmtId="0" fontId="79" fillId="10" borderId="0" xfId="0" applyNumberFormat="1" applyFont="1" applyFill="1" applyBorder="1" applyAlignment="1" applyProtection="1">
      <alignment vertical="center"/>
      <protection hidden="1"/>
    </xf>
    <xf numFmtId="0" fontId="79" fillId="3" borderId="0" xfId="0" applyNumberFormat="1" applyFont="1" applyFill="1" applyBorder="1" applyAlignment="1" applyProtection="1">
      <alignment vertical="center"/>
      <protection hidden="1"/>
    </xf>
    <xf numFmtId="0" fontId="79" fillId="0" borderId="16" xfId="0" applyNumberFormat="1" applyFont="1" applyFill="1" applyBorder="1" applyAlignment="1" applyProtection="1">
      <alignment vertical="center"/>
      <protection hidden="1"/>
    </xf>
    <xf numFmtId="0" fontId="74" fillId="0" borderId="0" xfId="0" applyNumberFormat="1" applyFont="1" applyFill="1" applyBorder="1" applyAlignment="1" applyProtection="1">
      <alignment horizontal="centerContinuous" vertical="center"/>
      <protection hidden="1"/>
    </xf>
    <xf numFmtId="0" fontId="74" fillId="12" borderId="0" xfId="0" applyNumberFormat="1" applyFont="1" applyFill="1" applyBorder="1" applyAlignment="1" applyProtection="1">
      <alignment vertical="center"/>
      <protection hidden="1"/>
    </xf>
    <xf numFmtId="0" fontId="79" fillId="12" borderId="0" xfId="0" applyNumberFormat="1" applyFont="1" applyFill="1" applyBorder="1" applyAlignment="1" applyProtection="1">
      <alignment vertical="center"/>
      <protection hidden="1"/>
    </xf>
    <xf numFmtId="0" fontId="86" fillId="0" borderId="0" xfId="0" applyNumberFormat="1" applyFont="1" applyFill="1" applyBorder="1" applyAlignment="1" applyProtection="1">
      <alignment vertical="center"/>
      <protection hidden="1"/>
    </xf>
    <xf numFmtId="0" fontId="87" fillId="0" borderId="0" xfId="0" applyNumberFormat="1" applyFont="1" applyFill="1" applyBorder="1" applyAlignment="1" applyProtection="1">
      <alignment vertical="center"/>
      <protection hidden="1"/>
    </xf>
    <xf numFmtId="0" fontId="87" fillId="0" borderId="0" xfId="0" applyNumberFormat="1" applyFont="1" applyFill="1" applyBorder="1" applyAlignment="1" applyProtection="1">
      <alignment horizontal="centerContinuous" vertical="center"/>
      <protection hidden="1"/>
    </xf>
    <xf numFmtId="0" fontId="86" fillId="0" borderId="0" xfId="0" applyNumberFormat="1" applyFont="1" applyFill="1" applyBorder="1" applyAlignment="1" applyProtection="1">
      <alignment horizontal="centerContinuous" vertical="center"/>
      <protection hidden="1"/>
    </xf>
    <xf numFmtId="0" fontId="87" fillId="2" borderId="0" xfId="0" applyNumberFormat="1" applyFont="1" applyFill="1" applyBorder="1" applyAlignment="1" applyProtection="1">
      <alignment vertical="center"/>
      <protection hidden="1"/>
    </xf>
    <xf numFmtId="0" fontId="86" fillId="2" borderId="0" xfId="0" applyNumberFormat="1" applyFont="1" applyFill="1" applyBorder="1" applyAlignment="1" applyProtection="1">
      <alignment vertical="center"/>
      <protection hidden="1"/>
    </xf>
    <xf numFmtId="0" fontId="86" fillId="0" borderId="0" xfId="0" applyNumberFormat="1" applyFont="1" applyFill="1" applyBorder="1" applyAlignment="1" applyProtection="1">
      <alignment horizontal="center" vertical="center"/>
      <protection hidden="1"/>
    </xf>
    <xf numFmtId="0" fontId="86" fillId="3" borderId="0" xfId="0" applyNumberFormat="1" applyFont="1" applyFill="1" applyBorder="1" applyAlignment="1" applyProtection="1">
      <alignment vertical="center"/>
      <protection hidden="1"/>
    </xf>
    <xf numFmtId="0" fontId="87" fillId="12" borderId="0" xfId="0" applyNumberFormat="1" applyFont="1" applyFill="1" applyBorder="1" applyAlignment="1" applyProtection="1">
      <alignment vertical="center"/>
      <protection hidden="1"/>
    </xf>
    <xf numFmtId="0" fontId="86" fillId="12" borderId="0" xfId="0" applyNumberFormat="1" applyFont="1" applyFill="1" applyBorder="1" applyAlignment="1" applyProtection="1">
      <alignment vertical="center"/>
      <protection hidden="1"/>
    </xf>
    <xf numFmtId="0" fontId="88" fillId="0" borderId="0" xfId="0" applyNumberFormat="1" applyFont="1" applyFill="1" applyBorder="1" applyAlignment="1" applyProtection="1">
      <alignment vertical="center"/>
      <protection hidden="1"/>
    </xf>
    <xf numFmtId="0" fontId="89" fillId="0" borderId="0" xfId="0" applyNumberFormat="1" applyFont="1" applyFill="1" applyBorder="1" applyAlignment="1" applyProtection="1">
      <alignment vertical="center"/>
      <protection hidden="1"/>
    </xf>
    <xf numFmtId="0" fontId="89" fillId="0" borderId="0" xfId="0" applyNumberFormat="1" applyFont="1" applyFill="1" applyBorder="1" applyAlignment="1" applyProtection="1">
      <alignment horizontal="centerContinuous" vertical="center"/>
      <protection hidden="1"/>
    </xf>
    <xf numFmtId="0" fontId="88" fillId="0" borderId="0" xfId="0" applyNumberFormat="1" applyFont="1" applyFill="1" applyBorder="1" applyAlignment="1" applyProtection="1">
      <alignment horizontal="centerContinuous" vertical="center"/>
      <protection hidden="1"/>
    </xf>
    <xf numFmtId="0" fontId="89" fillId="2" borderId="0" xfId="0" applyNumberFormat="1" applyFont="1" applyFill="1" applyBorder="1" applyAlignment="1" applyProtection="1">
      <alignment vertical="center"/>
      <protection hidden="1"/>
    </xf>
    <xf numFmtId="0" fontId="88" fillId="2" borderId="0" xfId="0" applyNumberFormat="1" applyFont="1" applyFill="1" applyBorder="1" applyAlignment="1" applyProtection="1">
      <alignment vertical="center"/>
      <protection hidden="1"/>
    </xf>
    <xf numFmtId="0" fontId="88" fillId="0" borderId="16" xfId="0" applyNumberFormat="1" applyFont="1" applyFill="1" applyBorder="1" applyAlignment="1" applyProtection="1">
      <alignment horizontal="center" vertical="center"/>
      <protection hidden="1"/>
    </xf>
    <xf numFmtId="0" fontId="88" fillId="0" borderId="0" xfId="0" applyNumberFormat="1" applyFont="1" applyFill="1" applyBorder="1" applyAlignment="1" applyProtection="1">
      <alignment horizontal="center" vertical="center"/>
      <protection hidden="1"/>
    </xf>
    <xf numFmtId="0" fontId="88" fillId="3" borderId="0" xfId="0" applyNumberFormat="1" applyFont="1" applyFill="1" applyBorder="1" applyAlignment="1" applyProtection="1">
      <alignment vertical="center"/>
      <protection hidden="1"/>
    </xf>
    <xf numFmtId="0" fontId="89" fillId="12" borderId="0" xfId="0" applyNumberFormat="1" applyFont="1" applyFill="1" applyBorder="1" applyAlignment="1" applyProtection="1">
      <alignment vertical="center"/>
      <protection hidden="1"/>
    </xf>
    <xf numFmtId="0" fontId="88" fillId="12" borderId="0" xfId="0" applyNumberFormat="1" applyFont="1" applyFill="1" applyBorder="1" applyAlignment="1" applyProtection="1">
      <alignment vertical="center"/>
      <protection hidden="1"/>
    </xf>
    <xf numFmtId="2" fontId="90" fillId="0" borderId="0" xfId="0" applyNumberFormat="1" applyFont="1" applyFill="1" applyBorder="1" applyAlignment="1" applyProtection="1">
      <alignment horizontal="centerContinuous" vertical="center"/>
      <protection hidden="1"/>
    </xf>
    <xf numFmtId="167" fontId="74" fillId="7" borderId="0" xfId="0" applyNumberFormat="1" applyFont="1" applyFill="1" applyBorder="1" applyAlignment="1" applyProtection="1">
      <alignment vertical="center"/>
      <protection hidden="1"/>
    </xf>
    <xf numFmtId="167" fontId="79" fillId="8" borderId="16" xfId="0" applyNumberFormat="1" applyFont="1" applyFill="1" applyBorder="1" applyAlignment="1" applyProtection="1">
      <alignment vertical="center"/>
      <protection hidden="1"/>
    </xf>
    <xf numFmtId="2" fontId="79" fillId="0" borderId="17" xfId="0" applyNumberFormat="1" applyFont="1" applyFill="1" applyBorder="1" applyAlignment="1" applyProtection="1">
      <alignment vertical="center"/>
      <protection hidden="1"/>
    </xf>
    <xf numFmtId="2" fontId="79" fillId="0" borderId="9" xfId="0" applyNumberFormat="1" applyFont="1" applyFill="1" applyBorder="1" applyAlignment="1" applyProtection="1">
      <alignment vertical="center"/>
      <protection hidden="1"/>
    </xf>
    <xf numFmtId="2" fontId="79" fillId="0" borderId="10" xfId="0" applyNumberFormat="1" applyFont="1" applyFill="1" applyBorder="1" applyAlignment="1" applyProtection="1">
      <alignment vertical="center"/>
      <protection hidden="1"/>
    </xf>
    <xf numFmtId="2" fontId="79" fillId="0" borderId="11" xfId="0" applyNumberFormat="1" applyFont="1" applyFill="1" applyBorder="1" applyAlignment="1" applyProtection="1">
      <alignment vertical="center"/>
      <protection hidden="1"/>
    </xf>
    <xf numFmtId="2" fontId="79" fillId="8" borderId="0" xfId="0" applyNumberFormat="1" applyFont="1" applyFill="1" applyBorder="1" applyAlignment="1" applyProtection="1">
      <alignment vertical="center"/>
      <protection hidden="1"/>
    </xf>
    <xf numFmtId="0" fontId="79" fillId="0" borderId="9" xfId="0" applyNumberFormat="1" applyFont="1" applyFill="1" applyBorder="1" applyAlignment="1" applyProtection="1">
      <alignment vertical="center"/>
      <protection locked="0"/>
    </xf>
    <xf numFmtId="0" fontId="79" fillId="0" borderId="10" xfId="0" applyNumberFormat="1" applyFont="1" applyFill="1" applyBorder="1" applyAlignment="1" applyProtection="1">
      <alignment vertical="center"/>
      <protection locked="0"/>
    </xf>
    <xf numFmtId="0" fontId="79" fillId="0" borderId="11" xfId="0" applyNumberFormat="1" applyFont="1" applyFill="1" applyBorder="1" applyAlignment="1" applyProtection="1">
      <alignment vertical="center"/>
      <protection locked="0"/>
    </xf>
    <xf numFmtId="2" fontId="74" fillId="8" borderId="17" xfId="0" applyNumberFormat="1" applyFont="1" applyFill="1" applyBorder="1" applyAlignment="1" applyProtection="1">
      <alignment vertical="center"/>
      <protection hidden="1"/>
    </xf>
    <xf numFmtId="3" fontId="91" fillId="9" borderId="24" xfId="0" applyNumberFormat="1" applyFont="1" applyFill="1" applyBorder="1" applyAlignment="1" applyProtection="1">
      <alignment horizontal="centerContinuous" vertical="center" wrapText="1"/>
    </xf>
    <xf numFmtId="3" fontId="91" fillId="9" borderId="16" xfId="0" applyNumberFormat="1" applyFont="1" applyFill="1" applyBorder="1" applyAlignment="1" applyProtection="1">
      <alignment horizontal="center" vertical="center" wrapText="1"/>
    </xf>
    <xf numFmtId="3" fontId="91" fillId="9" borderId="22" xfId="0" applyNumberFormat="1" applyFont="1" applyFill="1" applyBorder="1" applyAlignment="1" applyProtection="1">
      <alignment horizontal="center" vertical="center" wrapText="1"/>
    </xf>
    <xf numFmtId="3" fontId="91" fillId="9" borderId="15" xfId="0" applyNumberFormat="1" applyFont="1" applyFill="1" applyBorder="1" applyAlignment="1" applyProtection="1">
      <alignment horizontal="center" vertical="center" wrapText="1"/>
    </xf>
    <xf numFmtId="0" fontId="80" fillId="9" borderId="25" xfId="0" applyFont="1" applyFill="1" applyBorder="1" applyAlignment="1">
      <alignment horizontal="centerContinuous" wrapText="1"/>
    </xf>
    <xf numFmtId="0" fontId="80" fillId="9" borderId="16" xfId="0" applyFont="1" applyFill="1" applyBorder="1" applyAlignment="1">
      <alignment horizontal="center" wrapText="1"/>
    </xf>
    <xf numFmtId="0" fontId="84" fillId="11" borderId="0" xfId="0" applyFont="1" applyFill="1" applyProtection="1">
      <protection hidden="1"/>
    </xf>
    <xf numFmtId="2" fontId="92" fillId="0" borderId="0" xfId="0" applyNumberFormat="1" applyFont="1" applyFill="1" applyBorder="1" applyAlignment="1" applyProtection="1">
      <alignment horizontal="centerContinuous" vertical="center"/>
      <protection hidden="1"/>
    </xf>
    <xf numFmtId="2" fontId="87" fillId="7" borderId="0" xfId="0" applyNumberFormat="1" applyFont="1" applyFill="1" applyBorder="1" applyAlignment="1" applyProtection="1">
      <alignment vertical="center"/>
      <protection hidden="1"/>
    </xf>
    <xf numFmtId="2" fontId="86" fillId="0" borderId="0" xfId="0" applyNumberFormat="1" applyFont="1" applyFill="1" applyBorder="1" applyAlignment="1" applyProtection="1">
      <alignment vertical="center"/>
      <protection hidden="1"/>
    </xf>
    <xf numFmtId="0" fontId="87" fillId="0" borderId="16" xfId="0" applyNumberFormat="1" applyFont="1" applyFill="1" applyBorder="1" applyAlignment="1" applyProtection="1">
      <alignment horizontal="center" vertical="center"/>
      <protection hidden="1"/>
    </xf>
    <xf numFmtId="2" fontId="86" fillId="0" borderId="16" xfId="0" applyNumberFormat="1" applyFont="1" applyFill="1" applyBorder="1" applyAlignment="1" applyProtection="1">
      <alignment vertical="center"/>
      <protection hidden="1"/>
    </xf>
    <xf numFmtId="167" fontId="87" fillId="7" borderId="0" xfId="0" applyNumberFormat="1" applyFont="1" applyFill="1" applyBorder="1" applyAlignment="1" applyProtection="1">
      <alignment vertical="center"/>
      <protection hidden="1"/>
    </xf>
    <xf numFmtId="167" fontId="86" fillId="8" borderId="16" xfId="0" applyNumberFormat="1" applyFont="1" applyFill="1" applyBorder="1" applyAlignment="1" applyProtection="1">
      <alignment vertical="center"/>
      <protection hidden="1"/>
    </xf>
    <xf numFmtId="2" fontId="86" fillId="0" borderId="17" xfId="0" applyNumberFormat="1" applyFont="1" applyFill="1" applyBorder="1" applyAlignment="1" applyProtection="1">
      <alignment vertical="center"/>
      <protection hidden="1"/>
    </xf>
    <xf numFmtId="2" fontId="86" fillId="0" borderId="9" xfId="0" applyNumberFormat="1" applyFont="1" applyFill="1" applyBorder="1" applyAlignment="1" applyProtection="1">
      <alignment vertical="center"/>
      <protection hidden="1"/>
    </xf>
    <xf numFmtId="2" fontId="86" fillId="0" borderId="10" xfId="0" applyNumberFormat="1" applyFont="1" applyFill="1" applyBorder="1" applyAlignment="1" applyProtection="1">
      <alignment vertical="center"/>
      <protection hidden="1"/>
    </xf>
    <xf numFmtId="2" fontId="86" fillId="0" borderId="11" xfId="0" applyNumberFormat="1" applyFont="1" applyFill="1" applyBorder="1" applyAlignment="1" applyProtection="1">
      <alignment vertical="center"/>
      <protection hidden="1"/>
    </xf>
    <xf numFmtId="2" fontId="86" fillId="8" borderId="0" xfId="0" applyNumberFormat="1" applyFont="1" applyFill="1" applyBorder="1" applyAlignment="1" applyProtection="1">
      <alignment vertical="center"/>
      <protection hidden="1"/>
    </xf>
    <xf numFmtId="0" fontId="86" fillId="0" borderId="9" xfId="0" applyNumberFormat="1" applyFont="1" applyFill="1" applyBorder="1" applyAlignment="1" applyProtection="1">
      <alignment vertical="center"/>
      <protection locked="0"/>
    </xf>
    <xf numFmtId="0" fontId="86" fillId="0" borderId="10" xfId="0" applyNumberFormat="1" applyFont="1" applyFill="1" applyBorder="1" applyAlignment="1" applyProtection="1">
      <alignment vertical="center"/>
      <protection locked="0"/>
    </xf>
    <xf numFmtId="0" fontId="86" fillId="0" borderId="11" xfId="0" applyNumberFormat="1" applyFont="1" applyFill="1" applyBorder="1" applyAlignment="1" applyProtection="1">
      <alignment vertical="center"/>
      <protection locked="0"/>
    </xf>
    <xf numFmtId="2" fontId="87" fillId="8" borderId="17" xfId="0" applyNumberFormat="1" applyFont="1" applyFill="1" applyBorder="1" applyAlignment="1" applyProtection="1">
      <alignment vertical="center"/>
      <protection hidden="1"/>
    </xf>
    <xf numFmtId="3" fontId="93" fillId="9" borderId="18" xfId="0" applyNumberFormat="1" applyFont="1" applyFill="1" applyBorder="1" applyAlignment="1" applyProtection="1">
      <alignment horizontal="centerContinuous" vertical="center" wrapText="1"/>
    </xf>
    <xf numFmtId="3" fontId="93" fillId="9" borderId="16" xfId="0" applyNumberFormat="1" applyFont="1" applyFill="1" applyBorder="1" applyAlignment="1" applyProtection="1">
      <alignment horizontal="center" vertical="center" wrapText="1"/>
    </xf>
    <xf numFmtId="3" fontId="93" fillId="9" borderId="17" xfId="0" applyNumberFormat="1" applyFont="1" applyFill="1" applyBorder="1" applyAlignment="1" applyProtection="1">
      <alignment horizontal="center" vertical="center" wrapText="1"/>
    </xf>
    <xf numFmtId="3" fontId="93" fillId="9" borderId="15" xfId="0" applyNumberFormat="1" applyFont="1" applyFill="1" applyBorder="1" applyAlignment="1" applyProtection="1">
      <alignment horizontal="center" vertical="center" wrapText="1"/>
    </xf>
    <xf numFmtId="0" fontId="94" fillId="9" borderId="18" xfId="0" applyFont="1" applyFill="1" applyBorder="1" applyAlignment="1">
      <alignment horizontal="centerContinuous" wrapText="1"/>
    </xf>
    <xf numFmtId="0" fontId="94" fillId="9" borderId="16" xfId="0" applyFont="1" applyFill="1" applyBorder="1" applyAlignment="1">
      <alignment horizontal="center" wrapText="1"/>
    </xf>
    <xf numFmtId="0" fontId="95" fillId="0" borderId="0" xfId="0" applyFont="1" applyProtection="1">
      <protection hidden="1"/>
    </xf>
    <xf numFmtId="0" fontId="95" fillId="11" borderId="0" xfId="0" applyFont="1" applyFill="1" applyProtection="1">
      <protection hidden="1"/>
    </xf>
    <xf numFmtId="2" fontId="96" fillId="0" borderId="0" xfId="0" applyNumberFormat="1" applyFont="1" applyFill="1" applyBorder="1" applyAlignment="1" applyProtection="1">
      <alignment horizontal="centerContinuous" vertical="center"/>
      <protection hidden="1"/>
    </xf>
    <xf numFmtId="2" fontId="89" fillId="7" borderId="0" xfId="0" applyNumberFormat="1" applyFont="1" applyFill="1" applyBorder="1" applyAlignment="1" applyProtection="1">
      <alignment vertical="center"/>
      <protection hidden="1"/>
    </xf>
    <xf numFmtId="2" fontId="88" fillId="0" borderId="0" xfId="0" applyNumberFormat="1" applyFont="1" applyFill="1" applyBorder="1" applyAlignment="1" applyProtection="1">
      <alignment vertical="center"/>
      <protection hidden="1"/>
    </xf>
    <xf numFmtId="0" fontId="89" fillId="0" borderId="16" xfId="0" applyNumberFormat="1" applyFont="1" applyFill="1" applyBorder="1" applyAlignment="1" applyProtection="1">
      <alignment horizontal="center" vertical="center"/>
      <protection hidden="1"/>
    </xf>
    <xf numFmtId="2" fontId="88" fillId="0" borderId="16" xfId="0" applyNumberFormat="1" applyFont="1" applyFill="1" applyBorder="1" applyAlignment="1" applyProtection="1">
      <alignment vertical="center"/>
      <protection hidden="1"/>
    </xf>
    <xf numFmtId="167" fontId="89" fillId="7" borderId="0" xfId="0" applyNumberFormat="1" applyFont="1" applyFill="1" applyBorder="1" applyAlignment="1" applyProtection="1">
      <alignment vertical="center"/>
      <protection hidden="1"/>
    </xf>
    <xf numFmtId="167" fontId="88" fillId="8" borderId="16" xfId="0" applyNumberFormat="1" applyFont="1" applyFill="1" applyBorder="1" applyAlignment="1" applyProtection="1">
      <alignment vertical="center"/>
      <protection hidden="1"/>
    </xf>
    <xf numFmtId="2" fontId="88" fillId="0" borderId="17" xfId="0" applyNumberFormat="1" applyFont="1" applyFill="1" applyBorder="1" applyAlignment="1" applyProtection="1">
      <alignment vertical="center"/>
      <protection hidden="1"/>
    </xf>
    <xf numFmtId="2" fontId="88" fillId="0" borderId="9" xfId="0" applyNumberFormat="1" applyFont="1" applyFill="1" applyBorder="1" applyAlignment="1" applyProtection="1">
      <alignment vertical="center"/>
      <protection hidden="1"/>
    </xf>
    <xf numFmtId="2" fontId="88" fillId="0" borderId="10" xfId="0" applyNumberFormat="1" applyFont="1" applyFill="1" applyBorder="1" applyAlignment="1" applyProtection="1">
      <alignment vertical="center"/>
      <protection hidden="1"/>
    </xf>
    <xf numFmtId="2" fontId="88" fillId="0" borderId="11" xfId="0" applyNumberFormat="1" applyFont="1" applyFill="1" applyBorder="1" applyAlignment="1" applyProtection="1">
      <alignment vertical="center"/>
      <protection hidden="1"/>
    </xf>
    <xf numFmtId="2" fontId="88" fillId="8" borderId="0" xfId="0" applyNumberFormat="1" applyFont="1" applyFill="1" applyBorder="1" applyAlignment="1" applyProtection="1">
      <alignment vertical="center"/>
      <protection hidden="1"/>
    </xf>
    <xf numFmtId="0" fontId="88" fillId="0" borderId="9" xfId="0" applyNumberFormat="1" applyFont="1" applyFill="1" applyBorder="1" applyAlignment="1" applyProtection="1">
      <alignment vertical="center"/>
      <protection locked="0"/>
    </xf>
    <xf numFmtId="0" fontId="88" fillId="0" borderId="10" xfId="0" applyNumberFormat="1" applyFont="1" applyFill="1" applyBorder="1" applyAlignment="1" applyProtection="1">
      <alignment vertical="center"/>
      <protection locked="0"/>
    </xf>
    <xf numFmtId="0" fontId="88" fillId="0" borderId="11" xfId="0" applyNumberFormat="1" applyFont="1" applyFill="1" applyBorder="1" applyAlignment="1" applyProtection="1">
      <alignment vertical="center"/>
      <protection locked="0"/>
    </xf>
    <xf numFmtId="2" fontId="89" fillId="8" borderId="17" xfId="0" applyNumberFormat="1" applyFont="1" applyFill="1" applyBorder="1" applyAlignment="1" applyProtection="1">
      <alignment vertical="center"/>
      <protection hidden="1"/>
    </xf>
    <xf numFmtId="3" fontId="97" fillId="9" borderId="17" xfId="0" applyNumberFormat="1" applyFont="1" applyFill="1" applyBorder="1" applyAlignment="1" applyProtection="1">
      <alignment horizontal="center" vertical="center" wrapText="1"/>
    </xf>
    <xf numFmtId="3" fontId="97" fillId="9" borderId="15" xfId="0" applyNumberFormat="1" applyFont="1" applyFill="1" applyBorder="1" applyAlignment="1" applyProtection="1">
      <alignment horizontal="center" vertical="center" wrapText="1"/>
    </xf>
    <xf numFmtId="0" fontId="98" fillId="9" borderId="24" xfId="0" applyFont="1" applyFill="1" applyBorder="1" applyAlignment="1">
      <alignment horizontal="centerContinuous" wrapText="1"/>
    </xf>
    <xf numFmtId="0" fontId="98" fillId="9" borderId="16" xfId="0" applyFont="1" applyFill="1" applyBorder="1" applyAlignment="1">
      <alignment horizontal="center" wrapText="1"/>
    </xf>
    <xf numFmtId="0" fontId="99" fillId="0" borderId="0" xfId="0" applyFont="1" applyProtection="1">
      <protection hidden="1"/>
    </xf>
    <xf numFmtId="0" fontId="99" fillId="11" borderId="0" xfId="0" applyFont="1" applyFill="1" applyProtection="1">
      <protection hidden="1"/>
    </xf>
    <xf numFmtId="0" fontId="86" fillId="0" borderId="16" xfId="0" applyNumberFormat="1" applyFont="1" applyFill="1" applyBorder="1" applyAlignment="1" applyProtection="1">
      <alignment vertical="center"/>
      <protection hidden="1"/>
    </xf>
    <xf numFmtId="0" fontId="88" fillId="0" borderId="16" xfId="0" applyNumberFormat="1" applyFont="1" applyFill="1" applyBorder="1" applyAlignment="1" applyProtection="1">
      <alignment vertical="center"/>
      <protection hidden="1"/>
    </xf>
    <xf numFmtId="0" fontId="87" fillId="0" borderId="0" xfId="0" applyNumberFormat="1" applyFont="1" applyFill="1" applyBorder="1" applyAlignment="1" applyProtection="1">
      <alignment horizontal="center" vertical="center"/>
      <protection hidden="1"/>
    </xf>
    <xf numFmtId="0" fontId="74" fillId="0" borderId="0" xfId="0" applyNumberFormat="1" applyFont="1" applyFill="1" applyBorder="1" applyAlignment="1" applyProtection="1">
      <alignment horizontal="center" vertical="center"/>
      <protection hidden="1"/>
    </xf>
    <xf numFmtId="0" fontId="43" fillId="9" borderId="22" xfId="0" applyFont="1" applyFill="1" applyBorder="1" applyAlignment="1">
      <alignment horizontal="center" wrapText="1"/>
    </xf>
    <xf numFmtId="0" fontId="43" fillId="9" borderId="29" xfId="0" applyFont="1" applyFill="1" applyBorder="1" applyAlignment="1">
      <alignment horizontal="center" wrapText="1"/>
    </xf>
    <xf numFmtId="0" fontId="74" fillId="7" borderId="0" xfId="0" applyNumberFormat="1" applyFont="1" applyFill="1" applyBorder="1" applyAlignment="1" applyProtection="1">
      <alignment vertical="center"/>
      <protection hidden="1"/>
    </xf>
    <xf numFmtId="0" fontId="79" fillId="0" borderId="16" xfId="0" applyNumberFormat="1" applyFont="1" applyFill="1" applyBorder="1" applyAlignment="1" applyProtection="1">
      <alignment horizontal="center" vertical="center"/>
      <protection hidden="1"/>
    </xf>
    <xf numFmtId="0" fontId="74" fillId="3" borderId="16" xfId="0" applyNumberFormat="1" applyFont="1" applyFill="1" applyBorder="1" applyAlignment="1" applyProtection="1">
      <alignment vertical="center"/>
      <protection hidden="1"/>
    </xf>
    <xf numFmtId="0" fontId="79" fillId="3" borderId="16" xfId="0" applyNumberFormat="1" applyFont="1" applyFill="1" applyBorder="1" applyAlignment="1" applyProtection="1">
      <alignment vertical="center"/>
      <protection hidden="1"/>
    </xf>
    <xf numFmtId="0" fontId="79" fillId="0" borderId="0" xfId="0" applyNumberFormat="1" applyFont="1" applyFill="1" applyBorder="1" applyAlignment="1" applyProtection="1">
      <alignment horizontal="center" vertical="center"/>
      <protection hidden="1"/>
    </xf>
    <xf numFmtId="0" fontId="89" fillId="0" borderId="16" xfId="0" applyNumberFormat="1" applyFont="1" applyFill="1" applyBorder="1" applyAlignment="1" applyProtection="1">
      <alignment horizontal="center" vertical="center"/>
      <protection hidden="1"/>
    </xf>
    <xf numFmtId="0" fontId="74" fillId="11" borderId="16" xfId="0" applyNumberFormat="1" applyFont="1" applyFill="1" applyBorder="1" applyAlignment="1" applyProtection="1">
      <alignment vertical="center"/>
      <protection hidden="1"/>
    </xf>
    <xf numFmtId="0" fontId="74" fillId="11" borderId="16" xfId="0" applyNumberFormat="1" applyFont="1" applyFill="1" applyBorder="1" applyAlignment="1" applyProtection="1">
      <alignment horizontal="center" vertical="center"/>
      <protection hidden="1"/>
    </xf>
    <xf numFmtId="0" fontId="74" fillId="11" borderId="16" xfId="1" applyNumberFormat="1" applyFont="1" applyFill="1" applyBorder="1" applyAlignment="1" applyProtection="1">
      <alignment horizontal="center" vertical="center"/>
      <protection hidden="1"/>
    </xf>
    <xf numFmtId="0" fontId="86" fillId="0" borderId="16" xfId="0" applyNumberFormat="1" applyFont="1" applyFill="1" applyBorder="1" applyAlignment="1" applyProtection="1">
      <alignment horizontal="center" vertical="center"/>
      <protection hidden="1"/>
    </xf>
    <xf numFmtId="0" fontId="79" fillId="11" borderId="16" xfId="1" applyNumberFormat="1" applyFont="1" applyFill="1" applyBorder="1" applyAlignment="1" applyProtection="1">
      <alignment horizontal="center" vertical="center"/>
      <protection hidden="1"/>
    </xf>
    <xf numFmtId="0" fontId="79" fillId="11" borderId="16" xfId="0" applyNumberFormat="1" applyFont="1" applyFill="1" applyBorder="1" applyAlignment="1" applyProtection="1">
      <alignment horizontal="center" vertical="center"/>
      <protection hidden="1"/>
    </xf>
    <xf numFmtId="0" fontId="86" fillId="0" borderId="16" xfId="0" applyNumberFormat="1" applyFont="1" applyFill="1" applyBorder="1" applyAlignment="1" applyProtection="1">
      <alignment horizontal="center" vertical="center"/>
      <protection hidden="1"/>
    </xf>
    <xf numFmtId="0" fontId="88" fillId="0" borderId="16" xfId="0" applyNumberFormat="1" applyFont="1" applyFill="1" applyBorder="1" applyAlignment="1" applyProtection="1">
      <alignment horizontal="center" vertical="center"/>
      <protection hidden="1"/>
    </xf>
    <xf numFmtId="0" fontId="74" fillId="0" borderId="30" xfId="0" applyNumberFormat="1" applyFont="1" applyFill="1" applyBorder="1" applyAlignment="1" applyProtection="1">
      <alignment vertical="center"/>
      <protection hidden="1"/>
    </xf>
    <xf numFmtId="0" fontId="74" fillId="0" borderId="16" xfId="0" applyNumberFormat="1" applyFont="1" applyFill="1" applyBorder="1" applyAlignment="1" applyProtection="1">
      <alignment vertical="center"/>
      <protection hidden="1"/>
    </xf>
    <xf numFmtId="0" fontId="79" fillId="0" borderId="24" xfId="0" applyNumberFormat="1" applyFont="1" applyFill="1" applyBorder="1" applyAlignment="1" applyProtection="1">
      <alignment vertical="center"/>
      <protection hidden="1"/>
    </xf>
    <xf numFmtId="0" fontId="79" fillId="0" borderId="25" xfId="0" applyNumberFormat="1" applyFont="1" applyFill="1" applyBorder="1" applyAlignment="1" applyProtection="1">
      <alignment vertical="center"/>
      <protection hidden="1"/>
    </xf>
    <xf numFmtId="0" fontId="79" fillId="0" borderId="18" xfId="0" applyNumberFormat="1" applyFont="1" applyFill="1" applyBorder="1" applyAlignment="1" applyProtection="1">
      <alignment vertical="center"/>
      <protection hidden="1"/>
    </xf>
    <xf numFmtId="0" fontId="79" fillId="0" borderId="30" xfId="0" applyNumberFormat="1" applyFont="1" applyFill="1" applyBorder="1" applyAlignment="1" applyProtection="1">
      <alignment vertical="center"/>
      <protection hidden="1"/>
    </xf>
    <xf numFmtId="0" fontId="79" fillId="0" borderId="16" xfId="0" applyNumberFormat="1" applyFont="1" applyBorder="1" applyAlignment="1" applyProtection="1">
      <alignment horizontal="center" vertical="top"/>
      <protection hidden="1"/>
    </xf>
    <xf numFmtId="0" fontId="79" fillId="0" borderId="0" xfId="0" applyNumberFormat="1" applyFont="1" applyFill="1" applyBorder="1" applyAlignment="1" applyProtection="1">
      <alignment horizontal="left" vertical="center"/>
      <protection hidden="1"/>
    </xf>
    <xf numFmtId="0" fontId="86" fillId="0" borderId="0" xfId="0" applyNumberFormat="1" applyFont="1" applyFill="1" applyBorder="1" applyAlignment="1" applyProtection="1">
      <alignment horizontal="left" vertical="center"/>
      <protection hidden="1"/>
    </xf>
    <xf numFmtId="0" fontId="79" fillId="0" borderId="0" xfId="0" applyNumberFormat="1" applyFont="1" applyAlignment="1"/>
    <xf numFmtId="0" fontId="86" fillId="0" borderId="0" xfId="0" applyNumberFormat="1" applyFont="1" applyAlignment="1"/>
    <xf numFmtId="0" fontId="79" fillId="0" borderId="16" xfId="0" applyNumberFormat="1" applyFont="1" applyBorder="1" applyAlignment="1">
      <alignment horizontal="center" vertical="center"/>
    </xf>
    <xf numFmtId="0" fontId="5" fillId="0" borderId="0" xfId="0" applyNumberFormat="1" applyFont="1" applyFill="1" applyBorder="1" applyAlignment="1" applyProtection="1">
      <alignment horizontal="justify" vertical="center"/>
      <protection hidden="1"/>
    </xf>
    <xf numFmtId="0" fontId="74" fillId="11" borderId="16" xfId="0" applyNumberFormat="1" applyFont="1" applyFill="1" applyBorder="1" applyAlignment="1">
      <alignment horizontal="center" vertical="center"/>
    </xf>
    <xf numFmtId="0" fontId="79" fillId="0" borderId="0" xfId="0" applyNumberFormat="1" applyFont="1" applyAlignment="1" applyProtection="1">
      <protection hidden="1"/>
    </xf>
    <xf numFmtId="0" fontId="86" fillId="0" borderId="0" xfId="0" applyNumberFormat="1" applyFont="1" applyAlignment="1" applyProtection="1">
      <protection hidden="1"/>
    </xf>
    <xf numFmtId="0" fontId="88" fillId="0" borderId="0" xfId="0" applyNumberFormat="1" applyFont="1" applyAlignment="1" applyProtection="1">
      <protection hidden="1"/>
    </xf>
    <xf numFmtId="0" fontId="5" fillId="0" borderId="0" xfId="0" applyNumberFormat="1" applyFont="1" applyAlignment="1" applyProtection="1">
      <protection hidden="1"/>
    </xf>
    <xf numFmtId="0" fontId="5" fillId="0" borderId="0" xfId="0" applyNumberFormat="1" applyFont="1" applyProtection="1">
      <protection hidden="1"/>
    </xf>
    <xf numFmtId="0" fontId="88" fillId="0" borderId="16" xfId="0" applyNumberFormat="1" applyFont="1" applyBorder="1" applyAlignment="1" applyProtection="1">
      <protection hidden="1"/>
    </xf>
    <xf numFmtId="0" fontId="5" fillId="0" borderId="16" xfId="0" applyNumberFormat="1" applyFont="1" applyBorder="1" applyAlignment="1" applyProtection="1">
      <protection hidden="1"/>
    </xf>
    <xf numFmtId="0" fontId="74" fillId="17" borderId="16" xfId="0" applyNumberFormat="1" applyFont="1" applyFill="1" applyBorder="1" applyAlignment="1">
      <alignment horizontal="center" vertical="center"/>
    </xf>
    <xf numFmtId="0" fontId="79" fillId="17" borderId="16" xfId="0" applyNumberFormat="1" applyFont="1" applyFill="1" applyBorder="1" applyAlignment="1">
      <alignment horizontal="center" vertical="center"/>
    </xf>
    <xf numFmtId="0" fontId="79" fillId="0" borderId="0" xfId="0" applyNumberFormat="1" applyFont="1" applyBorder="1" applyAlignment="1" applyProtection="1">
      <alignment horizontal="center" vertical="top"/>
      <protection hidden="1"/>
    </xf>
    <xf numFmtId="0" fontId="100" fillId="0" borderId="0" xfId="0" applyNumberFormat="1" applyFont="1" applyAlignment="1"/>
    <xf numFmtId="0" fontId="101" fillId="0" borderId="0" xfId="0" applyNumberFormat="1" applyFont="1" applyAlignment="1"/>
    <xf numFmtId="0" fontId="102" fillId="0" borderId="0" xfId="0" applyNumberFormat="1" applyFont="1" applyAlignment="1"/>
    <xf numFmtId="0" fontId="103" fillId="0" borderId="0" xfId="0" applyNumberFormat="1" applyFont="1" applyAlignment="1"/>
    <xf numFmtId="0" fontId="74" fillId="0" borderId="0" xfId="0" applyNumberFormat="1" applyFont="1" applyAlignment="1" applyProtection="1">
      <protection hidden="1"/>
    </xf>
    <xf numFmtId="0" fontId="79" fillId="11" borderId="24" xfId="0" applyNumberFormat="1" applyFont="1" applyFill="1" applyBorder="1" applyAlignment="1" applyProtection="1">
      <alignment vertical="center"/>
      <protection hidden="1"/>
    </xf>
    <xf numFmtId="0" fontId="79" fillId="11" borderId="25" xfId="0" applyNumberFormat="1" applyFont="1" applyFill="1" applyBorder="1" applyAlignment="1" applyProtection="1">
      <alignment vertical="center"/>
      <protection hidden="1"/>
    </xf>
    <xf numFmtId="0" fontId="79" fillId="11" borderId="18" xfId="0" applyNumberFormat="1" applyFont="1" applyFill="1" applyBorder="1" applyAlignment="1" applyProtection="1">
      <alignment vertical="center"/>
      <protection hidden="1"/>
    </xf>
    <xf numFmtId="0" fontId="79" fillId="0" borderId="16" xfId="0" applyNumberFormat="1" applyFont="1" applyBorder="1" applyAlignment="1" applyProtection="1">
      <protection hidden="1"/>
    </xf>
    <xf numFmtId="0" fontId="79" fillId="0" borderId="18" xfId="0" applyNumberFormat="1" applyFont="1" applyFill="1" applyBorder="1" applyAlignment="1" applyProtection="1">
      <alignment horizontal="center" vertical="center"/>
      <protection hidden="1"/>
    </xf>
    <xf numFmtId="0" fontId="79" fillId="0" borderId="18" xfId="0" applyNumberFormat="1" applyFont="1" applyBorder="1" applyAlignment="1" applyProtection="1">
      <alignment horizontal="center" vertical="top"/>
      <protection hidden="1"/>
    </xf>
    <xf numFmtId="0" fontId="79" fillId="0" borderId="16" xfId="0" applyNumberFormat="1" applyFont="1" applyFill="1" applyBorder="1" applyAlignment="1" applyProtection="1">
      <alignment horizontal="left" vertical="center"/>
      <protection hidden="1"/>
    </xf>
    <xf numFmtId="0" fontId="79" fillId="0" borderId="24" xfId="0" applyNumberFormat="1" applyFont="1" applyFill="1" applyBorder="1" applyAlignment="1" applyProtection="1">
      <alignment horizontal="left" vertical="center"/>
      <protection hidden="1"/>
    </xf>
    <xf numFmtId="0" fontId="79" fillId="0" borderId="16" xfId="0" applyNumberFormat="1" applyFont="1" applyBorder="1" applyAlignment="1"/>
    <xf numFmtId="0" fontId="74" fillId="0" borderId="16" xfId="0" applyNumberFormat="1" applyFont="1" applyBorder="1" applyAlignment="1"/>
    <xf numFmtId="0" fontId="79" fillId="11" borderId="16" xfId="0" applyNumberFormat="1" applyFont="1" applyFill="1" applyBorder="1" applyAlignment="1" applyProtection="1">
      <protection hidden="1"/>
    </xf>
    <xf numFmtId="0" fontId="79" fillId="11" borderId="16" xfId="0" applyNumberFormat="1" applyFont="1" applyFill="1" applyBorder="1" applyAlignment="1">
      <alignment vertical="center"/>
    </xf>
    <xf numFmtId="0" fontId="79" fillId="11" borderId="16" xfId="0" applyNumberFormat="1" applyFont="1" applyFill="1" applyBorder="1" applyAlignment="1">
      <alignment horizontal="center" vertical="center"/>
    </xf>
    <xf numFmtId="0" fontId="79" fillId="11" borderId="16" xfId="0" applyNumberFormat="1" applyFont="1" applyFill="1" applyBorder="1" applyAlignment="1">
      <alignment horizontal="justify" vertical="center"/>
    </xf>
    <xf numFmtId="0" fontId="74" fillId="11" borderId="16" xfId="0" applyNumberFormat="1" applyFont="1" applyFill="1" applyBorder="1" applyAlignment="1" applyProtection="1">
      <protection hidden="1"/>
    </xf>
    <xf numFmtId="0" fontId="74" fillId="17" borderId="16" xfId="0" applyNumberFormat="1" applyFont="1" applyFill="1" applyBorder="1" applyAlignment="1">
      <alignment vertical="center"/>
    </xf>
    <xf numFmtId="0" fontId="79" fillId="17" borderId="16" xfId="0" applyNumberFormat="1" applyFont="1" applyFill="1" applyBorder="1" applyAlignment="1">
      <alignment horizontal="left" vertical="center"/>
    </xf>
    <xf numFmtId="0" fontId="86" fillId="0" borderId="16" xfId="0" applyNumberFormat="1" applyFont="1" applyBorder="1" applyAlignment="1" applyProtection="1">
      <protection hidden="1"/>
    </xf>
    <xf numFmtId="0" fontId="74" fillId="11" borderId="24" xfId="1" applyNumberFormat="1" applyFont="1" applyFill="1" applyBorder="1" applyAlignment="1" applyProtection="1">
      <alignment horizontal="center" vertical="center"/>
      <protection hidden="1"/>
    </xf>
    <xf numFmtId="0" fontId="79" fillId="11" borderId="24" xfId="1" applyNumberFormat="1" applyFont="1" applyFill="1" applyBorder="1" applyAlignment="1" applyProtection="1">
      <alignment horizontal="center" vertical="center"/>
      <protection hidden="1"/>
    </xf>
    <xf numFmtId="0" fontId="87" fillId="0" borderId="16" xfId="0" applyNumberFormat="1" applyFont="1" applyFill="1" applyBorder="1" applyAlignment="1" applyProtection="1">
      <alignment vertical="center"/>
      <protection hidden="1"/>
    </xf>
    <xf numFmtId="0" fontId="86" fillId="0" borderId="17" xfId="0" applyNumberFormat="1" applyFont="1" applyFill="1" applyBorder="1" applyAlignment="1" applyProtection="1">
      <alignment horizontal="center" vertical="center"/>
      <protection hidden="1"/>
    </xf>
    <xf numFmtId="0" fontId="87" fillId="2" borderId="16" xfId="0" applyNumberFormat="1" applyFont="1" applyFill="1" applyBorder="1" applyAlignment="1" applyProtection="1">
      <alignment vertical="center"/>
      <protection hidden="1"/>
    </xf>
    <xf numFmtId="0" fontId="86" fillId="2" borderId="16" xfId="0" applyNumberFormat="1" applyFont="1" applyFill="1" applyBorder="1" applyAlignment="1" applyProtection="1">
      <alignment vertical="center"/>
      <protection hidden="1"/>
    </xf>
    <xf numFmtId="0" fontId="86" fillId="3" borderId="16" xfId="0" applyNumberFormat="1" applyFont="1" applyFill="1" applyBorder="1" applyAlignment="1" applyProtection="1">
      <alignment vertical="center"/>
      <protection hidden="1"/>
    </xf>
    <xf numFmtId="0" fontId="86" fillId="0" borderId="16" xfId="0" applyNumberFormat="1" applyFont="1" applyBorder="1" applyAlignment="1" applyProtection="1">
      <alignment horizontal="center" vertical="top"/>
      <protection hidden="1"/>
    </xf>
    <xf numFmtId="0" fontId="86" fillId="0" borderId="16" xfId="0" applyNumberFormat="1" applyFont="1" applyFill="1" applyBorder="1" applyAlignment="1" applyProtection="1">
      <alignment horizontal="left" vertical="center"/>
      <protection hidden="1"/>
    </xf>
    <xf numFmtId="0" fontId="86" fillId="0" borderId="16" xfId="0" applyNumberFormat="1" applyFont="1" applyBorder="1" applyAlignment="1"/>
    <xf numFmtId="0" fontId="86" fillId="11" borderId="0" xfId="0" applyNumberFormat="1" applyFont="1" applyFill="1" applyAlignment="1" applyProtection="1">
      <protection hidden="1"/>
    </xf>
    <xf numFmtId="0" fontId="86" fillId="11" borderId="0" xfId="0" applyNumberFormat="1" applyFont="1" applyFill="1" applyBorder="1" applyAlignment="1" applyProtection="1">
      <protection hidden="1"/>
    </xf>
    <xf numFmtId="0" fontId="86" fillId="11" borderId="0" xfId="0" applyNumberFormat="1" applyFont="1" applyFill="1" applyBorder="1" applyAlignment="1">
      <alignment horizontal="center" vertical="center"/>
    </xf>
    <xf numFmtId="0" fontId="86" fillId="11" borderId="0" xfId="0" applyNumberFormat="1" applyFont="1" applyFill="1" applyBorder="1" applyAlignment="1">
      <alignment horizontal="justify" vertical="center"/>
    </xf>
    <xf numFmtId="0" fontId="87" fillId="11" borderId="0" xfId="0" applyNumberFormat="1" applyFont="1" applyFill="1" applyAlignment="1" applyProtection="1">
      <protection hidden="1"/>
    </xf>
    <xf numFmtId="0" fontId="89" fillId="0" borderId="16" xfId="0" applyNumberFormat="1" applyFont="1" applyFill="1" applyBorder="1" applyAlignment="1" applyProtection="1">
      <alignment vertical="center"/>
      <protection hidden="1"/>
    </xf>
    <xf numFmtId="0" fontId="8" fillId="0" borderId="16" xfId="0" applyNumberFormat="1" applyFont="1" applyFill="1" applyBorder="1" applyAlignment="1" applyProtection="1">
      <alignment vertical="center"/>
      <protection hidden="1"/>
    </xf>
    <xf numFmtId="0" fontId="5" fillId="3" borderId="16" xfId="0" applyNumberFormat="1" applyFont="1" applyFill="1" applyBorder="1" applyAlignment="1" applyProtection="1">
      <alignment vertical="center"/>
      <protection hidden="1"/>
    </xf>
    <xf numFmtId="0" fontId="8" fillId="3" borderId="17" xfId="0" applyNumberFormat="1" applyFont="1" applyFill="1" applyBorder="1" applyAlignment="1" applyProtection="1">
      <alignment horizontal="center" vertical="center"/>
      <protection hidden="1"/>
    </xf>
    <xf numFmtId="0" fontId="8" fillId="3" borderId="15" xfId="0" applyNumberFormat="1" applyFont="1" applyFill="1" applyBorder="1" applyAlignment="1" applyProtection="1">
      <alignment horizontal="center" vertical="center"/>
      <protection hidden="1"/>
    </xf>
    <xf numFmtId="0" fontId="89" fillId="3" borderId="16" xfId="0" applyNumberFormat="1" applyFont="1" applyFill="1" applyBorder="1" applyAlignment="1" applyProtection="1">
      <alignment vertical="center"/>
      <protection hidden="1"/>
    </xf>
    <xf numFmtId="0" fontId="88" fillId="3" borderId="16" xfId="0" applyNumberFormat="1" applyFont="1" applyFill="1" applyBorder="1" applyAlignment="1" applyProtection="1">
      <alignment vertical="center"/>
      <protection hidden="1"/>
    </xf>
    <xf numFmtId="0" fontId="87" fillId="12" borderId="0" xfId="0" applyNumberFormat="1" applyFont="1" applyFill="1" applyBorder="1" applyAlignment="1" applyProtection="1">
      <alignment horizontal="center" vertical="center"/>
      <protection hidden="1"/>
    </xf>
    <xf numFmtId="0" fontId="86" fillId="12" borderId="0" xfId="0" applyNumberFormat="1" applyFont="1" applyFill="1" applyAlignment="1" applyProtection="1">
      <protection hidden="1"/>
    </xf>
    <xf numFmtId="0" fontId="88" fillId="12" borderId="0" xfId="0" applyNumberFormat="1" applyFont="1" applyFill="1" applyAlignment="1" applyProtection="1">
      <protection hidden="1"/>
    </xf>
    <xf numFmtId="0" fontId="5" fillId="0" borderId="16" xfId="0" applyNumberFormat="1" applyFont="1" applyFill="1" applyBorder="1" applyAlignment="1" applyProtection="1">
      <alignment horizontal="left" vertical="center"/>
      <protection hidden="1"/>
    </xf>
    <xf numFmtId="0" fontId="89" fillId="0" borderId="16" xfId="0" applyNumberFormat="1" applyFont="1" applyFill="1" applyBorder="1" applyAlignment="1" applyProtection="1">
      <alignment horizontal="center" vertical="center"/>
      <protection hidden="1"/>
    </xf>
    <xf numFmtId="0" fontId="88" fillId="0" borderId="16" xfId="0" applyNumberFormat="1" applyFont="1" applyFill="1" applyBorder="1" applyAlignment="1" applyProtection="1">
      <alignment horizontal="center" vertical="center"/>
      <protection hidden="1"/>
    </xf>
    <xf numFmtId="0" fontId="86" fillId="0" borderId="16" xfId="0" applyNumberFormat="1" applyFont="1" applyFill="1" applyBorder="1" applyAlignment="1" applyProtection="1">
      <alignment horizontal="center" vertical="center"/>
      <protection hidden="1"/>
    </xf>
    <xf numFmtId="0" fontId="87" fillId="0" borderId="16" xfId="0" applyNumberFormat="1" applyFont="1" applyFill="1" applyBorder="1" applyAlignment="1" applyProtection="1">
      <alignment horizontal="center" vertical="center"/>
      <protection hidden="1"/>
    </xf>
    <xf numFmtId="0" fontId="5" fillId="0" borderId="24" xfId="0" applyNumberFormat="1" applyFont="1" applyFill="1" applyBorder="1" applyAlignment="1" applyProtection="1">
      <alignment vertical="center"/>
      <protection hidden="1"/>
    </xf>
    <xf numFmtId="0" fontId="5" fillId="0" borderId="25" xfId="0" applyNumberFormat="1" applyFont="1" applyFill="1" applyBorder="1" applyAlignment="1" applyProtection="1">
      <alignment vertical="center"/>
      <protection hidden="1"/>
    </xf>
    <xf numFmtId="0" fontId="5" fillId="0" borderId="18" xfId="0" applyNumberFormat="1" applyFont="1" applyFill="1" applyBorder="1" applyAlignment="1" applyProtection="1">
      <alignment vertical="center"/>
      <protection hidden="1"/>
    </xf>
    <xf numFmtId="0" fontId="79" fillId="11" borderId="15" xfId="0" applyNumberFormat="1" applyFont="1" applyFill="1" applyBorder="1" applyAlignment="1" applyProtection="1">
      <alignment vertical="center"/>
      <protection hidden="1"/>
    </xf>
    <xf numFmtId="0" fontId="104" fillId="0" borderId="0" xfId="0" applyNumberFormat="1" applyFont="1" applyAlignment="1"/>
    <xf numFmtId="0" fontId="105" fillId="0" borderId="0" xfId="0" applyNumberFormat="1" applyFont="1" applyAlignment="1"/>
    <xf numFmtId="0" fontId="105" fillId="0" borderId="0" xfId="0" applyNumberFormat="1" applyFont="1" applyAlignment="1" applyProtection="1">
      <protection hidden="1"/>
    </xf>
    <xf numFmtId="0" fontId="106" fillId="0" borderId="0" xfId="0" applyNumberFormat="1" applyFont="1" applyAlignment="1"/>
    <xf numFmtId="0" fontId="105" fillId="0" borderId="16" xfId="0" applyNumberFormat="1" applyFont="1" applyBorder="1" applyAlignment="1" applyProtection="1">
      <protection hidden="1"/>
    </xf>
    <xf numFmtId="0" fontId="105" fillId="0" borderId="16" xfId="0" applyNumberFormat="1" applyFont="1" applyBorder="1" applyAlignment="1"/>
    <xf numFmtId="2" fontId="5" fillId="11" borderId="10" xfId="0" applyNumberFormat="1" applyFont="1" applyFill="1" applyBorder="1" applyAlignment="1" applyProtection="1">
      <alignment vertical="center"/>
      <protection hidden="1"/>
    </xf>
    <xf numFmtId="2" fontId="5" fillId="16" borderId="10" xfId="0" applyNumberFormat="1" applyFont="1" applyFill="1" applyBorder="1" applyAlignment="1" applyProtection="1">
      <alignment vertical="center"/>
      <protection hidden="1"/>
    </xf>
    <xf numFmtId="0" fontId="107" fillId="0" borderId="0" xfId="0" applyFont="1" applyProtection="1">
      <protection hidden="1"/>
    </xf>
    <xf numFmtId="0" fontId="75" fillId="0" borderId="0" xfId="0" applyFont="1" applyProtection="1">
      <protection hidden="1"/>
    </xf>
    <xf numFmtId="2" fontId="79" fillId="11" borderId="0" xfId="0" applyNumberFormat="1" applyFont="1" applyFill="1" applyBorder="1" applyAlignment="1" applyProtection="1">
      <alignment vertical="center"/>
      <protection hidden="1"/>
    </xf>
    <xf numFmtId="2" fontId="86" fillId="11" borderId="0" xfId="0" applyNumberFormat="1" applyFont="1" applyFill="1" applyBorder="1" applyAlignment="1" applyProtection="1">
      <alignment vertical="center"/>
      <protection hidden="1"/>
    </xf>
    <xf numFmtId="2" fontId="88" fillId="11" borderId="0" xfId="0" applyNumberFormat="1" applyFont="1" applyFill="1" applyBorder="1" applyAlignment="1" applyProtection="1">
      <alignment vertical="center"/>
      <protection hidden="1"/>
    </xf>
    <xf numFmtId="2" fontId="5" fillId="11" borderId="0" xfId="0" applyNumberFormat="1" applyFont="1" applyFill="1" applyBorder="1" applyAlignment="1" applyProtection="1">
      <alignment vertical="center"/>
      <protection hidden="1"/>
    </xf>
    <xf numFmtId="0" fontId="95" fillId="11" borderId="0" xfId="0" applyFont="1" applyFill="1" applyBorder="1" applyProtection="1">
      <protection hidden="1"/>
    </xf>
    <xf numFmtId="0" fontId="99" fillId="11" borderId="0" xfId="0" applyFont="1" applyFill="1" applyBorder="1" applyProtection="1">
      <protection hidden="1"/>
    </xf>
    <xf numFmtId="0" fontId="4" fillId="11" borderId="0" xfId="0" applyFont="1" applyFill="1" applyBorder="1" applyProtection="1">
      <protection hidden="1"/>
    </xf>
    <xf numFmtId="0" fontId="84" fillId="11" borderId="0" xfId="0" applyFont="1" applyFill="1" applyBorder="1" applyProtection="1">
      <protection hidden="1"/>
    </xf>
    <xf numFmtId="0" fontId="5" fillId="21" borderId="10" xfId="0" applyNumberFormat="1" applyFont="1" applyFill="1" applyBorder="1" applyAlignment="1" applyProtection="1">
      <alignment vertical="center"/>
      <protection hidden="1"/>
    </xf>
    <xf numFmtId="0" fontId="7" fillId="21" borderId="0" xfId="0" applyFont="1" applyFill="1" applyProtection="1">
      <protection hidden="1"/>
    </xf>
    <xf numFmtId="0" fontId="4" fillId="21" borderId="0" xfId="0" applyFont="1" applyFill="1" applyProtection="1">
      <protection hidden="1"/>
    </xf>
    <xf numFmtId="2" fontId="5" fillId="21" borderId="10" xfId="0" applyNumberFormat="1" applyFont="1" applyFill="1" applyBorder="1" applyAlignment="1" applyProtection="1">
      <alignment vertical="center"/>
      <protection hidden="1"/>
    </xf>
    <xf numFmtId="2" fontId="79" fillId="21" borderId="0" xfId="0" applyNumberFormat="1" applyFont="1" applyFill="1" applyBorder="1" applyAlignment="1" applyProtection="1">
      <alignment vertical="center"/>
      <protection hidden="1"/>
    </xf>
    <xf numFmtId="2" fontId="86" fillId="21" borderId="0" xfId="0" applyNumberFormat="1" applyFont="1" applyFill="1" applyBorder="1" applyAlignment="1" applyProtection="1">
      <alignment vertical="center"/>
      <protection hidden="1"/>
    </xf>
    <xf numFmtId="2" fontId="88" fillId="21" borderId="0" xfId="0" applyNumberFormat="1" applyFont="1" applyFill="1" applyBorder="1" applyAlignment="1" applyProtection="1">
      <alignment vertical="center"/>
      <protection hidden="1"/>
    </xf>
    <xf numFmtId="2" fontId="5" fillId="21" borderId="0" xfId="0" applyNumberFormat="1" applyFont="1" applyFill="1" applyBorder="1" applyAlignment="1" applyProtection="1">
      <alignment vertical="center"/>
      <protection hidden="1"/>
    </xf>
    <xf numFmtId="0" fontId="5" fillId="16" borderId="10" xfId="0" applyNumberFormat="1" applyFont="1" applyFill="1" applyBorder="1" applyAlignment="1" applyProtection="1">
      <alignment vertical="center"/>
      <protection hidden="1"/>
    </xf>
    <xf numFmtId="0" fontId="7" fillId="16" borderId="0" xfId="0" applyFont="1" applyFill="1" applyProtection="1">
      <protection hidden="1"/>
    </xf>
    <xf numFmtId="0" fontId="4" fillId="16" borderId="0" xfId="0" applyFont="1" applyFill="1" applyProtection="1">
      <protection hidden="1"/>
    </xf>
    <xf numFmtId="2" fontId="79" fillId="16" borderId="0" xfId="0" applyNumberFormat="1" applyFont="1" applyFill="1" applyBorder="1" applyAlignment="1" applyProtection="1">
      <alignment vertical="center"/>
      <protection hidden="1"/>
    </xf>
    <xf numFmtId="2" fontId="86" fillId="16" borderId="0" xfId="0" applyNumberFormat="1" applyFont="1" applyFill="1" applyBorder="1" applyAlignment="1" applyProtection="1">
      <alignment vertical="center"/>
      <protection hidden="1"/>
    </xf>
    <xf numFmtId="2" fontId="88" fillId="16" borderId="0" xfId="0" applyNumberFormat="1" applyFont="1" applyFill="1" applyBorder="1" applyAlignment="1" applyProtection="1">
      <alignment vertical="center"/>
      <protection hidden="1"/>
    </xf>
    <xf numFmtId="2" fontId="5" fillId="16" borderId="0" xfId="0" applyNumberFormat="1" applyFont="1" applyFill="1" applyBorder="1" applyAlignment="1" applyProtection="1">
      <alignment vertical="center"/>
      <protection hidden="1"/>
    </xf>
    <xf numFmtId="0" fontId="74" fillId="16" borderId="16" xfId="0" applyNumberFormat="1" applyFont="1" applyFill="1" applyBorder="1" applyAlignment="1">
      <alignment horizontal="center" vertical="center"/>
    </xf>
    <xf numFmtId="0" fontId="79" fillId="16" borderId="16" xfId="0" applyNumberFormat="1" applyFont="1" applyFill="1" applyBorder="1" applyAlignment="1" applyProtection="1">
      <alignment horizontal="center" vertical="center"/>
      <protection hidden="1"/>
    </xf>
    <xf numFmtId="0" fontId="79" fillId="16" borderId="0" xfId="0" applyNumberFormat="1" applyFont="1" applyFill="1" applyBorder="1" applyAlignment="1" applyProtection="1">
      <alignment vertical="center"/>
      <protection hidden="1"/>
    </xf>
    <xf numFmtId="0" fontId="86" fillId="16" borderId="16" xfId="0" applyNumberFormat="1" applyFont="1" applyFill="1" applyBorder="1" applyAlignment="1" applyProtection="1">
      <alignment horizontal="center" vertical="center"/>
      <protection hidden="1"/>
    </xf>
    <xf numFmtId="0" fontId="86" fillId="16" borderId="0" xfId="0" applyNumberFormat="1" applyFont="1" applyFill="1" applyBorder="1" applyAlignment="1" applyProtection="1">
      <alignment vertical="center"/>
      <protection hidden="1"/>
    </xf>
    <xf numFmtId="0" fontId="86" fillId="16" borderId="16" xfId="0" applyNumberFormat="1" applyFont="1" applyFill="1" applyBorder="1" applyAlignment="1" applyProtection="1">
      <alignment vertical="center"/>
      <protection hidden="1"/>
    </xf>
    <xf numFmtId="0" fontId="89" fillId="16" borderId="16" xfId="0" applyNumberFormat="1" applyFont="1" applyFill="1" applyBorder="1" applyAlignment="1" applyProtection="1">
      <alignment horizontal="center" vertical="center"/>
      <protection hidden="1"/>
    </xf>
    <xf numFmtId="0" fontId="88" fillId="16" borderId="16" xfId="0" applyNumberFormat="1" applyFont="1" applyFill="1" applyBorder="1" applyAlignment="1" applyProtection="1">
      <alignment horizontal="center" vertical="center"/>
      <protection hidden="1"/>
    </xf>
    <xf numFmtId="0" fontId="5" fillId="16" borderId="16" xfId="0" applyNumberFormat="1" applyFont="1" applyFill="1" applyBorder="1" applyAlignment="1" applyProtection="1">
      <alignment horizontal="center" vertical="center"/>
      <protection hidden="1"/>
    </xf>
    <xf numFmtId="0" fontId="88" fillId="16" borderId="0" xfId="0" applyNumberFormat="1" applyFont="1" applyFill="1" applyBorder="1" applyAlignment="1" applyProtection="1">
      <alignment vertical="center"/>
      <protection hidden="1"/>
    </xf>
    <xf numFmtId="0" fontId="5" fillId="16" borderId="0" xfId="0" applyNumberFormat="1" applyFont="1" applyFill="1" applyBorder="1" applyAlignment="1" applyProtection="1">
      <alignment vertical="center"/>
      <protection hidden="1"/>
    </xf>
    <xf numFmtId="0" fontId="79" fillId="16" borderId="16" xfId="0" applyNumberFormat="1" applyFont="1" applyFill="1" applyBorder="1" applyAlignment="1">
      <alignment horizontal="center" vertical="center"/>
    </xf>
    <xf numFmtId="0" fontId="88" fillId="16" borderId="16" xfId="0" applyNumberFormat="1" applyFont="1" applyFill="1" applyBorder="1" applyAlignment="1" applyProtection="1">
      <protection hidden="1"/>
    </xf>
    <xf numFmtId="0" fontId="7" fillId="16" borderId="0" xfId="0" quotePrefix="1" applyFont="1" applyFill="1" applyProtection="1">
      <protection hidden="1"/>
    </xf>
    <xf numFmtId="0" fontId="74" fillId="16" borderId="0" xfId="0" applyNumberFormat="1" applyFont="1" applyFill="1" applyBorder="1" applyAlignment="1" applyProtection="1">
      <alignment vertical="center"/>
      <protection hidden="1"/>
    </xf>
    <xf numFmtId="0" fontId="87" fillId="16" borderId="0" xfId="0" applyNumberFormat="1" applyFont="1" applyFill="1" applyBorder="1" applyAlignment="1" applyProtection="1">
      <alignment vertical="center"/>
      <protection hidden="1"/>
    </xf>
    <xf numFmtId="0" fontId="89" fillId="16" borderId="0" xfId="0" applyNumberFormat="1" applyFont="1" applyFill="1" applyBorder="1" applyAlignment="1" applyProtection="1">
      <alignment vertical="center"/>
      <protection hidden="1"/>
    </xf>
    <xf numFmtId="0" fontId="8" fillId="16" borderId="0" xfId="0" applyNumberFormat="1" applyFont="1" applyFill="1" applyBorder="1" applyAlignment="1" applyProtection="1">
      <alignment vertical="center"/>
      <protection hidden="1"/>
    </xf>
    <xf numFmtId="168" fontId="5" fillId="11" borderId="13" xfId="1" applyNumberFormat="1" applyFont="1" applyFill="1" applyBorder="1" applyAlignment="1" applyProtection="1">
      <alignment horizontal="center" vertical="center"/>
      <protection hidden="1"/>
    </xf>
    <xf numFmtId="168" fontId="5" fillId="11" borderId="0" xfId="1" applyNumberFormat="1" applyFont="1" applyFill="1" applyBorder="1" applyAlignment="1" applyProtection="1">
      <alignment horizontal="center" vertical="center"/>
      <protection hidden="1"/>
    </xf>
    <xf numFmtId="0" fontId="107" fillId="0" borderId="0" xfId="0" quotePrefix="1" applyFont="1" applyProtection="1">
      <protection hidden="1"/>
    </xf>
    <xf numFmtId="0" fontId="107" fillId="11" borderId="0" xfId="0" applyFont="1" applyFill="1" applyProtection="1">
      <protection hidden="1"/>
    </xf>
    <xf numFmtId="168" fontId="108" fillId="11" borderId="0" xfId="1" applyNumberFormat="1" applyFont="1" applyFill="1" applyBorder="1" applyAlignment="1" applyProtection="1">
      <alignment horizontal="center" vertical="center"/>
      <protection hidden="1"/>
    </xf>
    <xf numFmtId="0" fontId="109" fillId="0" borderId="0" xfId="0" quotePrefix="1" applyFont="1" applyProtection="1">
      <protection hidden="1"/>
    </xf>
    <xf numFmtId="168" fontId="3" fillId="0" borderId="0" xfId="0" applyNumberFormat="1" applyFont="1"/>
    <xf numFmtId="0" fontId="5" fillId="10" borderId="10" xfId="0" applyFont="1" applyFill="1" applyBorder="1"/>
    <xf numFmtId="2" fontId="108" fillId="11" borderId="10" xfId="0" applyNumberFormat="1" applyFont="1" applyFill="1" applyBorder="1" applyAlignment="1" applyProtection="1">
      <alignment vertical="center"/>
      <protection hidden="1"/>
    </xf>
    <xf numFmtId="0" fontId="12" fillId="9" borderId="16" xfId="0" applyNumberFormat="1" applyFont="1" applyFill="1" applyBorder="1" applyAlignment="1" applyProtection="1">
      <alignment horizontal="center" vertical="center"/>
    </xf>
    <xf numFmtId="0" fontId="5" fillId="0" borderId="23" xfId="0" applyNumberFormat="1" applyFont="1" applyFill="1" applyBorder="1" applyAlignment="1" applyProtection="1">
      <alignment horizontal="center" vertical="center" wrapText="1"/>
    </xf>
    <xf numFmtId="0" fontId="5" fillId="0" borderId="10" xfId="0" applyNumberFormat="1" applyFont="1" applyFill="1" applyBorder="1" applyAlignment="1" applyProtection="1">
      <alignment horizontal="center" vertical="center" wrapText="1"/>
    </xf>
    <xf numFmtId="0" fontId="7" fillId="0" borderId="10" xfId="0" applyNumberFormat="1" applyFont="1" applyFill="1" applyBorder="1" applyAlignment="1" applyProtection="1">
      <alignment horizontal="center" vertical="center" wrapText="1"/>
    </xf>
    <xf numFmtId="0" fontId="5" fillId="0" borderId="0" xfId="0" applyNumberFormat="1" applyFont="1" applyAlignment="1">
      <alignment horizontal="center"/>
    </xf>
    <xf numFmtId="0" fontId="8" fillId="0" borderId="10" xfId="0" applyNumberFormat="1" applyFont="1" applyFill="1" applyBorder="1" applyAlignment="1" applyProtection="1">
      <alignment horizontal="center" vertical="center" wrapText="1"/>
    </xf>
    <xf numFmtId="0" fontId="22" fillId="0" borderId="10" xfId="0" applyNumberFormat="1" applyFont="1" applyFill="1" applyBorder="1" applyAlignment="1" applyProtection="1">
      <alignment horizontal="center" vertical="center" wrapText="1"/>
    </xf>
    <xf numFmtId="0" fontId="4" fillId="0" borderId="10" xfId="0" applyNumberFormat="1" applyFont="1" applyFill="1" applyBorder="1" applyAlignment="1" applyProtection="1">
      <alignment horizontal="center" vertical="center" wrapText="1"/>
    </xf>
    <xf numFmtId="0" fontId="5" fillId="0" borderId="0" xfId="1" applyNumberFormat="1" applyFont="1" applyAlignment="1">
      <alignment horizontal="center"/>
    </xf>
    <xf numFmtId="0" fontId="7" fillId="0" borderId="11"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centerContinuous" vertical="center" wrapText="1"/>
    </xf>
    <xf numFmtId="0" fontId="5" fillId="0" borderId="0" xfId="0" applyNumberFormat="1" applyFont="1" applyFill="1" applyBorder="1" applyAlignment="1" applyProtection="1"/>
    <xf numFmtId="0" fontId="21" fillId="0" borderId="0" xfId="0" applyNumberFormat="1" applyFont="1" applyFill="1" applyBorder="1" applyAlignment="1" applyProtection="1">
      <alignment horizontal="centerContinuous"/>
    </xf>
    <xf numFmtId="0" fontId="7" fillId="0" borderId="0" xfId="0" applyNumberFormat="1" applyFont="1" applyFill="1" applyBorder="1" applyAlignment="1" applyProtection="1">
      <alignment horizontal="centerContinuous"/>
    </xf>
    <xf numFmtId="0" fontId="5" fillId="0" borderId="0" xfId="0" applyNumberFormat="1" applyFont="1" applyFill="1" applyBorder="1" applyAlignment="1" applyProtection="1">
      <alignment horizontal="centerContinuous"/>
    </xf>
    <xf numFmtId="0" fontId="8" fillId="0" borderId="0" xfId="1" applyNumberFormat="1" applyFont="1" applyAlignment="1">
      <alignment vertical="center"/>
    </xf>
    <xf numFmtId="0" fontId="21" fillId="0" borderId="10" xfId="0" applyNumberFormat="1" applyFont="1" applyFill="1" applyBorder="1" applyAlignment="1" applyProtection="1">
      <alignment horizontal="center" vertical="center" wrapText="1"/>
    </xf>
    <xf numFmtId="0" fontId="7" fillId="0" borderId="19" xfId="0" applyFont="1" applyBorder="1" applyAlignment="1">
      <alignment vertical="center" wrapText="1"/>
    </xf>
    <xf numFmtId="0" fontId="7" fillId="0" borderId="19" xfId="0" applyFont="1" applyBorder="1" applyAlignment="1">
      <alignment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43" fontId="7" fillId="10" borderId="19" xfId="1" applyFont="1" applyFill="1" applyBorder="1" applyAlignment="1">
      <alignment horizontal="center" vertical="center" wrapText="1"/>
    </xf>
    <xf numFmtId="0" fontId="8" fillId="0" borderId="19" xfId="0" applyFont="1" applyBorder="1" applyAlignment="1">
      <alignment horizontal="center" vertical="center" wrapText="1"/>
    </xf>
    <xf numFmtId="0" fontId="8" fillId="0" borderId="15" xfId="0" applyFont="1" applyBorder="1"/>
    <xf numFmtId="0" fontId="7" fillId="0" borderId="16" xfId="0" applyFont="1" applyBorder="1" applyAlignment="1">
      <alignment vertical="center"/>
    </xf>
    <xf numFmtId="0" fontId="5" fillId="18" borderId="24" xfId="0" applyFont="1" applyFill="1" applyBorder="1"/>
    <xf numFmtId="0" fontId="4" fillId="10" borderId="0" xfId="0" applyFont="1" applyFill="1" applyProtection="1">
      <protection hidden="1"/>
    </xf>
    <xf numFmtId="0" fontId="5" fillId="11" borderId="9" xfId="0" quotePrefix="1" applyFont="1" applyFill="1" applyBorder="1" applyAlignment="1">
      <alignment horizontal="justify" vertical="center"/>
    </xf>
    <xf numFmtId="0" fontId="5" fillId="11" borderId="9" xfId="0" applyFont="1" applyFill="1" applyBorder="1" applyAlignment="1">
      <alignment horizontal="center" vertical="center"/>
    </xf>
    <xf numFmtId="168" fontId="5" fillId="11" borderId="9" xfId="1" applyNumberFormat="1" applyFont="1" applyFill="1" applyBorder="1" applyAlignment="1">
      <alignment horizontal="right" vertical="center" wrapText="1"/>
    </xf>
    <xf numFmtId="0" fontId="5" fillId="11" borderId="9" xfId="0" applyFont="1" applyFill="1" applyBorder="1" applyProtection="1">
      <protection locked="0"/>
    </xf>
    <xf numFmtId="168" fontId="5" fillId="11" borderId="9" xfId="1" applyNumberFormat="1" applyFont="1" applyFill="1" applyBorder="1"/>
    <xf numFmtId="168" fontId="5" fillId="11" borderId="10" xfId="0" applyNumberFormat="1" applyFont="1" applyFill="1" applyBorder="1"/>
    <xf numFmtId="0" fontId="5" fillId="0" borderId="10" xfId="0" applyFont="1" applyFill="1" applyBorder="1" applyAlignment="1" applyProtection="1">
      <alignment vertical="center"/>
      <protection locked="0"/>
    </xf>
    <xf numFmtId="172" fontId="5" fillId="0" borderId="10" xfId="0" applyNumberFormat="1" applyFont="1" applyFill="1" applyBorder="1" applyAlignment="1" applyProtection="1">
      <alignment horizontal="center" vertical="center"/>
      <protection locked="0"/>
    </xf>
    <xf numFmtId="0" fontId="5" fillId="0" borderId="10" xfId="0" applyFont="1" applyBorder="1" applyProtection="1">
      <protection locked="0"/>
    </xf>
    <xf numFmtId="172" fontId="5" fillId="0" borderId="10" xfId="0" quotePrefix="1" applyNumberFormat="1" applyFont="1" applyFill="1" applyBorder="1" applyAlignment="1" applyProtection="1">
      <alignment horizontal="center" vertical="center"/>
      <protection locked="0"/>
    </xf>
    <xf numFmtId="174" fontId="5" fillId="0" borderId="10" xfId="0" applyNumberFormat="1" applyFont="1" applyBorder="1" applyProtection="1">
      <protection locked="0"/>
    </xf>
    <xf numFmtId="0" fontId="89" fillId="0" borderId="16" xfId="0" applyNumberFormat="1" applyFont="1" applyFill="1" applyBorder="1" applyAlignment="1" applyProtection="1">
      <alignment horizontal="center" vertical="center"/>
      <protection hidden="1"/>
    </xf>
    <xf numFmtId="0" fontId="88" fillId="0" borderId="16" xfId="0" applyNumberFormat="1" applyFont="1" applyFill="1" applyBorder="1" applyAlignment="1" applyProtection="1">
      <alignment horizontal="center" vertical="center"/>
      <protection hidden="1"/>
    </xf>
    <xf numFmtId="0" fontId="86" fillId="0" borderId="16" xfId="0" applyNumberFormat="1" applyFont="1" applyFill="1" applyBorder="1" applyAlignment="1" applyProtection="1">
      <alignment horizontal="center" vertical="center"/>
      <protection hidden="1"/>
    </xf>
    <xf numFmtId="0" fontId="88" fillId="0" borderId="0" xfId="0" applyNumberFormat="1" applyFont="1" applyFill="1" applyBorder="1" applyAlignment="1" applyProtection="1">
      <alignment horizontal="center" vertical="center"/>
      <protection hidden="1"/>
    </xf>
    <xf numFmtId="0" fontId="5" fillId="12" borderId="0" xfId="0" applyFont="1" applyFill="1" applyBorder="1" applyAlignment="1" applyProtection="1">
      <alignment horizontal="center" vertical="center" wrapText="1"/>
    </xf>
    <xf numFmtId="0" fontId="4" fillId="0" borderId="23" xfId="0" applyFont="1" applyFill="1" applyBorder="1" applyAlignment="1" applyProtection="1">
      <alignment horizontal="center" vertical="center" wrapText="1"/>
    </xf>
    <xf numFmtId="2" fontId="4" fillId="0" borderId="23" xfId="0" applyNumberFormat="1" applyFont="1" applyFill="1" applyBorder="1" applyAlignment="1" applyProtection="1">
      <alignment vertical="center" wrapText="1"/>
    </xf>
    <xf numFmtId="0" fontId="4" fillId="0" borderId="23" xfId="0" applyFont="1" applyBorder="1" applyAlignment="1">
      <alignment horizontal="center" vertical="center"/>
    </xf>
    <xf numFmtId="168" fontId="4" fillId="0" borderId="23" xfId="1" applyNumberFormat="1" applyFont="1" applyFill="1" applyBorder="1" applyAlignment="1" applyProtection="1">
      <alignment vertical="center" wrapText="1"/>
    </xf>
    <xf numFmtId="0" fontId="7" fillId="0" borderId="0" xfId="0" applyFont="1" applyAlignment="1"/>
    <xf numFmtId="3" fontId="37" fillId="9" borderId="17" xfId="0" applyNumberFormat="1" applyFont="1" applyFill="1" applyBorder="1" applyAlignment="1" applyProtection="1">
      <alignment horizontal="center" vertical="center"/>
    </xf>
    <xf numFmtId="3" fontId="37" fillId="9" borderId="19" xfId="0" applyNumberFormat="1" applyFont="1" applyFill="1" applyBorder="1" applyAlignment="1" applyProtection="1">
      <alignment horizontal="center" vertical="center"/>
    </xf>
    <xf numFmtId="2" fontId="86" fillId="10" borderId="0" xfId="0" applyNumberFormat="1" applyFont="1" applyFill="1" applyBorder="1" applyAlignment="1" applyProtection="1">
      <alignment vertical="center"/>
      <protection hidden="1"/>
    </xf>
    <xf numFmtId="2" fontId="88" fillId="10" borderId="0" xfId="0" applyNumberFormat="1" applyFont="1" applyFill="1" applyBorder="1" applyAlignment="1" applyProtection="1">
      <alignment vertical="center"/>
      <protection hidden="1"/>
    </xf>
    <xf numFmtId="0" fontId="86" fillId="10" borderId="16" xfId="0" applyNumberFormat="1" applyFont="1" applyFill="1" applyBorder="1" applyAlignment="1" applyProtection="1">
      <alignment horizontal="center" vertical="center"/>
      <protection hidden="1"/>
    </xf>
    <xf numFmtId="0" fontId="4" fillId="10" borderId="0" xfId="0" quotePrefix="1" applyFont="1" applyFill="1" applyProtection="1">
      <protection hidden="1"/>
    </xf>
    <xf numFmtId="0" fontId="86" fillId="0" borderId="16" xfId="0" applyNumberFormat="1" applyFont="1" applyFill="1" applyBorder="1" applyAlignment="1" applyProtection="1">
      <alignment horizontal="center" vertical="center"/>
      <protection hidden="1"/>
    </xf>
    <xf numFmtId="0" fontId="88" fillId="0" borderId="16" xfId="0" applyNumberFormat="1" applyFont="1" applyFill="1" applyBorder="1" applyAlignment="1" applyProtection="1">
      <alignment horizontal="center" vertical="center"/>
      <protection hidden="1"/>
    </xf>
    <xf numFmtId="0" fontId="79" fillId="0" borderId="16" xfId="0" applyNumberFormat="1" applyFont="1" applyFill="1" applyBorder="1" applyAlignment="1" applyProtection="1">
      <alignment horizontal="center" vertical="center"/>
      <protection hidden="1"/>
    </xf>
    <xf numFmtId="0" fontId="5" fillId="11" borderId="17" xfId="0" applyFont="1" applyFill="1" applyBorder="1" applyAlignment="1">
      <alignment horizontal="center" vertical="center" wrapText="1"/>
    </xf>
    <xf numFmtId="0" fontId="5" fillId="11" borderId="17" xfId="0" applyFont="1" applyFill="1" applyBorder="1" applyAlignment="1">
      <alignment horizontal="justify" vertical="center"/>
    </xf>
    <xf numFmtId="0" fontId="5" fillId="11" borderId="17" xfId="0" applyFont="1" applyFill="1" applyBorder="1" applyAlignment="1">
      <alignment horizontal="center" vertical="center"/>
    </xf>
    <xf numFmtId="168" fontId="5" fillId="11" borderId="17" xfId="1" applyNumberFormat="1" applyFont="1" applyFill="1" applyBorder="1" applyAlignment="1">
      <alignment horizontal="right" vertical="center" wrapText="1"/>
    </xf>
    <xf numFmtId="0" fontId="5" fillId="11" borderId="17" xfId="0" applyFont="1" applyFill="1" applyBorder="1"/>
    <xf numFmtId="168" fontId="5" fillId="11" borderId="17" xfId="1" applyNumberFormat="1" applyFont="1" applyFill="1" applyBorder="1"/>
    <xf numFmtId="168" fontId="3" fillId="11" borderId="0" xfId="1" applyNumberFormat="1" applyFont="1" applyFill="1"/>
    <xf numFmtId="168" fontId="7" fillId="0" borderId="11" xfId="1" applyNumberFormat="1" applyFont="1" applyFill="1" applyBorder="1" applyAlignment="1" applyProtection="1">
      <alignment vertical="center"/>
    </xf>
    <xf numFmtId="168" fontId="7" fillId="0" borderId="9" xfId="1" applyNumberFormat="1" applyFont="1" applyFill="1" applyBorder="1" applyAlignment="1" applyProtection="1">
      <alignment vertical="center"/>
    </xf>
    <xf numFmtId="3" fontId="37" fillId="9" borderId="17" xfId="0" applyNumberFormat="1" applyFont="1" applyFill="1" applyBorder="1" applyAlignment="1" applyProtection="1">
      <alignment horizontal="center" vertical="center" wrapText="1"/>
    </xf>
    <xf numFmtId="49" fontId="3" fillId="0" borderId="35" xfId="0" applyNumberFormat="1" applyFont="1" applyFill="1" applyBorder="1" applyAlignment="1" applyProtection="1">
      <alignment horizontal="center" vertical="center"/>
    </xf>
    <xf numFmtId="49" fontId="12" fillId="0" borderId="35" xfId="0" applyNumberFormat="1" applyFont="1" applyFill="1" applyBorder="1" applyAlignment="1" applyProtection="1">
      <alignment vertical="center" wrapText="1"/>
      <protection locked="0"/>
    </xf>
    <xf numFmtId="49" fontId="3" fillId="0" borderId="36" xfId="0" applyNumberFormat="1" applyFont="1" applyFill="1" applyBorder="1" applyAlignment="1" applyProtection="1">
      <alignment horizontal="center" vertical="center"/>
      <protection locked="0"/>
    </xf>
    <xf numFmtId="49" fontId="3" fillId="0" borderId="36" xfId="0" applyNumberFormat="1" applyFont="1" applyFill="1" applyBorder="1" applyAlignment="1" applyProtection="1">
      <alignment vertical="center" wrapText="1"/>
      <protection locked="0"/>
    </xf>
    <xf numFmtId="49" fontId="3" fillId="0" borderId="36" xfId="0" applyNumberFormat="1" applyFont="1" applyFill="1" applyBorder="1" applyAlignment="1" applyProtection="1">
      <alignment horizontal="center" vertical="center"/>
    </xf>
    <xf numFmtId="49" fontId="12" fillId="0" borderId="36" xfId="0" applyNumberFormat="1" applyFont="1" applyFill="1" applyBorder="1" applyAlignment="1" applyProtection="1">
      <alignment vertical="center" wrapText="1"/>
      <protection locked="0"/>
    </xf>
    <xf numFmtId="0" fontId="4" fillId="0" borderId="9" xfId="0" applyFont="1" applyBorder="1" applyAlignment="1">
      <alignment vertical="center" wrapText="1"/>
    </xf>
    <xf numFmtId="0" fontId="4" fillId="0" borderId="9" xfId="0" applyFont="1" applyBorder="1" applyAlignment="1">
      <alignment vertical="center"/>
    </xf>
    <xf numFmtId="173" fontId="4" fillId="0" borderId="9" xfId="0" applyNumberFormat="1" applyFont="1" applyBorder="1" applyAlignment="1">
      <alignment vertical="center" wrapText="1"/>
    </xf>
    <xf numFmtId="0" fontId="4" fillId="0" borderId="10" xfId="0" applyFont="1" applyBorder="1" applyAlignment="1">
      <alignment vertical="center"/>
    </xf>
    <xf numFmtId="0" fontId="22" fillId="0" borderId="10" xfId="0" applyFont="1" applyBorder="1" applyAlignment="1">
      <alignment horizontal="center" vertical="center" wrapText="1"/>
    </xf>
    <xf numFmtId="173" fontId="4" fillId="0" borderId="10" xfId="0" applyNumberFormat="1" applyFont="1" applyBorder="1" applyAlignment="1">
      <alignment vertical="center" wrapText="1"/>
    </xf>
    <xf numFmtId="0" fontId="4" fillId="0" borderId="11" xfId="0" applyFont="1" applyBorder="1" applyAlignment="1">
      <alignment vertical="center"/>
    </xf>
    <xf numFmtId="173" fontId="4" fillId="0" borderId="11" xfId="0" applyNumberFormat="1" applyFont="1" applyBorder="1" applyAlignment="1">
      <alignment vertical="center" wrapText="1"/>
    </xf>
    <xf numFmtId="0" fontId="22" fillId="0" borderId="9" xfId="0" applyFont="1" applyBorder="1" applyAlignment="1">
      <alignment horizontal="center" vertical="center" wrapText="1"/>
    </xf>
    <xf numFmtId="3" fontId="4" fillId="0" borderId="9" xfId="1" applyNumberFormat="1" applyFont="1" applyBorder="1" applyAlignment="1">
      <alignment vertical="center" wrapText="1"/>
    </xf>
    <xf numFmtId="3" fontId="4" fillId="0" borderId="9" xfId="0" applyNumberFormat="1" applyFont="1" applyBorder="1" applyAlignment="1">
      <alignment vertical="center" wrapText="1"/>
    </xf>
    <xf numFmtId="3" fontId="4" fillId="0" borderId="10" xfId="1" applyNumberFormat="1" applyFont="1" applyBorder="1" applyAlignment="1">
      <alignment vertical="center" wrapText="1"/>
    </xf>
    <xf numFmtId="0" fontId="7" fillId="0" borderId="10" xfId="0" applyFont="1" applyBorder="1" applyAlignment="1">
      <alignment vertical="center" wrapText="1"/>
    </xf>
    <xf numFmtId="3" fontId="7" fillId="0" borderId="10" xfId="0" applyNumberFormat="1" applyFont="1" applyBorder="1" applyAlignment="1">
      <alignment vertical="center" wrapText="1"/>
    </xf>
    <xf numFmtId="0" fontId="7" fillId="0" borderId="11" xfId="0" applyFont="1" applyBorder="1" applyAlignment="1">
      <alignment vertical="center" wrapText="1"/>
    </xf>
    <xf numFmtId="3" fontId="4" fillId="0" borderId="11" xfId="1" applyNumberFormat="1" applyFont="1" applyBorder="1" applyAlignment="1">
      <alignment vertical="center" wrapText="1"/>
    </xf>
    <xf numFmtId="3" fontId="7" fillId="0" borderId="11" xfId="0" applyNumberFormat="1" applyFont="1" applyBorder="1" applyAlignment="1">
      <alignment vertical="center" wrapText="1"/>
    </xf>
    <xf numFmtId="3" fontId="84" fillId="0" borderId="10" xfId="1" applyNumberFormat="1" applyFont="1" applyBorder="1" applyAlignment="1">
      <alignment vertical="center" wrapText="1"/>
    </xf>
    <xf numFmtId="49" fontId="4" fillId="0" borderId="23" xfId="0" applyNumberFormat="1" applyFont="1" applyBorder="1" applyAlignment="1">
      <alignment vertical="center" wrapText="1"/>
    </xf>
    <xf numFmtId="49" fontId="3" fillId="0" borderId="42" xfId="0" applyNumberFormat="1" applyFont="1" applyFill="1" applyBorder="1" applyAlignment="1" applyProtection="1">
      <alignment horizontal="center" vertical="center"/>
    </xf>
    <xf numFmtId="49" fontId="3" fillId="0" borderId="42" xfId="0" applyNumberFormat="1" applyFont="1" applyFill="1" applyBorder="1" applyAlignment="1" applyProtection="1">
      <alignment vertical="center" wrapText="1"/>
      <protection locked="0"/>
    </xf>
    <xf numFmtId="0" fontId="4" fillId="0" borderId="23" xfId="0" applyFont="1" applyBorder="1" applyAlignment="1">
      <alignment horizontal="center" vertical="center" wrapText="1"/>
    </xf>
    <xf numFmtId="170" fontId="4" fillId="0" borderId="23" xfId="0" applyNumberFormat="1" applyFont="1" applyBorder="1" applyAlignment="1">
      <alignment vertical="center" wrapText="1"/>
    </xf>
    <xf numFmtId="3" fontId="4" fillId="0" borderId="23" xfId="0" applyNumberFormat="1" applyFont="1" applyBorder="1" applyAlignment="1">
      <alignment vertical="center" wrapText="1"/>
    </xf>
    <xf numFmtId="0" fontId="4" fillId="0" borderId="23" xfId="0" applyFont="1" applyBorder="1" applyAlignment="1">
      <alignment vertical="center" wrapText="1"/>
    </xf>
    <xf numFmtId="167" fontId="4" fillId="0" borderId="23" xfId="0" applyNumberFormat="1" applyFont="1" applyBorder="1" applyAlignment="1">
      <alignment vertical="center" wrapText="1"/>
    </xf>
    <xf numFmtId="0" fontId="112" fillId="0" borderId="0" xfId="0" applyFont="1" applyFill="1" applyBorder="1" applyAlignment="1" applyProtection="1">
      <alignment horizontal="centerContinuous" wrapText="1"/>
    </xf>
    <xf numFmtId="0" fontId="77" fillId="0" borderId="0" xfId="0" applyFont="1" applyAlignment="1">
      <alignment horizontal="centerContinuous" wrapText="1"/>
    </xf>
    <xf numFmtId="0" fontId="77" fillId="0" borderId="0" xfId="0" applyFont="1" applyAlignment="1">
      <alignment horizontal="centerContinuous"/>
    </xf>
    <xf numFmtId="170" fontId="77" fillId="0" borderId="0" xfId="0" applyNumberFormat="1" applyFont="1" applyAlignment="1">
      <alignment horizontal="centerContinuous" wrapText="1"/>
    </xf>
    <xf numFmtId="0" fontId="77" fillId="0" borderId="0" xfId="0" applyNumberFormat="1" applyFont="1" applyAlignment="1">
      <alignment horizontal="centerContinuous" wrapText="1"/>
    </xf>
    <xf numFmtId="0" fontId="77" fillId="0" borderId="0" xfId="0" applyFont="1" applyAlignment="1">
      <alignment wrapText="1"/>
    </xf>
    <xf numFmtId="3" fontId="77" fillId="0" borderId="0" xfId="0" applyNumberFormat="1" applyFont="1" applyAlignment="1">
      <alignment wrapText="1"/>
    </xf>
    <xf numFmtId="0" fontId="81" fillId="0" borderId="0" xfId="0" applyFont="1" applyFill="1" applyBorder="1" applyAlignment="1" applyProtection="1">
      <alignment horizontal="centerContinuous" wrapText="1"/>
    </xf>
    <xf numFmtId="170" fontId="113" fillId="9" borderId="16" xfId="0" applyNumberFormat="1" applyFont="1" applyFill="1" applyBorder="1" applyAlignment="1" applyProtection="1">
      <alignment horizontal="centerContinuous" wrapText="1"/>
    </xf>
    <xf numFmtId="170" fontId="114" fillId="9" borderId="16" xfId="0" applyNumberFormat="1" applyFont="1" applyFill="1" applyBorder="1" applyAlignment="1" applyProtection="1">
      <alignment horizontal="center" vertical="top" wrapText="1"/>
    </xf>
    <xf numFmtId="0" fontId="114" fillId="9" borderId="16" xfId="0" applyNumberFormat="1" applyFont="1" applyFill="1" applyBorder="1" applyAlignment="1" applyProtection="1">
      <alignment horizontal="center" vertical="top" wrapText="1"/>
    </xf>
    <xf numFmtId="170" fontId="113" fillId="9" borderId="17" xfId="0" applyNumberFormat="1" applyFont="1" applyFill="1" applyBorder="1" applyAlignment="1" applyProtection="1">
      <alignment horizontal="center" vertical="center" wrapText="1"/>
    </xf>
    <xf numFmtId="170" fontId="114" fillId="9" borderId="17" xfId="0" applyNumberFormat="1" applyFont="1" applyFill="1" applyBorder="1" applyAlignment="1" applyProtection="1">
      <alignment horizontal="center" vertical="top" wrapText="1"/>
    </xf>
    <xf numFmtId="0" fontId="114" fillId="9" borderId="17" xfId="0" applyNumberFormat="1" applyFont="1" applyFill="1" applyBorder="1" applyAlignment="1" applyProtection="1">
      <alignment horizontal="center" vertical="top" wrapText="1"/>
    </xf>
    <xf numFmtId="170" fontId="114" fillId="9" borderId="17" xfId="0" applyNumberFormat="1" applyFont="1" applyFill="1" applyBorder="1" applyAlignment="1" applyProtection="1">
      <alignment horizontal="center" vertical="top"/>
    </xf>
    <xf numFmtId="173" fontId="113" fillId="9" borderId="16" xfId="0" applyNumberFormat="1" applyFont="1" applyFill="1" applyBorder="1" applyAlignment="1" applyProtection="1">
      <alignment horizontal="center" vertical="center" wrapText="1"/>
    </xf>
    <xf numFmtId="170" fontId="113" fillId="9" borderId="16" xfId="0" applyNumberFormat="1" applyFont="1" applyFill="1" applyBorder="1" applyAlignment="1" applyProtection="1">
      <alignment horizontal="center" vertical="center" wrapText="1"/>
    </xf>
    <xf numFmtId="3" fontId="113" fillId="9" borderId="16" xfId="0" applyNumberFormat="1" applyFont="1" applyFill="1" applyBorder="1" applyAlignment="1" applyProtection="1">
      <alignment horizontal="center" vertical="center" wrapText="1"/>
    </xf>
    <xf numFmtId="0" fontId="31" fillId="0" borderId="9" xfId="0" applyFont="1" applyBorder="1" applyAlignment="1">
      <alignment vertical="top" wrapText="1"/>
    </xf>
    <xf numFmtId="49" fontId="31" fillId="0" borderId="9" xfId="0" applyNumberFormat="1" applyFont="1" applyBorder="1" applyAlignment="1">
      <alignment vertical="top" wrapText="1"/>
    </xf>
    <xf numFmtId="0" fontId="31" fillId="0" borderId="9" xfId="0" applyFont="1" applyBorder="1" applyAlignment="1">
      <alignment vertical="top"/>
    </xf>
    <xf numFmtId="0" fontId="31" fillId="0" borderId="9" xfId="0" applyNumberFormat="1" applyFont="1" applyBorder="1" applyAlignment="1">
      <alignment horizontal="center" vertical="top" wrapText="1"/>
    </xf>
    <xf numFmtId="170" fontId="31" fillId="0" borderId="9" xfId="0" applyNumberFormat="1" applyFont="1" applyBorder="1" applyAlignment="1">
      <alignment vertical="top" wrapText="1"/>
    </xf>
    <xf numFmtId="49" fontId="31" fillId="0" borderId="37" xfId="0" applyNumberFormat="1" applyFont="1" applyBorder="1" applyAlignment="1">
      <alignment vertical="center" wrapText="1"/>
    </xf>
    <xf numFmtId="49" fontId="31" fillId="0" borderId="9" xfId="0" applyNumberFormat="1" applyFont="1" applyBorder="1" applyAlignment="1">
      <alignment vertical="center" wrapText="1"/>
    </xf>
    <xf numFmtId="0" fontId="31" fillId="0" borderId="9" xfId="0" applyFont="1" applyBorder="1" applyAlignment="1">
      <alignment vertical="center"/>
    </xf>
    <xf numFmtId="0" fontId="31" fillId="0" borderId="0" xfId="0" applyFont="1" applyAlignment="1">
      <alignment vertical="center" wrapText="1"/>
    </xf>
    <xf numFmtId="3" fontId="31" fillId="0" borderId="0" xfId="0" applyNumberFormat="1" applyFont="1" applyAlignment="1">
      <alignment vertical="center" wrapText="1"/>
    </xf>
    <xf numFmtId="0" fontId="31" fillId="0" borderId="10" xfId="0" applyFont="1" applyBorder="1" applyAlignment="1">
      <alignment vertical="top" wrapText="1"/>
    </xf>
    <xf numFmtId="0" fontId="31" fillId="0" borderId="10" xfId="0" applyFont="1" applyBorder="1" applyAlignment="1">
      <alignment vertical="top"/>
    </xf>
    <xf numFmtId="0" fontId="116" fillId="0" borderId="10" xfId="0" applyFont="1" applyBorder="1" applyAlignment="1">
      <alignment horizontal="center" vertical="top" wrapText="1"/>
    </xf>
    <xf numFmtId="0" fontId="31" fillId="0" borderId="10" xfId="0" applyFont="1" applyBorder="1" applyAlignment="1">
      <alignment horizontal="center" vertical="top" wrapText="1"/>
    </xf>
    <xf numFmtId="170" fontId="31" fillId="0" borderId="10" xfId="0" applyNumberFormat="1" applyFont="1" applyBorder="1" applyAlignment="1">
      <alignment vertical="top" wrapText="1"/>
    </xf>
    <xf numFmtId="0" fontId="31" fillId="0" borderId="38" xfId="0" applyFont="1" applyBorder="1" applyAlignment="1">
      <alignment vertical="center" wrapText="1"/>
    </xf>
    <xf numFmtId="0" fontId="31" fillId="0" borderId="10" xfId="0" applyNumberFormat="1" applyFont="1" applyBorder="1" applyAlignment="1">
      <alignment vertical="center" wrapText="1"/>
    </xf>
    <xf numFmtId="0" fontId="31" fillId="0" borderId="10" xfId="0" applyFont="1" applyBorder="1" applyAlignment="1">
      <alignment vertical="center"/>
    </xf>
    <xf numFmtId="173" fontId="31" fillId="0" borderId="10" xfId="0" applyNumberFormat="1" applyFont="1" applyBorder="1" applyAlignment="1">
      <alignment vertical="center" wrapText="1"/>
    </xf>
    <xf numFmtId="0" fontId="31" fillId="0" borderId="11" xfId="0" applyFont="1" applyBorder="1" applyAlignment="1">
      <alignment vertical="top" wrapText="1"/>
    </xf>
    <xf numFmtId="0" fontId="31" fillId="0" borderId="11" xfId="0" applyFont="1" applyBorder="1" applyAlignment="1">
      <alignment vertical="top"/>
    </xf>
    <xf numFmtId="0" fontId="31" fillId="0" borderId="11" xfId="0" applyFont="1" applyBorder="1" applyAlignment="1">
      <alignment horizontal="center" vertical="top" wrapText="1"/>
    </xf>
    <xf numFmtId="170" fontId="31" fillId="0" borderId="11" xfId="0" applyNumberFormat="1" applyFont="1" applyBorder="1" applyAlignment="1">
      <alignment vertical="top" wrapText="1"/>
    </xf>
    <xf numFmtId="0" fontId="31" fillId="0" borderId="40" xfId="0" applyFont="1" applyBorder="1" applyAlignment="1">
      <alignment vertical="center" wrapText="1"/>
    </xf>
    <xf numFmtId="173" fontId="31" fillId="0" borderId="11" xfId="0" applyNumberFormat="1" applyFont="1" applyBorder="1" applyAlignment="1">
      <alignment vertical="center" wrapText="1"/>
    </xf>
    <xf numFmtId="0" fontId="31" fillId="0" borderId="11" xfId="0" applyFont="1" applyBorder="1" applyAlignment="1">
      <alignment vertical="center"/>
    </xf>
    <xf numFmtId="0" fontId="31" fillId="0" borderId="0" xfId="0" applyFont="1" applyAlignment="1">
      <alignment vertical="center"/>
    </xf>
    <xf numFmtId="0" fontId="31" fillId="0" borderId="0" xfId="0" applyFont="1" applyAlignment="1">
      <alignment horizontal="center" vertical="center" wrapText="1"/>
    </xf>
    <xf numFmtId="170" fontId="31" fillId="0" borderId="0" xfId="0" applyNumberFormat="1" applyFont="1" applyAlignment="1">
      <alignment vertical="center" wrapText="1"/>
    </xf>
    <xf numFmtId="0" fontId="31" fillId="0" borderId="0" xfId="0" applyNumberFormat="1" applyFont="1" applyAlignment="1">
      <alignment vertical="center" wrapText="1"/>
    </xf>
    <xf numFmtId="0" fontId="31" fillId="0" borderId="27" xfId="0" applyFont="1" applyBorder="1" applyAlignment="1">
      <alignment vertical="top" wrapText="1"/>
    </xf>
    <xf numFmtId="0" fontId="31" fillId="0" borderId="27" xfId="0" applyFont="1" applyBorder="1" applyAlignment="1">
      <alignment vertical="top"/>
    </xf>
    <xf numFmtId="0" fontId="31" fillId="0" borderId="27" xfId="0" applyFont="1" applyBorder="1" applyAlignment="1">
      <alignment horizontal="center" vertical="top" wrapText="1"/>
    </xf>
    <xf numFmtId="170" fontId="31" fillId="0" borderId="27" xfId="0" applyNumberFormat="1" applyFont="1" applyBorder="1" applyAlignment="1">
      <alignment vertical="top" wrapText="1"/>
    </xf>
    <xf numFmtId="0" fontId="31" fillId="0" borderId="39" xfId="0" applyFont="1" applyBorder="1" applyAlignment="1">
      <alignment vertical="center" wrapText="1"/>
    </xf>
    <xf numFmtId="173" fontId="31" fillId="0" borderId="27" xfId="0" applyNumberFormat="1" applyFont="1" applyBorder="1" applyAlignment="1">
      <alignment vertical="center" wrapText="1"/>
    </xf>
    <xf numFmtId="0" fontId="31" fillId="0" borderId="27" xfId="0" applyFont="1" applyBorder="1" applyAlignment="1">
      <alignment vertical="center"/>
    </xf>
    <xf numFmtId="0" fontId="31" fillId="0" borderId="19" xfId="0" applyFont="1" applyBorder="1" applyAlignment="1">
      <alignment vertical="top" wrapText="1"/>
    </xf>
    <xf numFmtId="49" fontId="31" fillId="0" borderId="19" xfId="0" applyNumberFormat="1" applyFont="1" applyBorder="1" applyAlignment="1">
      <alignment vertical="top" wrapText="1"/>
    </xf>
    <xf numFmtId="0" fontId="31" fillId="0" borderId="19" xfId="0" applyFont="1" applyBorder="1" applyAlignment="1">
      <alignment vertical="top"/>
    </xf>
    <xf numFmtId="0" fontId="31" fillId="0" borderId="19" xfId="0" applyNumberFormat="1" applyFont="1" applyBorder="1" applyAlignment="1">
      <alignment horizontal="center" vertical="top" wrapText="1"/>
    </xf>
    <xf numFmtId="170" fontId="31" fillId="0" borderId="19" xfId="0" applyNumberFormat="1" applyFont="1" applyBorder="1" applyAlignment="1">
      <alignment vertical="top" wrapText="1"/>
    </xf>
    <xf numFmtId="49" fontId="31" fillId="0" borderId="0" xfId="0" applyNumberFormat="1" applyFont="1" applyAlignment="1">
      <alignment vertical="center" wrapText="1"/>
    </xf>
    <xf numFmtId="0" fontId="31" fillId="0" borderId="9" xfId="0" applyFont="1" applyBorder="1" applyAlignment="1">
      <alignment horizontal="center" vertical="top" wrapText="1"/>
    </xf>
    <xf numFmtId="0" fontId="117" fillId="0" borderId="0" xfId="0" applyNumberFormat="1" applyFont="1" applyAlignment="1">
      <alignment vertical="center" wrapText="1"/>
    </xf>
    <xf numFmtId="0" fontId="117" fillId="0" borderId="10" xfId="0" applyFont="1" applyBorder="1" applyAlignment="1">
      <alignment vertical="center" wrapText="1"/>
    </xf>
    <xf numFmtId="49" fontId="117" fillId="0" borderId="27" xfId="0" applyNumberFormat="1" applyFont="1" applyBorder="1" applyAlignment="1">
      <alignment vertical="center" wrapText="1"/>
    </xf>
    <xf numFmtId="49" fontId="118" fillId="0" borderId="41" xfId="0" applyNumberFormat="1" applyFont="1" applyFill="1" applyBorder="1" applyAlignment="1" applyProtection="1">
      <alignment horizontal="center" vertical="center"/>
      <protection locked="0"/>
    </xf>
    <xf numFmtId="49" fontId="118" fillId="0" borderId="41" xfId="0" applyNumberFormat="1" applyFont="1" applyFill="1" applyBorder="1" applyAlignment="1" applyProtection="1">
      <alignment vertical="center" wrapText="1"/>
      <protection locked="0"/>
    </xf>
    <xf numFmtId="0" fontId="117" fillId="0" borderId="27" xfId="0" applyFont="1" applyBorder="1" applyAlignment="1">
      <alignment horizontal="center" vertical="center" wrapText="1"/>
    </xf>
    <xf numFmtId="170" fontId="117" fillId="0" borderId="27" xfId="0" applyNumberFormat="1" applyFont="1" applyBorder="1" applyAlignment="1">
      <alignment vertical="center" wrapText="1"/>
    </xf>
    <xf numFmtId="3" fontId="117" fillId="0" borderId="27" xfId="0" applyNumberFormat="1" applyFont="1" applyBorder="1" applyAlignment="1">
      <alignment vertical="center" wrapText="1"/>
    </xf>
    <xf numFmtId="0" fontId="117" fillId="0" borderId="27" xfId="0" applyFont="1" applyBorder="1" applyAlignment="1">
      <alignment vertical="center" wrapText="1"/>
    </xf>
    <xf numFmtId="167" fontId="117" fillId="0" borderId="27" xfId="0" applyNumberFormat="1" applyFont="1" applyBorder="1" applyAlignment="1">
      <alignment vertical="center" wrapText="1"/>
    </xf>
    <xf numFmtId="167" fontId="117" fillId="0" borderId="10" xfId="0" applyNumberFormat="1" applyFont="1" applyBorder="1" applyAlignment="1">
      <alignment vertical="center" wrapText="1"/>
    </xf>
    <xf numFmtId="0" fontId="117" fillId="0" borderId="0" xfId="0" applyFont="1" applyBorder="1" applyAlignment="1">
      <alignment vertical="center" wrapText="1"/>
    </xf>
    <xf numFmtId="0" fontId="31" fillId="0" borderId="23" xfId="0" applyFont="1" applyBorder="1" applyAlignment="1">
      <alignment vertical="top" wrapText="1"/>
    </xf>
    <xf numFmtId="49" fontId="31" fillId="0" borderId="23" xfId="0" applyNumberFormat="1" applyFont="1" applyBorder="1" applyAlignment="1">
      <alignment vertical="top" wrapText="1"/>
    </xf>
    <xf numFmtId="0" fontId="31" fillId="0" borderId="23" xfId="0" applyFont="1" applyBorder="1" applyAlignment="1">
      <alignment vertical="top"/>
    </xf>
    <xf numFmtId="0" fontId="31" fillId="0" borderId="23" xfId="0" applyNumberFormat="1" applyFont="1" applyBorder="1" applyAlignment="1">
      <alignment horizontal="center" vertical="top" wrapText="1"/>
    </xf>
    <xf numFmtId="170" fontId="31" fillId="0" borderId="23" xfId="0" applyNumberFormat="1" applyFont="1" applyBorder="1" applyAlignment="1">
      <alignment vertical="top" wrapText="1"/>
    </xf>
    <xf numFmtId="49" fontId="31" fillId="0" borderId="43" xfId="0" applyNumberFormat="1" applyFont="1" applyBorder="1" applyAlignment="1">
      <alignment vertical="center" wrapText="1"/>
    </xf>
    <xf numFmtId="49" fontId="31" fillId="0" borderId="23" xfId="0" applyNumberFormat="1" applyFont="1" applyBorder="1" applyAlignment="1">
      <alignment vertical="center" wrapText="1"/>
    </xf>
    <xf numFmtId="0" fontId="31" fillId="0" borderId="23" xfId="0" applyFont="1" applyBorder="1" applyAlignment="1">
      <alignment vertical="center"/>
    </xf>
    <xf numFmtId="0" fontId="117" fillId="0" borderId="9" xfId="0" applyNumberFormat="1" applyFont="1" applyBorder="1" applyAlignment="1">
      <alignment vertical="top" wrapText="1"/>
    </xf>
    <xf numFmtId="0" fontId="4" fillId="0" borderId="9" xfId="0" applyNumberFormat="1" applyFont="1" applyFill="1" applyBorder="1" applyAlignment="1" applyProtection="1">
      <alignment horizontal="center" vertical="center"/>
      <protection locked="0"/>
    </xf>
    <xf numFmtId="0" fontId="117" fillId="0" borderId="9" xfId="0" applyNumberFormat="1" applyFont="1" applyBorder="1" applyAlignment="1">
      <alignment vertical="top"/>
    </xf>
    <xf numFmtId="0" fontId="4" fillId="0" borderId="9" xfId="0" applyNumberFormat="1" applyFont="1" applyFill="1" applyBorder="1" applyAlignment="1" applyProtection="1">
      <alignment vertical="center" wrapText="1"/>
      <protection locked="0"/>
    </xf>
    <xf numFmtId="0" fontId="117" fillId="0" borderId="9" xfId="0" applyNumberFormat="1" applyFont="1" applyBorder="1" applyAlignment="1">
      <alignment horizontal="center" vertical="top" wrapText="1"/>
    </xf>
    <xf numFmtId="0" fontId="117" fillId="0" borderId="9" xfId="0" applyNumberFormat="1" applyFont="1" applyBorder="1" applyAlignment="1">
      <alignment vertical="center" wrapText="1"/>
    </xf>
    <xf numFmtId="167" fontId="117" fillId="0" borderId="9" xfId="0" applyNumberFormat="1" applyFont="1" applyBorder="1" applyAlignment="1">
      <alignment vertical="center"/>
    </xf>
    <xf numFmtId="0" fontId="117" fillId="0" borderId="9" xfId="0" applyNumberFormat="1" applyFont="1" applyBorder="1" applyAlignment="1">
      <alignment vertical="center"/>
    </xf>
    <xf numFmtId="0" fontId="117" fillId="0" borderId="10" xfId="0" applyNumberFormat="1" applyFont="1" applyBorder="1" applyAlignment="1">
      <alignment vertical="top" wrapText="1"/>
    </xf>
    <xf numFmtId="0" fontId="4" fillId="0" borderId="10" xfId="0" applyNumberFormat="1" applyFont="1" applyFill="1" applyBorder="1" applyAlignment="1" applyProtection="1">
      <alignment horizontal="center" vertical="center"/>
      <protection locked="0"/>
    </xf>
    <xf numFmtId="0" fontId="117" fillId="0" borderId="10" xfId="0" applyNumberFormat="1" applyFont="1" applyBorder="1" applyAlignment="1">
      <alignment vertical="top"/>
    </xf>
    <xf numFmtId="0" fontId="22" fillId="0" borderId="10" xfId="0" applyNumberFormat="1" applyFont="1" applyFill="1" applyBorder="1" applyAlignment="1" applyProtection="1">
      <alignment horizontal="center" vertical="center" wrapText="1"/>
      <protection locked="0"/>
    </xf>
    <xf numFmtId="0" fontId="117" fillId="0" borderId="10" xfId="0" applyNumberFormat="1" applyFont="1" applyBorder="1" applyAlignment="1">
      <alignment horizontal="center" vertical="top" wrapText="1"/>
    </xf>
    <xf numFmtId="0" fontId="117" fillId="0" borderId="10" xfId="0" applyNumberFormat="1" applyFont="1" applyBorder="1" applyAlignment="1">
      <alignment vertical="center" wrapText="1"/>
    </xf>
    <xf numFmtId="167" fontId="117" fillId="0" borderId="10" xfId="0" applyNumberFormat="1" applyFont="1" applyBorder="1" applyAlignment="1">
      <alignment vertical="center"/>
    </xf>
    <xf numFmtId="0" fontId="117" fillId="0" borderId="10" xfId="0" applyNumberFormat="1" applyFont="1" applyBorder="1" applyAlignment="1">
      <alignment vertical="center"/>
    </xf>
    <xf numFmtId="0" fontId="84" fillId="0" borderId="10" xfId="0" applyNumberFormat="1" applyFont="1" applyBorder="1" applyAlignment="1">
      <alignment horizontal="left" vertical="top" wrapText="1"/>
    </xf>
    <xf numFmtId="0" fontId="84" fillId="0" borderId="10" xfId="0" applyNumberFormat="1" applyFont="1" applyFill="1" applyBorder="1" applyAlignment="1" applyProtection="1">
      <alignment horizontal="left" vertical="center"/>
      <protection locked="0"/>
    </xf>
    <xf numFmtId="0" fontId="84" fillId="0" borderId="10" xfId="0" applyNumberFormat="1" applyFont="1" applyBorder="1" applyAlignment="1">
      <alignment horizontal="left" vertical="top"/>
    </xf>
    <xf numFmtId="0" fontId="84" fillId="0" borderId="10" xfId="0" applyNumberFormat="1" applyFont="1" applyFill="1" applyBorder="1" applyAlignment="1" applyProtection="1">
      <alignment horizontal="left" vertical="center" wrapText="1"/>
      <protection locked="0"/>
    </xf>
    <xf numFmtId="0" fontId="84" fillId="0" borderId="10" xfId="0" applyNumberFormat="1" applyFont="1" applyBorder="1" applyAlignment="1">
      <alignment horizontal="center" vertical="top" wrapText="1"/>
    </xf>
    <xf numFmtId="0" fontId="119" fillId="0" borderId="10" xfId="0" applyNumberFormat="1" applyFont="1" applyFill="1" applyBorder="1" applyAlignment="1" applyProtection="1">
      <alignment horizontal="center" vertical="center" wrapText="1"/>
      <protection locked="0"/>
    </xf>
    <xf numFmtId="0" fontId="84" fillId="0" borderId="11" xfId="0" applyNumberFormat="1" applyFont="1" applyBorder="1" applyAlignment="1">
      <alignment horizontal="left" vertical="top" wrapText="1"/>
    </xf>
    <xf numFmtId="0" fontId="84" fillId="0" borderId="11" xfId="0" applyNumberFormat="1" applyFont="1" applyFill="1" applyBorder="1" applyAlignment="1" applyProtection="1">
      <alignment horizontal="left" vertical="center"/>
      <protection locked="0"/>
    </xf>
    <xf numFmtId="0" fontId="84" fillId="0" borderId="11" xfId="0" applyNumberFormat="1" applyFont="1" applyBorder="1" applyAlignment="1">
      <alignment horizontal="left" vertical="top"/>
    </xf>
    <xf numFmtId="0" fontId="84" fillId="0" borderId="11" xfId="0" applyNumberFormat="1" applyFont="1" applyFill="1" applyBorder="1" applyAlignment="1" applyProtection="1">
      <alignment horizontal="left" vertical="center" wrapText="1"/>
      <protection locked="0"/>
    </xf>
    <xf numFmtId="0" fontId="84" fillId="0" borderId="11" xfId="0" applyNumberFormat="1" applyFont="1" applyBorder="1" applyAlignment="1">
      <alignment horizontal="center" vertical="top" wrapText="1"/>
    </xf>
    <xf numFmtId="0" fontId="117" fillId="0" borderId="11" xfId="0" applyNumberFormat="1" applyFont="1" applyBorder="1" applyAlignment="1">
      <alignment vertical="center" wrapText="1"/>
    </xf>
    <xf numFmtId="0" fontId="117" fillId="0" borderId="11" xfId="0" applyNumberFormat="1" applyFont="1" applyBorder="1" applyAlignment="1">
      <alignment vertical="center"/>
    </xf>
    <xf numFmtId="170" fontId="83" fillId="9" borderId="16" xfId="0" applyNumberFormat="1" applyFont="1" applyFill="1" applyBorder="1" applyAlignment="1" applyProtection="1">
      <alignment horizontal="centerContinuous" wrapText="1"/>
    </xf>
    <xf numFmtId="170" fontId="117" fillId="0" borderId="9" xfId="0" applyNumberFormat="1" applyFont="1" applyBorder="1" applyAlignment="1">
      <alignment vertical="top" wrapText="1"/>
    </xf>
    <xf numFmtId="170" fontId="117" fillId="0" borderId="10" xfId="0" applyNumberFormat="1" applyFont="1" applyBorder="1" applyAlignment="1">
      <alignment vertical="top" wrapText="1"/>
    </xf>
    <xf numFmtId="170" fontId="84" fillId="0" borderId="10" xfId="0" applyNumberFormat="1" applyFont="1" applyBorder="1" applyAlignment="1">
      <alignment vertical="top" wrapText="1"/>
    </xf>
    <xf numFmtId="170" fontId="84" fillId="0" borderId="11" xfId="0" applyNumberFormat="1" applyFont="1" applyBorder="1" applyAlignment="1">
      <alignment vertical="top" wrapText="1"/>
    </xf>
    <xf numFmtId="170" fontId="117" fillId="0" borderId="11" xfId="0" applyNumberFormat="1" applyFont="1" applyBorder="1" applyAlignment="1">
      <alignment vertical="top" wrapText="1"/>
    </xf>
    <xf numFmtId="2" fontId="5" fillId="0" borderId="0" xfId="0" applyNumberFormat="1" applyFont="1" applyFill="1" applyBorder="1" applyAlignment="1" applyProtection="1">
      <alignment vertical="center" wrapText="1"/>
      <protection hidden="1"/>
    </xf>
    <xf numFmtId="3" fontId="37" fillId="9" borderId="16" xfId="0" applyNumberFormat="1" applyFont="1" applyFill="1" applyBorder="1" applyAlignment="1" applyProtection="1">
      <alignment horizontal="center" vertical="center" wrapText="1"/>
      <protection locked="0"/>
    </xf>
    <xf numFmtId="0" fontId="18" fillId="9" borderId="9" xfId="0" applyFont="1" applyFill="1" applyBorder="1" applyAlignment="1" applyProtection="1">
      <alignment horizontal="center" vertical="center" wrapText="1"/>
      <protection locked="0"/>
    </xf>
    <xf numFmtId="0" fontId="18" fillId="9" borderId="27" xfId="0" applyFont="1" applyFill="1" applyBorder="1" applyAlignment="1" applyProtection="1">
      <alignment horizontal="center" vertical="center" wrapText="1"/>
      <protection locked="0"/>
    </xf>
    <xf numFmtId="0" fontId="37" fillId="9" borderId="17" xfId="0" applyFont="1" applyFill="1" applyBorder="1" applyAlignment="1" applyProtection="1">
      <alignment horizontal="center" vertical="center" wrapText="1"/>
      <protection locked="0"/>
    </xf>
    <xf numFmtId="0" fontId="37" fillId="9" borderId="19" xfId="0" applyFont="1" applyFill="1" applyBorder="1" applyAlignment="1" applyProtection="1">
      <alignment horizontal="center" vertical="center" wrapText="1"/>
      <protection locked="0"/>
    </xf>
    <xf numFmtId="3" fontId="37" fillId="9" borderId="24" xfId="0" applyNumberFormat="1" applyFont="1" applyFill="1" applyBorder="1" applyAlignment="1" applyProtection="1">
      <alignment horizontal="center" vertical="center" wrapText="1"/>
      <protection locked="0"/>
    </xf>
    <xf numFmtId="3" fontId="37" fillId="9" borderId="25" xfId="0" applyNumberFormat="1" applyFont="1" applyFill="1" applyBorder="1" applyAlignment="1" applyProtection="1">
      <alignment horizontal="center" vertical="center" wrapText="1"/>
      <protection locked="0"/>
    </xf>
    <xf numFmtId="3" fontId="37" fillId="9" borderId="18" xfId="0" applyNumberFormat="1" applyFont="1" applyFill="1" applyBorder="1" applyAlignment="1" applyProtection="1">
      <alignment horizontal="center" vertical="center" wrapText="1"/>
      <protection locked="0"/>
    </xf>
    <xf numFmtId="0" fontId="37" fillId="9" borderId="16" xfId="0" applyFont="1" applyFill="1" applyBorder="1" applyAlignment="1" applyProtection="1">
      <alignment horizontal="center" vertical="center" wrapText="1"/>
      <protection locked="0"/>
    </xf>
    <xf numFmtId="0" fontId="37" fillId="9" borderId="16" xfId="0" applyFont="1" applyFill="1" applyBorder="1" applyAlignment="1" applyProtection="1">
      <alignment horizontal="center" vertical="center" wrapText="1"/>
    </xf>
    <xf numFmtId="0" fontId="37" fillId="9" borderId="17" xfId="0" applyFont="1" applyFill="1" applyBorder="1" applyAlignment="1" applyProtection="1">
      <alignment horizontal="center" vertical="center" wrapText="1"/>
    </xf>
    <xf numFmtId="0" fontId="37" fillId="9" borderId="19" xfId="0" applyFont="1" applyFill="1" applyBorder="1" applyAlignment="1" applyProtection="1">
      <alignment horizontal="center" vertical="center" wrapText="1"/>
    </xf>
    <xf numFmtId="170" fontId="37" fillId="9" borderId="16" xfId="0" applyNumberFormat="1" applyFont="1" applyFill="1" applyBorder="1" applyAlignment="1" applyProtection="1">
      <alignment horizontal="center" vertical="center" wrapText="1"/>
    </xf>
    <xf numFmtId="0" fontId="37" fillId="9" borderId="24" xfId="0" applyFont="1" applyFill="1" applyBorder="1" applyAlignment="1" applyProtection="1">
      <alignment horizontal="center" vertical="center" wrapText="1"/>
    </xf>
    <xf numFmtId="0" fontId="37" fillId="9" borderId="25" xfId="0" applyFont="1" applyFill="1" applyBorder="1" applyAlignment="1" applyProtection="1">
      <alignment horizontal="center" vertical="center" wrapText="1"/>
    </xf>
    <xf numFmtId="0" fontId="37" fillId="9" borderId="18" xfId="0" applyFont="1" applyFill="1" applyBorder="1" applyAlignment="1" applyProtection="1">
      <alignment horizontal="center" vertical="center" wrapText="1"/>
    </xf>
    <xf numFmtId="0" fontId="7" fillId="9" borderId="16" xfId="0" applyFont="1" applyFill="1" applyBorder="1" applyAlignment="1">
      <alignment horizontal="center" vertical="center" wrapText="1"/>
    </xf>
    <xf numFmtId="170" fontId="18" fillId="9" borderId="16" xfId="0" applyNumberFormat="1" applyFont="1" applyFill="1" applyBorder="1" applyAlignment="1" applyProtection="1">
      <alignment horizontal="center" vertical="center" wrapText="1"/>
    </xf>
    <xf numFmtId="169" fontId="37" fillId="9" borderId="16" xfId="0" applyNumberFormat="1" applyFont="1" applyFill="1" applyBorder="1" applyAlignment="1" applyProtection="1">
      <alignment horizontal="center" vertical="center" wrapText="1"/>
      <protection locked="0"/>
    </xf>
    <xf numFmtId="3" fontId="18" fillId="9" borderId="16" xfId="0" applyNumberFormat="1" applyFont="1" applyFill="1" applyBorder="1" applyAlignment="1" applyProtection="1">
      <alignment horizontal="center" vertical="center" wrapText="1"/>
      <protection locked="0"/>
    </xf>
    <xf numFmtId="169" fontId="18" fillId="9" borderId="9" xfId="0" applyNumberFormat="1" applyFont="1" applyFill="1" applyBorder="1" applyAlignment="1" applyProtection="1">
      <alignment horizontal="center" vertical="center" wrapText="1"/>
      <protection locked="0"/>
    </xf>
    <xf numFmtId="169" fontId="18" fillId="9" borderId="11" xfId="0" applyNumberFormat="1" applyFont="1" applyFill="1" applyBorder="1" applyAlignment="1" applyProtection="1">
      <alignment horizontal="center" vertical="center" wrapText="1"/>
      <protection locked="0"/>
    </xf>
    <xf numFmtId="169" fontId="37" fillId="9" borderId="17" xfId="0" applyNumberFormat="1" applyFont="1" applyFill="1" applyBorder="1" applyAlignment="1" applyProtection="1">
      <alignment horizontal="center" vertical="center" wrapText="1"/>
      <protection locked="0"/>
    </xf>
    <xf numFmtId="169" fontId="37" fillId="9" borderId="15" xfId="0" applyNumberFormat="1" applyFont="1" applyFill="1" applyBorder="1" applyAlignment="1" applyProtection="1">
      <alignment horizontal="center" vertical="center" wrapText="1"/>
      <protection locked="0"/>
    </xf>
    <xf numFmtId="0" fontId="18" fillId="9" borderId="11" xfId="0" applyFont="1" applyFill="1" applyBorder="1" applyAlignment="1" applyProtection="1">
      <alignment horizontal="center" vertical="center" wrapText="1"/>
      <protection locked="0"/>
    </xf>
    <xf numFmtId="3" fontId="18" fillId="9" borderId="24" xfId="0" applyNumberFormat="1" applyFont="1" applyFill="1" applyBorder="1" applyAlignment="1" applyProtection="1">
      <alignment horizontal="center" vertical="center" wrapText="1"/>
      <protection locked="0"/>
    </xf>
    <xf numFmtId="3" fontId="18" fillId="9" borderId="25" xfId="0" applyNumberFormat="1" applyFont="1" applyFill="1" applyBorder="1" applyAlignment="1" applyProtection="1">
      <alignment horizontal="center" vertical="center" wrapText="1"/>
      <protection locked="0"/>
    </xf>
    <xf numFmtId="3" fontId="18" fillId="9" borderId="18" xfId="0" applyNumberFormat="1" applyFont="1" applyFill="1" applyBorder="1" applyAlignment="1" applyProtection="1">
      <alignment horizontal="center" vertical="center" wrapText="1"/>
      <protection locked="0"/>
    </xf>
    <xf numFmtId="3" fontId="113" fillId="9" borderId="16" xfId="0" applyNumberFormat="1" applyFont="1" applyFill="1" applyBorder="1" applyAlignment="1" applyProtection="1">
      <alignment horizontal="center" wrapText="1"/>
    </xf>
    <xf numFmtId="0" fontId="113" fillId="9" borderId="16" xfId="0" applyFont="1" applyFill="1" applyBorder="1" applyAlignment="1" applyProtection="1">
      <alignment horizontal="center" vertical="center" wrapText="1"/>
    </xf>
    <xf numFmtId="0" fontId="115" fillId="9" borderId="16" xfId="0" applyFont="1" applyFill="1" applyBorder="1" applyAlignment="1">
      <alignment horizontal="center" wrapText="1"/>
    </xf>
    <xf numFmtId="170" fontId="114" fillId="9" borderId="16" xfId="0" applyNumberFormat="1" applyFont="1" applyFill="1" applyBorder="1" applyAlignment="1" applyProtection="1">
      <alignment horizontal="center" vertical="top"/>
    </xf>
    <xf numFmtId="0" fontId="113" fillId="9" borderId="17" xfId="0" applyFont="1" applyFill="1" applyBorder="1" applyAlignment="1" applyProtection="1">
      <alignment horizontal="center" vertical="center" wrapText="1"/>
    </xf>
    <xf numFmtId="0" fontId="113" fillId="9" borderId="16" xfId="0" applyFont="1" applyFill="1" applyBorder="1" applyAlignment="1" applyProtection="1">
      <alignment horizontal="center" vertical="center"/>
    </xf>
    <xf numFmtId="0" fontId="113" fillId="9" borderId="17" xfId="0" applyFont="1" applyFill="1" applyBorder="1" applyAlignment="1" applyProtection="1">
      <alignment horizontal="center" vertical="center"/>
    </xf>
    <xf numFmtId="0" fontId="113" fillId="9" borderId="16" xfId="0" applyFont="1" applyFill="1" applyBorder="1" applyAlignment="1" applyProtection="1">
      <alignment horizontal="center" vertical="center" wrapText="1"/>
      <protection locked="0"/>
    </xf>
    <xf numFmtId="0" fontId="113" fillId="9" borderId="17" xfId="0" applyFont="1" applyFill="1" applyBorder="1" applyAlignment="1" applyProtection="1">
      <alignment horizontal="center" vertical="center" wrapText="1"/>
      <protection locked="0"/>
    </xf>
    <xf numFmtId="0" fontId="37" fillId="9" borderId="16" xfId="0" applyFont="1" applyFill="1" applyBorder="1" applyAlignment="1" applyProtection="1">
      <alignment horizontal="center" vertical="center"/>
    </xf>
    <xf numFmtId="0" fontId="37" fillId="9" borderId="17" xfId="0" applyFont="1" applyFill="1" applyBorder="1" applyAlignment="1" applyProtection="1">
      <alignment horizontal="center" vertical="center"/>
    </xf>
    <xf numFmtId="3" fontId="37" fillId="9" borderId="26" xfId="0" applyNumberFormat="1" applyFont="1" applyFill="1" applyBorder="1" applyAlignment="1" applyProtection="1">
      <alignment horizontal="center" vertical="center" wrapText="1"/>
    </xf>
    <xf numFmtId="3" fontId="37" fillId="9" borderId="31" xfId="0" applyNumberFormat="1" applyFont="1" applyFill="1" applyBorder="1" applyAlignment="1" applyProtection="1">
      <alignment horizontal="center" vertical="center" wrapText="1"/>
    </xf>
    <xf numFmtId="3" fontId="37" fillId="9" borderId="16" xfId="0" applyNumberFormat="1" applyFont="1" applyFill="1" applyBorder="1" applyAlignment="1" applyProtection="1">
      <alignment horizontal="center" vertical="center" wrapText="1"/>
    </xf>
    <xf numFmtId="3" fontId="18" fillId="9" borderId="16" xfId="0" applyNumberFormat="1" applyFont="1" applyFill="1" applyBorder="1" applyAlignment="1" applyProtection="1">
      <alignment horizontal="center" vertical="center" wrapText="1"/>
    </xf>
    <xf numFmtId="3" fontId="37" fillId="9" borderId="16" xfId="1" applyNumberFormat="1" applyFont="1" applyFill="1" applyBorder="1" applyAlignment="1" applyProtection="1">
      <alignment horizontal="center" vertical="center" wrapText="1"/>
    </xf>
    <xf numFmtId="168" fontId="37" fillId="9" borderId="16" xfId="1" applyNumberFormat="1" applyFont="1" applyFill="1" applyBorder="1" applyAlignment="1" applyProtection="1">
      <alignment horizontal="center" vertical="center" wrapText="1"/>
    </xf>
    <xf numFmtId="0" fontId="5" fillId="11" borderId="0" xfId="0" quotePrefix="1" applyFont="1" applyFill="1" applyAlignment="1">
      <alignment horizontal="left" vertical="top" wrapText="1"/>
    </xf>
    <xf numFmtId="0" fontId="4" fillId="10" borderId="16" xfId="0" applyFont="1" applyFill="1" applyBorder="1" applyAlignment="1">
      <alignment horizontal="center"/>
    </xf>
    <xf numFmtId="0" fontId="8" fillId="0" borderId="9" xfId="0" applyFont="1" applyFill="1" applyBorder="1" applyAlignment="1">
      <alignment horizontal="center" vertical="center"/>
    </xf>
    <xf numFmtId="0" fontId="8" fillId="0" borderId="11" xfId="0" applyFont="1" applyFill="1" applyBorder="1" applyAlignment="1">
      <alignment horizontal="center" vertical="center"/>
    </xf>
    <xf numFmtId="173" fontId="4" fillId="11" borderId="24" xfId="0" applyNumberFormat="1" applyFont="1" applyFill="1" applyBorder="1" applyAlignment="1">
      <alignment horizontal="right"/>
    </xf>
    <xf numFmtId="0" fontId="4" fillId="11" borderId="25" xfId="0" applyFont="1" applyFill="1" applyBorder="1" applyAlignment="1">
      <alignment horizontal="right"/>
    </xf>
    <xf numFmtId="0" fontId="4" fillId="11" borderId="18" xfId="0" applyFont="1" applyFill="1" applyBorder="1" applyAlignment="1">
      <alignment horizontal="right"/>
    </xf>
    <xf numFmtId="0" fontId="8" fillId="11" borderId="16" xfId="0" applyFont="1" applyFill="1" applyBorder="1" applyAlignment="1">
      <alignment horizontal="center" vertical="center"/>
    </xf>
    <xf numFmtId="0" fontId="4" fillId="11" borderId="0" xfId="0" quotePrefix="1" applyFont="1" applyFill="1" applyAlignment="1">
      <alignment horizontal="left" vertical="top" wrapText="1"/>
    </xf>
    <xf numFmtId="3" fontId="7" fillId="0" borderId="0" xfId="0" applyNumberFormat="1" applyFont="1" applyFill="1" applyBorder="1" applyAlignment="1" applyProtection="1">
      <alignment horizontal="center"/>
    </xf>
    <xf numFmtId="3" fontId="23" fillId="0" borderId="0" xfId="0" applyNumberFormat="1" applyFont="1" applyFill="1" applyBorder="1" applyAlignment="1" applyProtection="1">
      <alignment horizontal="center"/>
    </xf>
    <xf numFmtId="0" fontId="3" fillId="0" borderId="17" xfId="0" applyFont="1" applyBorder="1" applyAlignment="1">
      <alignment horizontal="center" vertical="center" wrapText="1"/>
    </xf>
    <xf numFmtId="0" fontId="3" fillId="0" borderId="15" xfId="0" applyFont="1" applyBorder="1" applyAlignment="1">
      <alignment horizontal="center" vertical="center" wrapText="1"/>
    </xf>
    <xf numFmtId="37" fontId="8" fillId="0" borderId="0" xfId="1" applyNumberFormat="1" applyFont="1" applyBorder="1" applyAlignment="1">
      <alignment horizontal="left"/>
    </xf>
    <xf numFmtId="37" fontId="8" fillId="0" borderId="5" xfId="1" applyNumberFormat="1" applyFont="1" applyBorder="1" applyAlignment="1">
      <alignment horizontal="left"/>
    </xf>
    <xf numFmtId="170" fontId="18" fillId="9" borderId="17" xfId="0" applyNumberFormat="1" applyFont="1" applyFill="1" applyBorder="1" applyAlignment="1" applyProtection="1">
      <alignment horizontal="center" vertical="center" wrapText="1"/>
    </xf>
    <xf numFmtId="170" fontId="38" fillId="9" borderId="16" xfId="0" applyNumberFormat="1" applyFont="1" applyFill="1" applyBorder="1" applyAlignment="1">
      <alignment horizontal="center" vertical="center" wrapText="1"/>
    </xf>
    <xf numFmtId="0" fontId="38" fillId="9" borderId="16" xfId="0" applyFont="1" applyFill="1" applyBorder="1" applyAlignment="1">
      <alignment horizontal="center" vertical="center" wrapText="1"/>
    </xf>
    <xf numFmtId="3" fontId="38" fillId="9" borderId="16" xfId="0" applyNumberFormat="1" applyFont="1" applyFill="1" applyBorder="1" applyAlignment="1">
      <alignment horizontal="center" vertical="center" wrapText="1"/>
    </xf>
    <xf numFmtId="3" fontId="38" fillId="9" borderId="16" xfId="1" applyNumberFormat="1" applyFont="1" applyFill="1" applyBorder="1" applyAlignment="1">
      <alignment horizontal="center" vertical="center" wrapText="1"/>
    </xf>
    <xf numFmtId="168" fontId="38" fillId="9" borderId="16" xfId="1" applyNumberFormat="1" applyFont="1" applyFill="1" applyBorder="1" applyAlignment="1">
      <alignment horizontal="center" vertical="center" wrapText="1"/>
    </xf>
    <xf numFmtId="0" fontId="8" fillId="3" borderId="30" xfId="0" applyFont="1" applyFill="1" applyBorder="1" applyAlignment="1">
      <alignment horizontal="center"/>
    </xf>
    <xf numFmtId="168" fontId="43" fillId="9" borderId="17" xfId="1" applyNumberFormat="1" applyFont="1" applyFill="1" applyBorder="1" applyAlignment="1">
      <alignment horizontal="center" vertical="center" wrapText="1"/>
    </xf>
    <xf numFmtId="168" fontId="43" fillId="9" borderId="15" xfId="1" applyNumberFormat="1" applyFont="1" applyFill="1" applyBorder="1" applyAlignment="1">
      <alignment horizontal="center" vertical="center" wrapText="1"/>
    </xf>
    <xf numFmtId="170" fontId="51" fillId="9" borderId="17" xfId="0" applyNumberFormat="1" applyFont="1" applyFill="1" applyBorder="1" applyAlignment="1" applyProtection="1">
      <alignment horizontal="center" vertical="center" wrapText="1"/>
    </xf>
    <xf numFmtId="170" fontId="51" fillId="9" borderId="15" xfId="0" applyNumberFormat="1" applyFont="1" applyFill="1" applyBorder="1" applyAlignment="1" applyProtection="1">
      <alignment horizontal="center" vertical="center" wrapText="1"/>
    </xf>
    <xf numFmtId="170" fontId="43" fillId="9" borderId="17" xfId="0" applyNumberFormat="1" applyFont="1" applyFill="1" applyBorder="1" applyAlignment="1" applyProtection="1">
      <alignment horizontal="center" vertical="center" wrapText="1"/>
    </xf>
    <xf numFmtId="170" fontId="43" fillId="9" borderId="15" xfId="0" applyNumberFormat="1" applyFont="1" applyFill="1" applyBorder="1" applyAlignment="1" applyProtection="1">
      <alignment horizontal="center" vertical="center" wrapText="1"/>
    </xf>
    <xf numFmtId="0" fontId="12" fillId="9" borderId="16" xfId="0" applyFont="1" applyFill="1" applyBorder="1" applyAlignment="1">
      <alignment horizontal="center" vertical="center" wrapText="1"/>
    </xf>
    <xf numFmtId="0" fontId="12" fillId="9" borderId="32" xfId="0" applyFont="1" applyFill="1" applyBorder="1" applyAlignment="1">
      <alignment horizontal="center" vertical="center" wrapText="1"/>
    </xf>
    <xf numFmtId="0" fontId="12" fillId="9" borderId="33" xfId="0" applyFont="1" applyFill="1" applyBorder="1" applyAlignment="1">
      <alignment horizontal="center" vertical="center" wrapText="1"/>
    </xf>
    <xf numFmtId="168" fontId="43" fillId="9" borderId="24" xfId="1" applyNumberFormat="1" applyFont="1" applyFill="1" applyBorder="1" applyAlignment="1">
      <alignment horizontal="center" vertical="center" wrapText="1"/>
    </xf>
    <xf numFmtId="168" fontId="43" fillId="9" borderId="25" xfId="1" applyNumberFormat="1" applyFont="1" applyFill="1" applyBorder="1" applyAlignment="1">
      <alignment horizontal="center" vertical="center" wrapText="1"/>
    </xf>
    <xf numFmtId="168" fontId="43" fillId="9" borderId="18" xfId="1" applyNumberFormat="1" applyFont="1" applyFill="1" applyBorder="1" applyAlignment="1">
      <alignment horizontal="center" vertical="center" wrapText="1"/>
    </xf>
    <xf numFmtId="168" fontId="43" fillId="9" borderId="16" xfId="1" applyNumberFormat="1" applyFont="1" applyFill="1" applyBorder="1" applyAlignment="1">
      <alignment horizontal="center" vertical="center" wrapText="1"/>
    </xf>
    <xf numFmtId="0" fontId="7" fillId="0" borderId="0" xfId="0" applyFont="1" applyAlignment="1">
      <alignment horizontal="center"/>
    </xf>
    <xf numFmtId="3" fontId="12" fillId="9" borderId="16" xfId="0" applyNumberFormat="1" applyFont="1" applyFill="1" applyBorder="1" applyAlignment="1" applyProtection="1">
      <alignment horizontal="center" vertical="center" wrapText="1"/>
      <protection locked="0"/>
    </xf>
    <xf numFmtId="3" fontId="3" fillId="9" borderId="17" xfId="0" applyNumberFormat="1" applyFont="1" applyFill="1" applyBorder="1" applyAlignment="1">
      <alignment horizontal="center" vertical="center" wrapText="1"/>
    </xf>
    <xf numFmtId="170" fontId="38" fillId="9" borderId="17" xfId="0" applyNumberFormat="1" applyFont="1" applyFill="1" applyBorder="1" applyAlignment="1">
      <alignment horizontal="center" vertical="center" wrapText="1"/>
    </xf>
    <xf numFmtId="0" fontId="38" fillId="9" borderId="16" xfId="0" applyNumberFormat="1" applyFont="1" applyFill="1" applyBorder="1" applyAlignment="1">
      <alignment horizontal="center" vertical="center" wrapText="1"/>
    </xf>
    <xf numFmtId="0" fontId="38" fillId="9" borderId="17" xfId="0" applyNumberFormat="1" applyFont="1" applyFill="1" applyBorder="1" applyAlignment="1">
      <alignment horizontal="center" vertical="center" wrapText="1"/>
    </xf>
    <xf numFmtId="3" fontId="38" fillId="9" borderId="17" xfId="0" applyNumberFormat="1" applyFont="1" applyFill="1" applyBorder="1" applyAlignment="1">
      <alignment horizontal="center" vertical="center" wrapText="1"/>
    </xf>
    <xf numFmtId="0" fontId="38" fillId="9" borderId="17" xfId="0" applyFont="1" applyFill="1" applyBorder="1" applyAlignment="1">
      <alignment horizontal="center" vertical="center" wrapText="1"/>
    </xf>
    <xf numFmtId="0" fontId="38" fillId="9" borderId="19" xfId="0" applyFont="1" applyFill="1" applyBorder="1" applyAlignment="1">
      <alignment horizontal="center" vertical="center" wrapText="1"/>
    </xf>
    <xf numFmtId="3" fontId="38" fillId="9" borderId="17" xfId="1" applyNumberFormat="1" applyFont="1" applyFill="1" applyBorder="1" applyAlignment="1">
      <alignment horizontal="center" vertical="center" wrapText="1"/>
    </xf>
    <xf numFmtId="170" fontId="38" fillId="9" borderId="16" xfId="1" applyNumberFormat="1" applyFont="1" applyFill="1" applyBorder="1" applyAlignment="1">
      <alignment horizontal="center" vertical="center" wrapText="1"/>
    </xf>
    <xf numFmtId="170" fontId="38" fillId="9" borderId="17" xfId="1" applyNumberFormat="1" applyFont="1" applyFill="1" applyBorder="1" applyAlignment="1">
      <alignment horizontal="center" vertical="center" wrapText="1"/>
    </xf>
    <xf numFmtId="0" fontId="38" fillId="9" borderId="17" xfId="0" applyFont="1" applyFill="1" applyBorder="1" applyAlignment="1">
      <alignment horizontal="center" vertical="center"/>
    </xf>
    <xf numFmtId="0" fontId="58" fillId="0" borderId="16" xfId="0" applyFont="1" applyBorder="1" applyAlignment="1">
      <alignment horizontal="center" vertical="center" wrapText="1"/>
    </xf>
    <xf numFmtId="0" fontId="19" fillId="0" borderId="30" xfId="0" applyFont="1" applyBorder="1" applyAlignment="1">
      <alignment horizontal="center" wrapText="1"/>
    </xf>
    <xf numFmtId="0" fontId="43" fillId="0" borderId="30" xfId="0" applyFont="1" applyBorder="1" applyAlignment="1">
      <alignment horizontal="center"/>
    </xf>
    <xf numFmtId="0" fontId="8" fillId="0" borderId="0" xfId="0" applyFont="1" applyAlignment="1">
      <alignment horizontal="center"/>
    </xf>
    <xf numFmtId="170" fontId="12" fillId="9" borderId="16" xfId="0" applyNumberFormat="1" applyFont="1" applyFill="1" applyBorder="1" applyAlignment="1" applyProtection="1">
      <alignment horizontal="center" vertical="center"/>
      <protection locked="0"/>
    </xf>
    <xf numFmtId="170" fontId="3" fillId="9" borderId="17" xfId="0" applyNumberFormat="1" applyFont="1" applyFill="1" applyBorder="1" applyAlignment="1">
      <alignment horizontal="center" vertical="center"/>
    </xf>
    <xf numFmtId="3" fontId="12" fillId="9" borderId="16" xfId="0" applyNumberFormat="1" applyFont="1" applyFill="1" applyBorder="1" applyAlignment="1" applyProtection="1">
      <alignment horizontal="center" vertical="center"/>
      <protection locked="0"/>
    </xf>
    <xf numFmtId="3" fontId="3" fillId="9" borderId="17" xfId="0" applyNumberFormat="1" applyFont="1" applyFill="1" applyBorder="1" applyAlignment="1">
      <alignment horizontal="center" vertical="center"/>
    </xf>
    <xf numFmtId="3" fontId="38" fillId="9" borderId="16" xfId="0" applyNumberFormat="1" applyFont="1" applyFill="1" applyBorder="1" applyAlignment="1">
      <alignment horizontal="center" vertical="center"/>
    </xf>
    <xf numFmtId="3" fontId="38" fillId="9" borderId="17" xfId="0" applyNumberFormat="1" applyFont="1" applyFill="1" applyBorder="1" applyAlignment="1">
      <alignment horizontal="center" vertical="center"/>
    </xf>
    <xf numFmtId="0" fontId="38" fillId="9" borderId="24" xfId="0" applyFont="1" applyFill="1" applyBorder="1" applyAlignment="1">
      <alignment horizontal="center" vertical="center" wrapText="1"/>
    </xf>
    <xf numFmtId="0" fontId="38" fillId="9" borderId="25" xfId="0" applyFont="1" applyFill="1" applyBorder="1" applyAlignment="1">
      <alignment horizontal="center" vertical="center" wrapText="1"/>
    </xf>
    <xf numFmtId="0" fontId="38" fillId="9" borderId="18" xfId="0" applyFont="1" applyFill="1" applyBorder="1" applyAlignment="1">
      <alignment horizontal="center" vertical="center" wrapText="1"/>
    </xf>
    <xf numFmtId="0" fontId="37" fillId="9" borderId="16" xfId="0" applyNumberFormat="1" applyFont="1" applyFill="1" applyBorder="1" applyAlignment="1" applyProtection="1">
      <alignment horizontal="center" vertical="center" wrapText="1"/>
    </xf>
    <xf numFmtId="3" fontId="12" fillId="9" borderId="16" xfId="0" applyNumberFormat="1" applyFont="1" applyFill="1" applyBorder="1" applyAlignment="1">
      <alignment horizontal="center" vertical="center" wrapText="1"/>
    </xf>
    <xf numFmtId="3" fontId="12" fillId="9" borderId="16" xfId="1" applyNumberFormat="1" applyFont="1" applyFill="1" applyBorder="1" applyAlignment="1">
      <alignment horizontal="center" vertical="center" wrapText="1"/>
    </xf>
    <xf numFmtId="3" fontId="3" fillId="9" borderId="16" xfId="0" applyNumberFormat="1" applyFont="1" applyFill="1" applyBorder="1" applyAlignment="1">
      <alignment horizontal="center" vertical="center" wrapText="1"/>
    </xf>
    <xf numFmtId="0" fontId="37" fillId="9" borderId="17" xfId="0" applyNumberFormat="1" applyFont="1" applyFill="1" applyBorder="1" applyAlignment="1" applyProtection="1">
      <alignment horizontal="center" vertical="center" wrapText="1"/>
    </xf>
    <xf numFmtId="3" fontId="37" fillId="9" borderId="16" xfId="1" applyNumberFormat="1" applyFont="1" applyFill="1" applyBorder="1" applyAlignment="1">
      <alignment horizontal="center" vertical="center" wrapText="1"/>
    </xf>
    <xf numFmtId="3" fontId="37" fillId="9" borderId="17" xfId="0" applyNumberFormat="1" applyFont="1" applyFill="1" applyBorder="1" applyAlignment="1" applyProtection="1">
      <alignment horizontal="center" vertical="center" wrapText="1"/>
    </xf>
    <xf numFmtId="0" fontId="37" fillId="9" borderId="16" xfId="0" applyNumberFormat="1" applyFont="1" applyFill="1" applyBorder="1" applyAlignment="1" applyProtection="1">
      <alignment horizontal="center" vertical="center"/>
    </xf>
    <xf numFmtId="0" fontId="37" fillId="9" borderId="17" xfId="0" applyNumberFormat="1" applyFont="1" applyFill="1" applyBorder="1" applyAlignment="1" applyProtection="1">
      <alignment horizontal="center" vertical="center"/>
    </xf>
    <xf numFmtId="4" fontId="37" fillId="9" borderId="16" xfId="0" applyNumberFormat="1" applyFont="1" applyFill="1" applyBorder="1" applyAlignment="1" applyProtection="1">
      <alignment horizontal="center" vertical="center" wrapText="1"/>
    </xf>
    <xf numFmtId="170" fontId="37" fillId="9" borderId="16" xfId="0" applyNumberFormat="1" applyFont="1" applyFill="1" applyBorder="1" applyAlignment="1" applyProtection="1">
      <alignment horizontal="center" vertical="center"/>
    </xf>
    <xf numFmtId="0" fontId="37" fillId="9" borderId="16" xfId="0" applyFont="1" applyFill="1" applyBorder="1" applyAlignment="1" applyProtection="1">
      <alignment horizontal="center" vertical="center"/>
      <protection locked="0"/>
    </xf>
    <xf numFmtId="0" fontId="18" fillId="9" borderId="16" xfId="0" applyFont="1" applyFill="1" applyBorder="1" applyAlignment="1" applyProtection="1">
      <alignment horizontal="center" vertical="center" wrapText="1"/>
      <protection locked="0"/>
    </xf>
    <xf numFmtId="168" fontId="18" fillId="15" borderId="17" xfId="1" applyNumberFormat="1" applyFont="1" applyFill="1" applyBorder="1" applyAlignment="1">
      <alignment horizontal="center" vertical="center" wrapText="1"/>
    </xf>
    <xf numFmtId="168" fontId="18" fillId="15" borderId="15" xfId="1" applyNumberFormat="1" applyFont="1" applyFill="1" applyBorder="1" applyAlignment="1">
      <alignment horizontal="center" vertical="center" wrapText="1"/>
    </xf>
    <xf numFmtId="0" fontId="18" fillId="15" borderId="16" xfId="0" applyFont="1" applyFill="1" applyBorder="1" applyAlignment="1" applyProtection="1">
      <alignment horizontal="center" vertical="center" wrapText="1"/>
      <protection locked="0"/>
    </xf>
    <xf numFmtId="0" fontId="18" fillId="15" borderId="24" xfId="0" applyNumberFormat="1" applyFont="1" applyFill="1" applyBorder="1" applyAlignment="1">
      <alignment horizontal="center" vertical="center" wrapText="1"/>
    </xf>
    <xf numFmtId="0" fontId="18" fillId="15" borderId="25" xfId="0" applyNumberFormat="1" applyFont="1" applyFill="1" applyBorder="1" applyAlignment="1">
      <alignment horizontal="center" vertical="center" wrapText="1"/>
    </xf>
    <xf numFmtId="0" fontId="18" fillId="15" borderId="18" xfId="0" applyNumberFormat="1" applyFont="1" applyFill="1" applyBorder="1" applyAlignment="1">
      <alignment horizontal="center" vertical="center" wrapText="1"/>
    </xf>
    <xf numFmtId="168" fontId="18" fillId="15" borderId="17" xfId="1" applyNumberFormat="1" applyFont="1" applyFill="1" applyBorder="1" applyAlignment="1" applyProtection="1">
      <alignment horizontal="center" vertical="center" wrapText="1"/>
      <protection locked="0"/>
    </xf>
    <xf numFmtId="168" fontId="18" fillId="15" borderId="15" xfId="1" applyNumberFormat="1" applyFont="1" applyFill="1" applyBorder="1" applyAlignment="1" applyProtection="1">
      <alignment horizontal="center" vertical="center" wrapText="1"/>
      <protection locked="0"/>
    </xf>
    <xf numFmtId="49" fontId="18" fillId="15" borderId="17" xfId="0" applyNumberFormat="1" applyFont="1" applyFill="1" applyBorder="1" applyAlignment="1">
      <alignment horizontal="center" vertical="center" wrapText="1"/>
    </xf>
    <xf numFmtId="49" fontId="18" fillId="15" borderId="15" xfId="0" applyNumberFormat="1" applyFont="1" applyFill="1" applyBorder="1" applyAlignment="1">
      <alignment horizontal="center" vertical="center" wrapText="1"/>
    </xf>
    <xf numFmtId="0" fontId="0" fillId="0" borderId="15" xfId="0" applyBorder="1" applyAlignment="1">
      <alignment horizontal="center" vertical="center"/>
    </xf>
    <xf numFmtId="3" fontId="37" fillId="9" borderId="16" xfId="0" applyNumberFormat="1" applyFont="1" applyFill="1" applyBorder="1" applyAlignment="1" applyProtection="1">
      <alignment horizontal="center" vertical="center"/>
    </xf>
    <xf numFmtId="3" fontId="7" fillId="0" borderId="0" xfId="0" applyNumberFormat="1" applyFont="1" applyAlignment="1">
      <alignment horizontal="center"/>
    </xf>
    <xf numFmtId="0" fontId="5" fillId="0" borderId="16" xfId="0" applyNumberFormat="1" applyFont="1" applyBorder="1" applyAlignment="1">
      <alignment horizontal="left" vertical="center" wrapText="1"/>
    </xf>
    <xf numFmtId="0" fontId="7" fillId="11" borderId="16" xfId="0" applyNumberFormat="1" applyFont="1" applyFill="1" applyBorder="1" applyAlignment="1">
      <alignment horizontal="left" vertical="center" wrapText="1"/>
    </xf>
    <xf numFmtId="3" fontId="7" fillId="11" borderId="24" xfId="0" applyNumberFormat="1" applyFont="1" applyFill="1" applyBorder="1" applyAlignment="1">
      <alignment horizontal="left" vertical="center" wrapText="1"/>
    </xf>
    <xf numFmtId="3" fontId="7" fillId="11" borderId="25" xfId="0" applyNumberFormat="1" applyFont="1" applyFill="1" applyBorder="1" applyAlignment="1">
      <alignment horizontal="left" vertical="center" wrapText="1"/>
    </xf>
    <xf numFmtId="3" fontId="7" fillId="11" borderId="18" xfId="0" applyNumberFormat="1" applyFont="1" applyFill="1" applyBorder="1" applyAlignment="1">
      <alignment horizontal="left" vertical="center" wrapText="1"/>
    </xf>
    <xf numFmtId="3" fontId="7" fillId="11" borderId="24" xfId="0" applyNumberFormat="1" applyFont="1" applyFill="1" applyBorder="1" applyAlignment="1">
      <alignment horizontal="center" vertical="center" wrapText="1"/>
    </xf>
    <xf numFmtId="3" fontId="7" fillId="11" borderId="25" xfId="0" applyNumberFormat="1" applyFont="1" applyFill="1" applyBorder="1" applyAlignment="1">
      <alignment horizontal="center" vertical="center" wrapText="1"/>
    </xf>
    <xf numFmtId="3" fontId="7" fillId="11" borderId="18" xfId="0" applyNumberFormat="1" applyFont="1" applyFill="1" applyBorder="1" applyAlignment="1">
      <alignment horizontal="center" vertical="center" wrapText="1"/>
    </xf>
    <xf numFmtId="3" fontId="4" fillId="11" borderId="0" xfId="0" applyNumberFormat="1" applyFont="1" applyFill="1" applyBorder="1" applyAlignment="1">
      <alignment horizontal="center" vertical="center" wrapText="1"/>
    </xf>
    <xf numFmtId="3" fontId="8" fillId="0" borderId="0" xfId="0" applyNumberFormat="1" applyFont="1" applyAlignment="1">
      <alignment horizontal="center" vertical="center" wrapText="1"/>
    </xf>
    <xf numFmtId="170" fontId="37" fillId="9" borderId="24" xfId="0" applyNumberFormat="1" applyFont="1" applyFill="1" applyBorder="1" applyAlignment="1" applyProtection="1">
      <alignment horizontal="center" vertical="center" wrapText="1"/>
    </xf>
    <xf numFmtId="170" fontId="37" fillId="9" borderId="18" xfId="0" applyNumberFormat="1" applyFont="1" applyFill="1" applyBorder="1" applyAlignment="1" applyProtection="1">
      <alignment horizontal="center" vertical="center" wrapText="1"/>
    </xf>
    <xf numFmtId="170" fontId="37" fillId="9" borderId="25" xfId="0" applyNumberFormat="1" applyFont="1" applyFill="1" applyBorder="1" applyAlignment="1" applyProtection="1">
      <alignment horizontal="center" vertical="center" wrapText="1"/>
    </xf>
    <xf numFmtId="0" fontId="9" fillId="0" borderId="0" xfId="0" applyFont="1" applyAlignment="1">
      <alignment horizontal="center"/>
    </xf>
    <xf numFmtId="168" fontId="8" fillId="16" borderId="17" xfId="1" applyNumberFormat="1" applyFont="1" applyFill="1" applyBorder="1" applyAlignment="1">
      <alignment horizontal="center" vertical="center" wrapText="1"/>
    </xf>
    <xf numFmtId="168" fontId="8" fillId="16" borderId="15" xfId="1" applyNumberFormat="1" applyFont="1" applyFill="1" applyBorder="1" applyAlignment="1">
      <alignment horizontal="center" vertical="center" wrapText="1"/>
    </xf>
    <xf numFmtId="3" fontId="8" fillId="16" borderId="28" xfId="0" applyNumberFormat="1" applyFont="1" applyFill="1" applyBorder="1" applyAlignment="1">
      <alignment horizontal="center" wrapText="1"/>
    </xf>
    <xf numFmtId="3" fontId="8" fillId="16" borderId="31" xfId="0" applyNumberFormat="1" applyFont="1" applyFill="1" applyBorder="1" applyAlignment="1">
      <alignment horizontal="center" wrapText="1"/>
    </xf>
    <xf numFmtId="0" fontId="5" fillId="0" borderId="0" xfId="0" applyFont="1" applyAlignment="1">
      <alignment horizontal="center"/>
    </xf>
    <xf numFmtId="0" fontId="68" fillId="0" borderId="0" xfId="0" applyFont="1" applyAlignment="1">
      <alignment horizontal="center"/>
    </xf>
    <xf numFmtId="0" fontId="8" fillId="16" borderId="17" xfId="0" applyFont="1" applyFill="1" applyBorder="1" applyAlignment="1">
      <alignment horizontal="center" vertical="center" wrapText="1"/>
    </xf>
    <xf numFmtId="0" fontId="8" fillId="16" borderId="19" xfId="0" applyFont="1" applyFill="1" applyBorder="1" applyAlignment="1">
      <alignment horizontal="center" vertical="center" wrapText="1"/>
    </xf>
    <xf numFmtId="0" fontId="8" fillId="16" borderId="15" xfId="0" applyFont="1" applyFill="1" applyBorder="1" applyAlignment="1">
      <alignment horizontal="center" vertical="center" wrapText="1"/>
    </xf>
    <xf numFmtId="0" fontId="8" fillId="16" borderId="24" xfId="0" applyFont="1" applyFill="1" applyBorder="1" applyAlignment="1">
      <alignment horizontal="center" vertical="center" wrapText="1"/>
    </xf>
    <xf numFmtId="0" fontId="8" fillId="16" borderId="25" xfId="0" applyFont="1" applyFill="1" applyBorder="1" applyAlignment="1">
      <alignment horizontal="center" vertical="center" wrapText="1"/>
    </xf>
    <xf numFmtId="0" fontId="8" fillId="16" borderId="18" xfId="0" applyFont="1" applyFill="1" applyBorder="1" applyAlignment="1">
      <alignment horizontal="center" vertical="center" wrapText="1"/>
    </xf>
    <xf numFmtId="3" fontId="8" fillId="16" borderId="17" xfId="0" applyNumberFormat="1" applyFont="1" applyFill="1" applyBorder="1" applyAlignment="1">
      <alignment horizontal="center" vertical="center" wrapText="1"/>
    </xf>
    <xf numFmtId="3" fontId="8" fillId="16" borderId="19" xfId="0" applyNumberFormat="1" applyFont="1" applyFill="1" applyBorder="1" applyAlignment="1">
      <alignment horizontal="center" vertical="center" wrapText="1"/>
    </xf>
    <xf numFmtId="3" fontId="8" fillId="16" borderId="15" xfId="0" applyNumberFormat="1" applyFont="1" applyFill="1" applyBorder="1" applyAlignment="1">
      <alignment horizontal="center" vertical="center" wrapText="1"/>
    </xf>
    <xf numFmtId="3" fontId="8" fillId="16" borderId="24" xfId="0" applyNumberFormat="1" applyFont="1" applyFill="1" applyBorder="1" applyAlignment="1">
      <alignment horizontal="center" vertical="center" wrapText="1"/>
    </xf>
    <xf numFmtId="3" fontId="8" fillId="16" borderId="25" xfId="0" applyNumberFormat="1" applyFont="1" applyFill="1" applyBorder="1" applyAlignment="1">
      <alignment horizontal="center" vertical="center" wrapText="1"/>
    </xf>
    <xf numFmtId="3" fontId="8" fillId="16" borderId="18" xfId="0" applyNumberFormat="1" applyFont="1" applyFill="1" applyBorder="1" applyAlignment="1">
      <alignment horizontal="center" vertical="center" wrapText="1"/>
    </xf>
    <xf numFmtId="170" fontId="8" fillId="16" borderId="17" xfId="0" applyNumberFormat="1" applyFont="1" applyFill="1" applyBorder="1" applyAlignment="1">
      <alignment horizontal="center" vertical="center" wrapText="1"/>
    </xf>
    <xf numFmtId="170" fontId="8" fillId="16" borderId="15" xfId="0" applyNumberFormat="1" applyFont="1" applyFill="1" applyBorder="1" applyAlignment="1">
      <alignment horizontal="center" vertical="center" wrapText="1"/>
    </xf>
    <xf numFmtId="170" fontId="8" fillId="16" borderId="28" xfId="0" applyNumberFormat="1" applyFont="1" applyFill="1" applyBorder="1" applyAlignment="1">
      <alignment horizontal="center" wrapText="1"/>
    </xf>
    <xf numFmtId="170" fontId="8" fillId="16" borderId="31" xfId="0" applyNumberFormat="1" applyFont="1" applyFill="1" applyBorder="1" applyAlignment="1">
      <alignment horizontal="center" wrapText="1"/>
    </xf>
    <xf numFmtId="0" fontId="8" fillId="16" borderId="15" xfId="0" applyNumberFormat="1" applyFont="1" applyFill="1" applyBorder="1" applyAlignment="1">
      <alignment horizontal="center" vertical="center" wrapText="1"/>
    </xf>
    <xf numFmtId="170" fontId="8" fillId="16" borderId="30" xfId="0" applyNumberFormat="1" applyFont="1" applyFill="1" applyBorder="1" applyAlignment="1">
      <alignment horizontal="center" wrapText="1"/>
    </xf>
    <xf numFmtId="3" fontId="8" fillId="16" borderId="22" xfId="0" applyNumberFormat="1" applyFont="1" applyFill="1" applyBorder="1" applyAlignment="1">
      <alignment horizontal="center" vertical="center" wrapText="1"/>
    </xf>
    <xf numFmtId="3" fontId="8" fillId="16" borderId="34" xfId="0" applyNumberFormat="1" applyFont="1" applyFill="1" applyBorder="1" applyAlignment="1">
      <alignment horizontal="center" vertical="center" wrapText="1"/>
    </xf>
    <xf numFmtId="3" fontId="8" fillId="16" borderId="30" xfId="0" applyNumberFormat="1" applyFont="1" applyFill="1" applyBorder="1" applyAlignment="1">
      <alignment horizontal="center" wrapText="1"/>
    </xf>
    <xf numFmtId="170" fontId="8" fillId="16" borderId="24" xfId="0" applyNumberFormat="1" applyFont="1" applyFill="1" applyBorder="1" applyAlignment="1">
      <alignment horizontal="center" vertical="center" wrapText="1"/>
    </xf>
    <xf numFmtId="170" fontId="8" fillId="16" borderId="25" xfId="0" applyNumberFormat="1" applyFont="1" applyFill="1" applyBorder="1" applyAlignment="1">
      <alignment horizontal="center" vertical="center" wrapText="1"/>
    </xf>
    <xf numFmtId="170" fontId="8" fillId="16" borderId="18" xfId="0" applyNumberFormat="1" applyFont="1" applyFill="1" applyBorder="1" applyAlignment="1">
      <alignment horizontal="center" vertical="center" wrapText="1"/>
    </xf>
    <xf numFmtId="3" fontId="8" fillId="16" borderId="17" xfId="1" applyNumberFormat="1" applyFont="1" applyFill="1" applyBorder="1" applyAlignment="1">
      <alignment horizontal="center" vertical="center" wrapText="1"/>
    </xf>
    <xf numFmtId="0" fontId="8" fillId="16" borderId="15" xfId="1" applyNumberFormat="1" applyFont="1" applyFill="1" applyBorder="1" applyAlignment="1">
      <alignment horizontal="center" vertical="center" wrapText="1"/>
    </xf>
    <xf numFmtId="3" fontId="37" fillId="9" borderId="17" xfId="1" applyNumberFormat="1" applyFont="1" applyFill="1" applyBorder="1" applyAlignment="1" applyProtection="1">
      <alignment horizontal="center" vertical="center" wrapText="1"/>
    </xf>
    <xf numFmtId="0" fontId="37" fillId="15" borderId="16" xfId="0" applyFont="1" applyFill="1" applyBorder="1" applyAlignment="1" applyProtection="1">
      <alignment horizontal="center" vertical="center" wrapText="1"/>
    </xf>
    <xf numFmtId="0" fontId="86" fillId="0" borderId="17" xfId="0" applyNumberFormat="1" applyFont="1" applyFill="1" applyBorder="1" applyAlignment="1" applyProtection="1">
      <alignment horizontal="center" vertical="center"/>
      <protection hidden="1"/>
    </xf>
    <xf numFmtId="0" fontId="86" fillId="0" borderId="15" xfId="0" applyNumberFormat="1" applyFont="1" applyFill="1" applyBorder="1" applyAlignment="1" applyProtection="1">
      <alignment horizontal="center" vertical="center"/>
      <protection hidden="1"/>
    </xf>
    <xf numFmtId="0" fontId="86" fillId="0" borderId="16" xfId="0" applyNumberFormat="1" applyFont="1" applyFill="1" applyBorder="1" applyAlignment="1" applyProtection="1">
      <alignment horizontal="center" vertical="center"/>
      <protection hidden="1"/>
    </xf>
    <xf numFmtId="0" fontId="89" fillId="0" borderId="16" xfId="0" applyNumberFormat="1" applyFont="1" applyFill="1" applyBorder="1" applyAlignment="1" applyProtection="1">
      <alignment horizontal="center" vertical="center"/>
      <protection hidden="1"/>
    </xf>
    <xf numFmtId="0" fontId="88" fillId="0" borderId="16" xfId="0" applyNumberFormat="1" applyFont="1" applyFill="1" applyBorder="1" applyAlignment="1" applyProtection="1">
      <alignment horizontal="center" vertical="center"/>
      <protection hidden="1"/>
    </xf>
    <xf numFmtId="0" fontId="8" fillId="0" borderId="16" xfId="0" applyNumberFormat="1" applyFont="1" applyFill="1" applyBorder="1" applyAlignment="1" applyProtection="1">
      <alignment horizontal="center" vertical="center"/>
      <protection hidden="1"/>
    </xf>
    <xf numFmtId="0" fontId="5" fillId="0" borderId="16" xfId="0" applyNumberFormat="1" applyFont="1" applyFill="1" applyBorder="1" applyAlignment="1" applyProtection="1">
      <alignment horizontal="center" vertical="center"/>
      <protection hidden="1"/>
    </xf>
    <xf numFmtId="0" fontId="88" fillId="0" borderId="24" xfId="0" applyNumberFormat="1" applyFont="1" applyFill="1" applyBorder="1" applyAlignment="1" applyProtection="1">
      <alignment horizontal="center" vertical="center"/>
      <protection hidden="1"/>
    </xf>
    <xf numFmtId="0" fontId="88" fillId="0" borderId="25" xfId="0" applyNumberFormat="1" applyFont="1" applyFill="1" applyBorder="1" applyAlignment="1" applyProtection="1">
      <alignment horizontal="center" vertical="center"/>
      <protection hidden="1"/>
    </xf>
    <xf numFmtId="0" fontId="88" fillId="0" borderId="18" xfId="0" applyNumberFormat="1" applyFont="1" applyFill="1" applyBorder="1" applyAlignment="1" applyProtection="1">
      <alignment horizontal="center" vertical="center"/>
      <protection hidden="1"/>
    </xf>
    <xf numFmtId="0" fontId="88" fillId="0" borderId="16" xfId="0" applyNumberFormat="1" applyFont="1" applyFill="1" applyBorder="1" applyAlignment="1" applyProtection="1">
      <alignment horizontal="center" vertical="center" wrapText="1"/>
      <protection hidden="1"/>
    </xf>
    <xf numFmtId="0" fontId="88" fillId="16" borderId="24" xfId="0" applyNumberFormat="1" applyFont="1" applyFill="1" applyBorder="1" applyAlignment="1" applyProtection="1">
      <alignment horizontal="center" vertical="center"/>
      <protection hidden="1"/>
    </xf>
    <xf numFmtId="0" fontId="88" fillId="16" borderId="25" xfId="0" applyNumberFormat="1" applyFont="1" applyFill="1" applyBorder="1" applyAlignment="1" applyProtection="1">
      <alignment horizontal="center" vertical="center"/>
      <protection hidden="1"/>
    </xf>
    <xf numFmtId="0" fontId="88" fillId="16" borderId="18" xfId="0" applyNumberFormat="1" applyFont="1" applyFill="1" applyBorder="1" applyAlignment="1" applyProtection="1">
      <alignment horizontal="center" vertical="center"/>
      <protection hidden="1"/>
    </xf>
    <xf numFmtId="0" fontId="79" fillId="0" borderId="24" xfId="0" applyNumberFormat="1" applyFont="1" applyBorder="1" applyAlignment="1">
      <alignment horizontal="center"/>
    </xf>
    <xf numFmtId="0" fontId="79" fillId="0" borderId="25" xfId="0" applyNumberFormat="1" applyFont="1" applyBorder="1" applyAlignment="1">
      <alignment horizontal="center"/>
    </xf>
    <xf numFmtId="0" fontId="79" fillId="0" borderId="18" xfId="0" applyNumberFormat="1" applyFont="1" applyBorder="1" applyAlignment="1">
      <alignment horizontal="center"/>
    </xf>
    <xf numFmtId="0" fontId="79" fillId="0" borderId="16" xfId="0" applyNumberFormat="1" applyFont="1" applyBorder="1" applyAlignment="1">
      <alignment horizontal="center"/>
    </xf>
    <xf numFmtId="0" fontId="79" fillId="0" borderId="17" xfId="0" applyNumberFormat="1" applyFont="1" applyBorder="1" applyAlignment="1">
      <alignment horizontal="center" vertical="center"/>
    </xf>
    <xf numFmtId="0" fontId="79" fillId="0" borderId="15" xfId="0" applyNumberFormat="1" applyFont="1" applyBorder="1" applyAlignment="1">
      <alignment horizontal="center" vertical="center"/>
    </xf>
    <xf numFmtId="0" fontId="79" fillId="0" borderId="16" xfId="0" applyNumberFormat="1" applyFont="1" applyFill="1" applyBorder="1" applyAlignment="1" applyProtection="1">
      <alignment horizontal="center" vertical="center"/>
      <protection hidden="1"/>
    </xf>
    <xf numFmtId="0" fontId="79" fillId="0" borderId="24" xfId="0" applyNumberFormat="1" applyFont="1" applyFill="1" applyBorder="1" applyAlignment="1" applyProtection="1">
      <alignment horizontal="center" vertical="center"/>
      <protection hidden="1"/>
    </xf>
    <xf numFmtId="0" fontId="79" fillId="0" borderId="25" xfId="0" applyNumberFormat="1" applyFont="1" applyFill="1" applyBorder="1" applyAlignment="1" applyProtection="1">
      <alignment horizontal="center" vertical="center"/>
      <protection hidden="1"/>
    </xf>
    <xf numFmtId="0" fontId="79" fillId="0" borderId="18" xfId="0" applyNumberFormat="1" applyFont="1" applyFill="1" applyBorder="1" applyAlignment="1" applyProtection="1">
      <alignment horizontal="center" vertical="center"/>
      <protection hidden="1"/>
    </xf>
    <xf numFmtId="0" fontId="79" fillId="11" borderId="16" xfId="0" applyNumberFormat="1" applyFont="1" applyFill="1" applyBorder="1" applyAlignment="1">
      <alignment horizontal="center" vertical="center"/>
    </xf>
    <xf numFmtId="0" fontId="79" fillId="11" borderId="24" xfId="0" applyNumberFormat="1" applyFont="1" applyFill="1" applyBorder="1" applyAlignment="1" applyProtection="1">
      <alignment horizontal="center"/>
      <protection hidden="1"/>
    </xf>
    <xf numFmtId="0" fontId="79" fillId="11" borderId="25" xfId="0" applyNumberFormat="1" applyFont="1" applyFill="1" applyBorder="1" applyAlignment="1" applyProtection="1">
      <alignment horizontal="center"/>
      <protection hidden="1"/>
    </xf>
    <xf numFmtId="0" fontId="79" fillId="11" borderId="18" xfId="0" applyNumberFormat="1" applyFont="1" applyFill="1" applyBorder="1" applyAlignment="1" applyProtection="1">
      <alignment horizontal="center"/>
      <protection hidden="1"/>
    </xf>
    <xf numFmtId="0" fontId="79" fillId="0" borderId="30" xfId="0" applyNumberFormat="1" applyFont="1" applyFill="1" applyBorder="1" applyAlignment="1" applyProtection="1">
      <alignment horizontal="center" vertical="center"/>
      <protection hidden="1"/>
    </xf>
    <xf numFmtId="0" fontId="74" fillId="2" borderId="25" xfId="0" applyNumberFormat="1" applyFont="1" applyFill="1" applyBorder="1" applyAlignment="1" applyProtection="1">
      <alignment horizontal="center" vertical="center"/>
      <protection hidden="1"/>
    </xf>
    <xf numFmtId="0" fontId="74" fillId="2" borderId="18" xfId="0" applyNumberFormat="1" applyFont="1" applyFill="1" applyBorder="1" applyAlignment="1" applyProtection="1">
      <alignment horizontal="center" vertical="center"/>
      <protection hidden="1"/>
    </xf>
    <xf numFmtId="0" fontId="79" fillId="0" borderId="17" xfId="0" applyNumberFormat="1" applyFont="1" applyFill="1" applyBorder="1" applyAlignment="1" applyProtection="1">
      <alignment horizontal="center" vertical="center"/>
      <protection hidden="1"/>
    </xf>
    <xf numFmtId="0" fontId="79" fillId="0" borderId="15" xfId="0" applyNumberFormat="1" applyFont="1" applyFill="1" applyBorder="1" applyAlignment="1" applyProtection="1">
      <alignment horizontal="center" vertical="center"/>
      <protection hidden="1"/>
    </xf>
    <xf numFmtId="0" fontId="86" fillId="0" borderId="24" xfId="0" applyNumberFormat="1" applyFont="1" applyFill="1" applyBorder="1" applyAlignment="1" applyProtection="1">
      <alignment horizontal="center" vertical="center"/>
      <protection hidden="1"/>
    </xf>
    <xf numFmtId="0" fontId="86" fillId="0" borderId="25" xfId="0" applyNumberFormat="1" applyFont="1" applyFill="1" applyBorder="1" applyAlignment="1" applyProtection="1">
      <alignment horizontal="center" vertical="center"/>
      <protection hidden="1"/>
    </xf>
    <xf numFmtId="0" fontId="86" fillId="0" borderId="18" xfId="0" applyNumberFormat="1" applyFont="1" applyFill="1" applyBorder="1" applyAlignment="1" applyProtection="1">
      <alignment horizontal="center" vertical="center"/>
      <protection hidden="1"/>
    </xf>
    <xf numFmtId="0" fontId="79" fillId="0" borderId="16" xfId="0" applyNumberFormat="1" applyFont="1" applyBorder="1" applyAlignment="1">
      <alignment horizontal="center" vertical="center"/>
    </xf>
    <xf numFmtId="0" fontId="105" fillId="0" borderId="16" xfId="0" applyNumberFormat="1" applyFont="1" applyBorder="1" applyAlignment="1">
      <alignment horizontal="center" vertical="center"/>
    </xf>
    <xf numFmtId="0" fontId="86" fillId="0" borderId="16" xfId="0" applyNumberFormat="1" applyFont="1" applyFill="1" applyBorder="1" applyAlignment="1" applyProtection="1">
      <alignment horizontal="center" vertical="center" wrapText="1"/>
      <protection hidden="1"/>
    </xf>
    <xf numFmtId="0" fontId="5" fillId="0" borderId="16" xfId="0" applyNumberFormat="1" applyFont="1" applyFill="1" applyBorder="1" applyAlignment="1" applyProtection="1">
      <alignment horizontal="center" vertical="center" wrapText="1"/>
      <protection hidden="1"/>
    </xf>
    <xf numFmtId="0" fontId="79" fillId="16" borderId="16" xfId="0" applyNumberFormat="1" applyFont="1" applyFill="1" applyBorder="1" applyAlignment="1" applyProtection="1">
      <alignment horizontal="center" vertical="center"/>
      <protection hidden="1"/>
    </xf>
    <xf numFmtId="0" fontId="79" fillId="11" borderId="16" xfId="0" applyNumberFormat="1" applyFont="1" applyFill="1" applyBorder="1" applyAlignment="1" applyProtection="1">
      <alignment horizontal="center"/>
      <protection hidden="1"/>
    </xf>
    <xf numFmtId="0" fontId="88" fillId="0" borderId="17" xfId="0" applyNumberFormat="1" applyFont="1" applyFill="1" applyBorder="1" applyAlignment="1" applyProtection="1">
      <alignment horizontal="center" vertical="center" wrapText="1"/>
      <protection hidden="1"/>
    </xf>
    <xf numFmtId="0" fontId="88" fillId="0" borderId="15" xfId="0" applyNumberFormat="1" applyFont="1" applyFill="1" applyBorder="1" applyAlignment="1" applyProtection="1">
      <alignment horizontal="center" vertical="center" wrapText="1"/>
      <protection hidden="1"/>
    </xf>
    <xf numFmtId="0" fontId="86" fillId="0" borderId="17" xfId="0" applyNumberFormat="1" applyFont="1" applyFill="1" applyBorder="1" applyAlignment="1" applyProtection="1">
      <alignment horizontal="center" vertical="center" wrapText="1"/>
      <protection hidden="1"/>
    </xf>
    <xf numFmtId="0" fontId="86" fillId="0" borderId="15" xfId="0" applyNumberFormat="1" applyFont="1" applyFill="1" applyBorder="1" applyAlignment="1" applyProtection="1">
      <alignment horizontal="center" vertical="center" wrapText="1"/>
      <protection hidden="1"/>
    </xf>
    <xf numFmtId="0" fontId="86" fillId="0" borderId="30" xfId="0" applyNumberFormat="1" applyFont="1" applyFill="1" applyBorder="1" applyAlignment="1" applyProtection="1">
      <alignment horizontal="center" vertical="center"/>
      <protection hidden="1"/>
    </xf>
    <xf numFmtId="0" fontId="87" fillId="0" borderId="16" xfId="0" applyNumberFormat="1" applyFont="1" applyFill="1" applyBorder="1" applyAlignment="1" applyProtection="1">
      <alignment horizontal="center" vertical="center"/>
      <protection hidden="1"/>
    </xf>
    <xf numFmtId="0" fontId="86" fillId="16" borderId="24" xfId="0" applyNumberFormat="1" applyFont="1" applyFill="1" applyBorder="1" applyAlignment="1" applyProtection="1">
      <alignment horizontal="center" vertical="center"/>
      <protection hidden="1"/>
    </xf>
    <xf numFmtId="0" fontId="86" fillId="16" borderId="25" xfId="0" applyNumberFormat="1" applyFont="1" applyFill="1" applyBorder="1" applyAlignment="1" applyProtection="1">
      <alignment horizontal="center" vertical="center"/>
      <protection hidden="1"/>
    </xf>
    <xf numFmtId="0" fontId="86" fillId="16" borderId="18" xfId="0" applyNumberFormat="1" applyFont="1" applyFill="1" applyBorder="1" applyAlignment="1" applyProtection="1">
      <alignment horizontal="center" vertical="center"/>
      <protection hidden="1"/>
    </xf>
    <xf numFmtId="0" fontId="87" fillId="0" borderId="24" xfId="0" applyNumberFormat="1" applyFont="1" applyFill="1" applyBorder="1" applyAlignment="1" applyProtection="1">
      <alignment horizontal="center" vertical="center"/>
      <protection hidden="1"/>
    </xf>
    <xf numFmtId="0" fontId="87" fillId="0" borderId="25" xfId="0" applyNumberFormat="1" applyFont="1" applyFill="1" applyBorder="1" applyAlignment="1" applyProtection="1">
      <alignment horizontal="center" vertical="center"/>
      <protection hidden="1"/>
    </xf>
    <xf numFmtId="0" fontId="87" fillId="0" borderId="18" xfId="0" applyNumberFormat="1" applyFont="1" applyFill="1" applyBorder="1" applyAlignment="1" applyProtection="1">
      <alignment horizontal="center" vertical="center"/>
      <protection hidden="1"/>
    </xf>
    <xf numFmtId="0" fontId="87" fillId="0" borderId="17" xfId="0" applyNumberFormat="1" applyFont="1" applyFill="1" applyBorder="1" applyAlignment="1" applyProtection="1">
      <alignment horizontal="center" vertical="center"/>
      <protection hidden="1"/>
    </xf>
    <xf numFmtId="0" fontId="87" fillId="0" borderId="15" xfId="0" applyNumberFormat="1" applyFont="1" applyFill="1" applyBorder="1" applyAlignment="1" applyProtection="1">
      <alignment horizontal="center" vertical="center"/>
      <protection hidden="1"/>
    </xf>
    <xf numFmtId="0" fontId="86" fillId="0" borderId="17" xfId="0" applyNumberFormat="1" applyFont="1" applyBorder="1" applyAlignment="1">
      <alignment horizontal="center" vertical="center" wrapText="1"/>
    </xf>
    <xf numFmtId="0" fontId="86" fillId="0" borderId="15" xfId="0" applyNumberFormat="1" applyFont="1" applyBorder="1" applyAlignment="1">
      <alignment horizontal="center" vertical="center" wrapText="1"/>
    </xf>
    <xf numFmtId="0" fontId="86" fillId="0" borderId="16" xfId="0" applyNumberFormat="1" applyFont="1" applyBorder="1" applyAlignment="1">
      <alignment horizontal="center" vertical="center" wrapText="1"/>
    </xf>
    <xf numFmtId="0" fontId="8" fillId="0" borderId="17" xfId="0" applyNumberFormat="1" applyFont="1" applyFill="1" applyBorder="1" applyAlignment="1" applyProtection="1">
      <alignment horizontal="center" vertical="center"/>
      <protection hidden="1"/>
    </xf>
    <xf numFmtId="0" fontId="8" fillId="0" borderId="15" xfId="0" applyNumberFormat="1" applyFont="1" applyFill="1" applyBorder="1" applyAlignment="1" applyProtection="1">
      <alignment horizontal="center" vertical="center"/>
      <protection hidden="1"/>
    </xf>
    <xf numFmtId="2" fontId="8" fillId="0" borderId="17" xfId="0" applyNumberFormat="1" applyFont="1" applyFill="1" applyBorder="1" applyAlignment="1" applyProtection="1">
      <alignment horizontal="center" vertical="center"/>
      <protection hidden="1"/>
    </xf>
    <xf numFmtId="2" fontId="8" fillId="0" borderId="15" xfId="0" applyNumberFormat="1" applyFont="1" applyFill="1" applyBorder="1" applyAlignment="1" applyProtection="1">
      <alignment horizontal="center" vertical="center"/>
      <protection hidden="1"/>
    </xf>
    <xf numFmtId="2" fontId="8" fillId="0" borderId="24" xfId="0" applyNumberFormat="1" applyFont="1" applyFill="1" applyBorder="1" applyAlignment="1" applyProtection="1">
      <alignment horizontal="center" vertical="center"/>
      <protection hidden="1"/>
    </xf>
    <xf numFmtId="2" fontId="8" fillId="0" borderId="25" xfId="0" applyNumberFormat="1" applyFont="1" applyFill="1" applyBorder="1" applyAlignment="1" applyProtection="1">
      <alignment horizontal="center" vertical="center"/>
      <protection hidden="1"/>
    </xf>
    <xf numFmtId="2" fontId="8" fillId="0" borderId="18" xfId="0" applyNumberFormat="1" applyFont="1" applyFill="1" applyBorder="1" applyAlignment="1" applyProtection="1">
      <alignment horizontal="center" vertical="center"/>
      <protection hidden="1"/>
    </xf>
    <xf numFmtId="0" fontId="74" fillId="0" borderId="0" xfId="0" applyNumberFormat="1" applyFont="1" applyFill="1" applyBorder="1" applyAlignment="1" applyProtection="1">
      <alignment horizontal="center" vertical="center"/>
      <protection hidden="1"/>
    </xf>
    <xf numFmtId="0" fontId="79" fillId="0" borderId="0" xfId="0" applyNumberFormat="1" applyFont="1" applyFill="1" applyBorder="1" applyAlignment="1" applyProtection="1">
      <alignment horizontal="center" vertical="center"/>
      <protection hidden="1"/>
    </xf>
    <xf numFmtId="0" fontId="79" fillId="0" borderId="16" xfId="0" applyNumberFormat="1" applyFont="1" applyBorder="1" applyAlignment="1" applyProtection="1">
      <alignment horizontal="center"/>
      <protection hidden="1"/>
    </xf>
    <xf numFmtId="0" fontId="79" fillId="11" borderId="17" xfId="0" applyNumberFormat="1" applyFont="1" applyFill="1" applyBorder="1" applyAlignment="1" applyProtection="1">
      <alignment horizontal="center" vertical="center" wrapText="1"/>
      <protection hidden="1"/>
    </xf>
    <xf numFmtId="0" fontId="79" fillId="11" borderId="19" xfId="0" applyNumberFormat="1" applyFont="1" applyFill="1" applyBorder="1" applyAlignment="1" applyProtection="1">
      <alignment horizontal="center" vertical="center" wrapText="1"/>
      <protection hidden="1"/>
    </xf>
    <xf numFmtId="0" fontId="74" fillId="0" borderId="16" xfId="0" applyNumberFormat="1" applyFont="1" applyFill="1" applyBorder="1" applyAlignment="1" applyProtection="1">
      <alignment horizontal="center" vertical="center"/>
      <protection hidden="1"/>
    </xf>
    <xf numFmtId="0" fontId="79" fillId="0" borderId="17" xfId="0" applyNumberFormat="1" applyFont="1" applyFill="1" applyBorder="1" applyAlignment="1" applyProtection="1">
      <alignment horizontal="center" vertical="center" wrapText="1"/>
      <protection hidden="1"/>
    </xf>
    <xf numFmtId="0" fontId="79" fillId="0" borderId="15" xfId="0" applyNumberFormat="1" applyFont="1" applyFill="1" applyBorder="1" applyAlignment="1" applyProtection="1">
      <alignment horizontal="center" vertical="center" wrapText="1"/>
      <protection hidden="1"/>
    </xf>
    <xf numFmtId="0" fontId="5" fillId="0" borderId="24" xfId="0" applyNumberFormat="1" applyFont="1" applyFill="1" applyBorder="1" applyAlignment="1" applyProtection="1">
      <alignment horizontal="center" vertical="center"/>
      <protection hidden="1"/>
    </xf>
    <xf numFmtId="0" fontId="5" fillId="0" borderId="25" xfId="0" applyNumberFormat="1" applyFont="1" applyFill="1" applyBorder="1" applyAlignment="1" applyProtection="1">
      <alignment horizontal="center" vertical="center"/>
      <protection hidden="1"/>
    </xf>
    <xf numFmtId="0" fontId="5" fillId="0" borderId="18" xfId="0" applyNumberFormat="1" applyFont="1" applyFill="1" applyBorder="1" applyAlignment="1" applyProtection="1">
      <alignment horizontal="center" vertical="center"/>
      <protection hidden="1"/>
    </xf>
    <xf numFmtId="0" fontId="5" fillId="16" borderId="16" xfId="0" applyNumberFormat="1" applyFont="1" applyFill="1" applyBorder="1" applyAlignment="1" applyProtection="1">
      <alignment horizontal="center" vertical="center"/>
      <protection hidden="1"/>
    </xf>
    <xf numFmtId="0" fontId="8" fillId="0" borderId="16" xfId="0" applyNumberFormat="1" applyFont="1" applyFill="1" applyBorder="1" applyAlignment="1" applyProtection="1">
      <alignment horizontal="center" vertical="center" wrapText="1"/>
      <protection hidden="1"/>
    </xf>
    <xf numFmtId="0" fontId="5" fillId="0" borderId="0" xfId="0" applyNumberFormat="1" applyFont="1" applyFill="1" applyBorder="1" applyAlignment="1" applyProtection="1">
      <alignment horizontal="center" vertical="center" wrapText="1"/>
      <protection hidden="1"/>
    </xf>
    <xf numFmtId="0" fontId="87" fillId="3" borderId="17" xfId="0" applyNumberFormat="1" applyFont="1" applyFill="1" applyBorder="1" applyAlignment="1" applyProtection="1">
      <alignment horizontal="center" vertical="center"/>
      <protection hidden="1"/>
    </xf>
    <xf numFmtId="0" fontId="87" fillId="3" borderId="15" xfId="0" applyNumberFormat="1" applyFont="1" applyFill="1" applyBorder="1" applyAlignment="1" applyProtection="1">
      <alignment horizontal="center" vertical="center"/>
      <protection hidden="1"/>
    </xf>
    <xf numFmtId="0" fontId="88" fillId="0" borderId="0" xfId="0" applyNumberFormat="1" applyFont="1" applyFill="1" applyBorder="1" applyAlignment="1" applyProtection="1">
      <alignment horizontal="center" vertical="center"/>
      <protection hidden="1"/>
    </xf>
    <xf numFmtId="0" fontId="8" fillId="0" borderId="0" xfId="0" applyFont="1" applyBorder="1" applyAlignment="1">
      <alignment horizontal="center" vertical="center" wrapText="1"/>
    </xf>
    <xf numFmtId="0" fontId="73" fillId="9" borderId="16" xfId="0" applyFont="1" applyFill="1" applyBorder="1" applyAlignment="1">
      <alignment horizontal="center" wrapText="1"/>
    </xf>
    <xf numFmtId="0" fontId="5" fillId="0" borderId="17" xfId="0" applyNumberFormat="1" applyFont="1" applyFill="1" applyBorder="1" applyAlignment="1" applyProtection="1">
      <alignment horizontal="center" vertical="center" wrapText="1"/>
      <protection hidden="1"/>
    </xf>
    <xf numFmtId="0" fontId="5" fillId="0" borderId="15" xfId="0" applyNumberFormat="1" applyFont="1" applyFill="1" applyBorder="1" applyAlignment="1" applyProtection="1">
      <alignment horizontal="center" vertical="center" wrapText="1"/>
      <protection hidden="1"/>
    </xf>
  </cellXfs>
  <cellStyles count="4">
    <cellStyle name="Comma" xfId="1" builtinId="3"/>
    <cellStyle name="Hyperlink" xfId="2" builtinId="8"/>
    <cellStyle name="Normal" xfId="0" builtinId="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97"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externalLink" Target="externalLinks/externalLink3.xml"/><Relationship Id="rId98"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externalLink" Target="externalLinks/externalLink1.xml"/><Relationship Id="rId9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externalLink" Target="externalLinks/externalLink4.xml"/><Relationship Id="rId9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ctrlProps/ctrlProp1.xml><?xml version="1.0" encoding="utf-8"?>
<formControlPr xmlns="http://schemas.microsoft.com/office/spreadsheetml/2009/9/main" objectType="Radio" checked="Checked" firstButton="1" fmlaLink="Config!$E$102"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file>

<file path=xl/ctrlProps/ctrlProp4.xml><?xml version="1.0" encoding="utf-8"?>
<formControlPr xmlns="http://schemas.microsoft.com/office/spreadsheetml/2009/9/main" objectType="Label" lockText="1"/>
</file>

<file path=xl/ctrlProps/ctrlProp5.xml><?xml version="1.0" encoding="utf-8"?>
<formControlPr xmlns="http://schemas.microsoft.com/office/spreadsheetml/2009/9/main" objectType="Drop" dropStyle="combo" dx="16" fmlaLink="i_LoaiCT" fmlaRange="LoaiCT" val="0"/>
</file>

<file path=xl/ctrlProps/ctrlProp6.xml><?xml version="1.0" encoding="utf-8"?>
<formControlPr xmlns="http://schemas.microsoft.com/office/spreadsheetml/2009/9/main" objectType="Label" lockText="1"/>
</file>

<file path=xl/ctrlProps/ctrlProp7.xml><?xml version="1.0" encoding="utf-8"?>
<formControlPr xmlns="http://schemas.microsoft.com/office/spreadsheetml/2009/9/main" objectType="Drop" dropStyle="combo" dx="16" fmlaLink="i_CapCT" fmlaRange="CapCT" sel="5" val="0"/>
</file>

<file path=xl/ctrlProps/ctrlProp8.xml><?xml version="1.0" encoding="utf-8"?>
<formControlPr xmlns="http://schemas.microsoft.com/office/spreadsheetml/2009/9/main" objectType="Label" lockText="1"/>
</file>

<file path=xl/ctrlProps/ctrlProp9.xml><?xml version="1.0" encoding="utf-8"?>
<formControlPr xmlns="http://schemas.microsoft.com/office/spreadsheetml/2009/9/main" objectType="Drop" dropStyle="combo" dx="16" fmlaLink="i_BTK" fmlaRange="BuocTK" val="0"/>
</file>

<file path=xl/ctrlProps/ctrlProp10.xml><?xml version="1.0" encoding="utf-8"?>
<formControlPr xmlns="http://schemas.microsoft.com/office/spreadsheetml/2009/9/main" objectType="GBox"/>
</file>

<file path=xl/ctrlProps/ctrlProp11.xml><?xml version="1.0" encoding="utf-8"?>
<formControlPr xmlns="http://schemas.microsoft.com/office/spreadsheetml/2009/9/main" objectType="Label" lockText="1"/>
</file>

<file path=xl/ctrlProps/ctrlProp12.xml><?xml version="1.0" encoding="utf-8"?>
<formControlPr xmlns="http://schemas.microsoft.com/office/spreadsheetml/2009/9/main" objectType="Drop" dropStyle="combo" dx="16" fmlaLink="Config!$C$99" fmlaRange="Config!$B$100:$B$103" val="0"/>
</file>

<file path=xl/ctrlProps/ctrlProp13.xml><?xml version="1.0" encoding="utf-8"?>
<formControlPr xmlns="http://schemas.microsoft.com/office/spreadsheetml/2009/9/main" objectType="Label" lockText="1"/>
</file>

<file path=xl/ctrlProps/ctrlProp14.xml><?xml version="1.0" encoding="utf-8"?>
<formControlPr xmlns="http://schemas.microsoft.com/office/spreadsheetml/2009/9/main" objectType="Drop" dropStyle="combo" dx="16" fmlaLink="Config!$E$99" fmlaRange="Config!$E$100:$E$101" val="0"/>
</file>

<file path=xl/ctrlProps/ctrlProp15.xml><?xml version="1.0" encoding="utf-8"?>
<formControlPr xmlns="http://schemas.microsoft.com/office/spreadsheetml/2009/9/main" objectType="Label" lockText="1"/>
</file>

<file path=xl/ctrlProps/ctrlProp16.xml><?xml version="1.0" encoding="utf-8"?>
<formControlPr xmlns="http://schemas.microsoft.com/office/spreadsheetml/2009/9/main" objectType="Drop" dropStyle="combo" dx="16" fmlaLink="Config!$C$110" fmlaRange="Config!$E$110:$E$112" val="0"/>
</file>

<file path=xl/ctrlProps/ctrlProp17.xml><?xml version="1.0" encoding="utf-8"?>
<formControlPr xmlns="http://schemas.microsoft.com/office/spreadsheetml/2009/9/main" objectType="Label" lockText="1"/>
</file>

<file path=xl/ctrlProps/ctrlProp18.xml><?xml version="1.0" encoding="utf-8"?>
<formControlPr xmlns="http://schemas.microsoft.com/office/spreadsheetml/2009/9/main" objectType="Drop" dropStyle="combo" dx="16" fmlaLink="Config!$F$99" fmlaRange="Config!$F$100:$F$101" val="0"/>
</file>

<file path=xl/ctrlProps/ctrlProp19.xml><?xml version="1.0" encoding="utf-8"?>
<formControlPr xmlns="http://schemas.microsoft.com/office/spreadsheetml/2009/9/main" objectType="Label" lockText="1"/>
</file>

<file path=xl/ctrlProps/ctrlProp20.xml><?xml version="1.0" encoding="utf-8"?>
<formControlPr xmlns="http://schemas.microsoft.com/office/spreadsheetml/2009/9/main" objectType="Radio" checked="Checked" firstButton="1" fmlaLink="Config!$E$102"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GBox"/>
</file>

<file path=xl/ctrlProps/ctrlProp23.xml><?xml version="1.0" encoding="utf-8"?>
<formControlPr xmlns="http://schemas.microsoft.com/office/spreadsheetml/2009/9/main" objectType="Label" lockText="1"/>
</file>

<file path=xl/ctrlProps/ctrlProp24.xml><?xml version="1.0" encoding="utf-8"?>
<formControlPr xmlns="http://schemas.microsoft.com/office/spreadsheetml/2009/9/main" objectType="Drop" dropStyle="combo" dx="16" fmlaLink="i_LoaiCT" fmlaRange="LoaiCT" val="0"/>
</file>

<file path=xl/ctrlProps/ctrlProp25.xml><?xml version="1.0" encoding="utf-8"?>
<formControlPr xmlns="http://schemas.microsoft.com/office/spreadsheetml/2009/9/main" objectType="Label" lockText="1"/>
</file>

<file path=xl/ctrlProps/ctrlProp26.xml><?xml version="1.0" encoding="utf-8"?>
<formControlPr xmlns="http://schemas.microsoft.com/office/spreadsheetml/2009/9/main" objectType="Drop" dropStyle="combo" dx="16" fmlaLink="i_CapCT" fmlaRange="CapCT" sel="5" val="0"/>
</file>

<file path=xl/ctrlProps/ctrlProp27.xml><?xml version="1.0" encoding="utf-8"?>
<formControlPr xmlns="http://schemas.microsoft.com/office/spreadsheetml/2009/9/main" objectType="Label" lockText="1"/>
</file>

<file path=xl/ctrlProps/ctrlProp28.xml><?xml version="1.0" encoding="utf-8"?>
<formControlPr xmlns="http://schemas.microsoft.com/office/spreadsheetml/2009/9/main" objectType="Drop" dropStyle="combo" dx="16" fmlaLink="i_BTK" fmlaRange="BuocTK" val="0"/>
</file>

<file path=xl/ctrlProps/ctrlProp29.xml><?xml version="1.0" encoding="utf-8"?>
<formControlPr xmlns="http://schemas.microsoft.com/office/spreadsheetml/2009/9/main" objectType="GBox"/>
</file>

<file path=xl/ctrlProps/ctrlProp30.xml><?xml version="1.0" encoding="utf-8"?>
<formControlPr xmlns="http://schemas.microsoft.com/office/spreadsheetml/2009/9/main" objectType="Label" lockText="1"/>
</file>

<file path=xl/ctrlProps/ctrlProp31.xml><?xml version="1.0" encoding="utf-8"?>
<formControlPr xmlns="http://schemas.microsoft.com/office/spreadsheetml/2009/9/main" objectType="Drop" dropStyle="combo" dx="16" fmlaLink="Config!$C$99" fmlaRange="Config!$B$100:$B$103" val="0"/>
</file>

<file path=xl/ctrlProps/ctrlProp32.xml><?xml version="1.0" encoding="utf-8"?>
<formControlPr xmlns="http://schemas.microsoft.com/office/spreadsheetml/2009/9/main" objectType="Label" lockText="1"/>
</file>

<file path=xl/ctrlProps/ctrlProp33.xml><?xml version="1.0" encoding="utf-8"?>
<formControlPr xmlns="http://schemas.microsoft.com/office/spreadsheetml/2009/9/main" objectType="Drop" dropStyle="combo" dx="16" fmlaLink="Config!$E$99" fmlaRange="Config!$E$100:$E$101" val="0"/>
</file>

<file path=xl/ctrlProps/ctrlProp34.xml><?xml version="1.0" encoding="utf-8"?>
<formControlPr xmlns="http://schemas.microsoft.com/office/spreadsheetml/2009/9/main" objectType="Label" lockText="1"/>
</file>

<file path=xl/ctrlProps/ctrlProp35.xml><?xml version="1.0" encoding="utf-8"?>
<formControlPr xmlns="http://schemas.microsoft.com/office/spreadsheetml/2009/9/main" objectType="Drop" dropStyle="combo" dx="16" fmlaLink="Config!$C$110" fmlaRange="Config!$E$110:$E$112" val="0"/>
</file>

<file path=xl/ctrlProps/ctrlProp36.xml><?xml version="1.0" encoding="utf-8"?>
<formControlPr xmlns="http://schemas.microsoft.com/office/spreadsheetml/2009/9/main" objectType="Label" lockText="1"/>
</file>

<file path=xl/ctrlProps/ctrlProp37.xml><?xml version="1.0" encoding="utf-8"?>
<formControlPr xmlns="http://schemas.microsoft.com/office/spreadsheetml/2009/9/main" objectType="Drop" dropStyle="combo" dx="16" fmlaLink="Config!$F$99" fmlaRange="Config!$F$100:$F$101" val="0"/>
</file>

<file path=xl/ctrlProps/ctrlProp38.xml><?xml version="1.0" encoding="utf-8"?>
<formControlPr xmlns="http://schemas.microsoft.com/office/spreadsheetml/2009/9/main" objectType="Label" lockText="1"/>
</file>

<file path=xl/ctrlProps/ctrlProp39.xml><?xml version="1.0" encoding="utf-8"?>
<formControlPr xmlns="http://schemas.microsoft.com/office/spreadsheetml/2009/9/main" objectType="Drop" dropStyle="combo" dx="16" fmlaLink="i_CPC" fmlaRange="CT_CPC" val="0"/>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8.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s>
</file>

<file path=xl/drawings/_rels/vmlDrawing10.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12.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14</xdr:row>
          <xdr:rowOff>28575</xdr:rowOff>
        </xdr:from>
        <xdr:to>
          <xdr:col>2</xdr:col>
          <xdr:colOff>2809875</xdr:colOff>
          <xdr:row>16</xdr:row>
          <xdr:rowOff>171450</xdr:rowOff>
        </xdr:to>
        <xdr:sp macro="" textlink="">
          <xdr:nvSpPr>
            <xdr:cNvPr id="55297" name="Object 1" hidden="1">
              <a:extLst>
                <a:ext uri="{63B3BB69-23CF-44E3-9099-C40C66FF867C}">
                  <a14:compatExt spid="_x0000_s55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1285875</xdr:colOff>
          <xdr:row>21</xdr:row>
          <xdr:rowOff>228600</xdr:rowOff>
        </xdr:from>
        <xdr:to>
          <xdr:col>2</xdr:col>
          <xdr:colOff>2486025</xdr:colOff>
          <xdr:row>24</xdr:row>
          <xdr:rowOff>152400</xdr:rowOff>
        </xdr:to>
        <xdr:sp macro="" textlink="">
          <xdr:nvSpPr>
            <xdr:cNvPr id="55298" name="Object 2" hidden="1">
              <a:extLst>
                <a:ext uri="{63B3BB69-23CF-44E3-9099-C40C66FF867C}">
                  <a14:compatExt spid="_x0000_s55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1971675</xdr:colOff>
          <xdr:row>29</xdr:row>
          <xdr:rowOff>19050</xdr:rowOff>
        </xdr:from>
        <xdr:to>
          <xdr:col>2</xdr:col>
          <xdr:colOff>2886075</xdr:colOff>
          <xdr:row>29</xdr:row>
          <xdr:rowOff>438150</xdr:rowOff>
        </xdr:to>
        <xdr:sp macro="" textlink="">
          <xdr:nvSpPr>
            <xdr:cNvPr id="55299" name="Object 3" hidden="1">
              <a:extLst>
                <a:ext uri="{63B3BB69-23CF-44E3-9099-C40C66FF867C}">
                  <a14:compatExt spid="_x0000_s55299"/>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266700</xdr:colOff>
          <xdr:row>5</xdr:row>
          <xdr:rowOff>238125</xdr:rowOff>
        </xdr:from>
        <xdr:to>
          <xdr:col>0</xdr:col>
          <xdr:colOff>3114675</xdr:colOff>
          <xdr:row>6</xdr:row>
          <xdr:rowOff>66675</xdr:rowOff>
        </xdr:to>
        <xdr:sp macro="" textlink="">
          <xdr:nvSpPr>
            <xdr:cNvPr id="188428" name="opt1" hidden="1">
              <a:extLst>
                <a:ext uri="{63B3BB69-23CF-44E3-9099-C40C66FF867C}">
                  <a14:compatExt spid="_x0000_s18842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vi-VN" sz="800" b="0" i="0" u="none" strike="noStrike" baseline="0">
                  <a:solidFill>
                    <a:srgbClr val="000000"/>
                  </a:solidFill>
                  <a:latin typeface="Tahoma"/>
                  <a:cs typeface="Tahoma"/>
                </a:rPr>
                <a:t>Vốn ngân sách, do cơ quan nhà nước tự thực hiện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266700</xdr:colOff>
          <xdr:row>6</xdr:row>
          <xdr:rowOff>66675</xdr:rowOff>
        </xdr:from>
        <xdr:to>
          <xdr:col>0</xdr:col>
          <xdr:colOff>3400425</xdr:colOff>
          <xdr:row>7</xdr:row>
          <xdr:rowOff>66675</xdr:rowOff>
        </xdr:to>
        <xdr:sp macro="" textlink="">
          <xdr:nvSpPr>
            <xdr:cNvPr id="188429" name="Option Button 13" hidden="1">
              <a:extLst>
                <a:ext uri="{63B3BB69-23CF-44E3-9099-C40C66FF867C}">
                  <a14:compatExt spid="_x0000_s18842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vi-VN" sz="800" b="0" i="0" u="none" strike="noStrike" baseline="0">
                  <a:solidFill>
                    <a:srgbClr val="000000"/>
                  </a:solidFill>
                  <a:latin typeface="Tahoma"/>
                  <a:cs typeface="Tahoma"/>
                </a:rPr>
                <a:t>Vốn ngân sách, cơ quan NN và tổ chức tư vấn cùng thực hiện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28575</xdr:colOff>
          <xdr:row>13</xdr:row>
          <xdr:rowOff>95250</xdr:rowOff>
        </xdr:from>
        <xdr:to>
          <xdr:col>0</xdr:col>
          <xdr:colOff>3409950</xdr:colOff>
          <xdr:row>60</xdr:row>
          <xdr:rowOff>476250</xdr:rowOff>
        </xdr:to>
        <xdr:sp macro="" textlink="">
          <xdr:nvSpPr>
            <xdr:cNvPr id="188417" name="Group Box 1" hidden="1">
              <a:extLst>
                <a:ext uri="{63B3BB69-23CF-44E3-9099-C40C66FF867C}">
                  <a14:compatExt spid="_x0000_s188417"/>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Thông tin công trình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76200</xdr:colOff>
          <xdr:row>14</xdr:row>
          <xdr:rowOff>114300</xdr:rowOff>
        </xdr:from>
        <xdr:to>
          <xdr:col>0</xdr:col>
          <xdr:colOff>914400</xdr:colOff>
          <xdr:row>15</xdr:row>
          <xdr:rowOff>85725</xdr:rowOff>
        </xdr:to>
        <xdr:sp macro="" textlink="">
          <xdr:nvSpPr>
            <xdr:cNvPr id="188418" name="Label 2" hidden="1">
              <a:extLst>
                <a:ext uri="{63B3BB69-23CF-44E3-9099-C40C66FF867C}">
                  <a14:compatExt spid="_x0000_s188418"/>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cs typeface="Tahoma"/>
                </a:rPr>
                <a:t>- Loại công trình: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1028700</xdr:colOff>
          <xdr:row>14</xdr:row>
          <xdr:rowOff>47625</xdr:rowOff>
        </xdr:from>
        <xdr:to>
          <xdr:col>0</xdr:col>
          <xdr:colOff>3362325</xdr:colOff>
          <xdr:row>15</xdr:row>
          <xdr:rowOff>85725</xdr:rowOff>
        </xdr:to>
        <xdr:sp macro="" textlink="">
          <xdr:nvSpPr>
            <xdr:cNvPr id="188419" name="Dr_LCT" hidden="1">
              <a:extLst>
                <a:ext uri="{63B3BB69-23CF-44E3-9099-C40C66FF867C}">
                  <a14:compatExt spid="_x0000_s18841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57150</xdr:colOff>
          <xdr:row>15</xdr:row>
          <xdr:rowOff>123825</xdr:rowOff>
        </xdr:from>
        <xdr:to>
          <xdr:col>0</xdr:col>
          <xdr:colOff>914400</xdr:colOff>
          <xdr:row>33</xdr:row>
          <xdr:rowOff>104775</xdr:rowOff>
        </xdr:to>
        <xdr:sp macro="" textlink="">
          <xdr:nvSpPr>
            <xdr:cNvPr id="188420" name="Label 4" hidden="1">
              <a:extLst>
                <a:ext uri="{63B3BB69-23CF-44E3-9099-C40C66FF867C}">
                  <a14:compatExt spid="_x0000_s188420"/>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cs typeface="Tahoma"/>
                </a:rPr>
                <a:t>- Cấp công trình: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1028700</xdr:colOff>
          <xdr:row>15</xdr:row>
          <xdr:rowOff>104775</xdr:rowOff>
        </xdr:from>
        <xdr:to>
          <xdr:col>0</xdr:col>
          <xdr:colOff>3362325</xdr:colOff>
          <xdr:row>33</xdr:row>
          <xdr:rowOff>123825</xdr:rowOff>
        </xdr:to>
        <xdr:sp macro="" textlink="">
          <xdr:nvSpPr>
            <xdr:cNvPr id="188421" name="Dr_CCT" hidden="1">
              <a:extLst>
                <a:ext uri="{63B3BB69-23CF-44E3-9099-C40C66FF867C}">
                  <a14:compatExt spid="_x0000_s18842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47625</xdr:colOff>
          <xdr:row>33</xdr:row>
          <xdr:rowOff>171450</xdr:rowOff>
        </xdr:from>
        <xdr:to>
          <xdr:col>0</xdr:col>
          <xdr:colOff>914400</xdr:colOff>
          <xdr:row>40</xdr:row>
          <xdr:rowOff>161925</xdr:rowOff>
        </xdr:to>
        <xdr:sp macro="" textlink="">
          <xdr:nvSpPr>
            <xdr:cNvPr id="188422" name="Label 6" hidden="1">
              <a:extLst>
                <a:ext uri="{63B3BB69-23CF-44E3-9099-C40C66FF867C}">
                  <a14:compatExt spid="_x0000_s188422"/>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cs typeface="Tahoma"/>
                </a:rPr>
                <a:t>- Loại thiết kế:</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1028700</xdr:colOff>
          <xdr:row>33</xdr:row>
          <xdr:rowOff>133350</xdr:rowOff>
        </xdr:from>
        <xdr:to>
          <xdr:col>0</xdr:col>
          <xdr:colOff>3362325</xdr:colOff>
          <xdr:row>40</xdr:row>
          <xdr:rowOff>142875</xdr:rowOff>
        </xdr:to>
        <xdr:sp macro="" textlink="">
          <xdr:nvSpPr>
            <xdr:cNvPr id="188423" name="Dr_LTK" hidden="1">
              <a:extLst>
                <a:ext uri="{63B3BB69-23CF-44E3-9099-C40C66FF867C}">
                  <a14:compatExt spid="_x0000_s18842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38100</xdr:colOff>
          <xdr:row>0</xdr:row>
          <xdr:rowOff>66675</xdr:rowOff>
        </xdr:from>
        <xdr:to>
          <xdr:col>0</xdr:col>
          <xdr:colOff>3429000</xdr:colOff>
          <xdr:row>12</xdr:row>
          <xdr:rowOff>95250</xdr:rowOff>
        </xdr:to>
        <xdr:sp macro="" textlink="">
          <xdr:nvSpPr>
            <xdr:cNvPr id="188491" name="Group Box 75" hidden="1">
              <a:extLst>
                <a:ext uri="{63B3BB69-23CF-44E3-9099-C40C66FF867C}">
                  <a14:compatExt spid="_x0000_s188491"/>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vi-VN" sz="800" b="0" i="0" u="none" strike="noStrike" baseline="0">
                  <a:solidFill>
                    <a:srgbClr val="000000"/>
                  </a:solidFill>
                  <a:latin typeface="Tahoma"/>
                  <a:cs typeface="Tahoma"/>
                </a:rPr>
                <a:t>Các văn bản áp dụng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95250</xdr:colOff>
          <xdr:row>0</xdr:row>
          <xdr:rowOff>247650</xdr:rowOff>
        </xdr:from>
        <xdr:to>
          <xdr:col>0</xdr:col>
          <xdr:colOff>3305175</xdr:colOff>
          <xdr:row>1</xdr:row>
          <xdr:rowOff>171450</xdr:rowOff>
        </xdr:to>
        <xdr:sp macro="" textlink="">
          <xdr:nvSpPr>
            <xdr:cNvPr id="188492" name="Label 76" hidden="1">
              <a:extLst>
                <a:ext uri="{63B3BB69-23CF-44E3-9099-C40C66FF867C}">
                  <a14:compatExt spid="_x0000_s188492"/>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vi-VN" sz="800" b="0" i="0" u="none" strike="noStrike" baseline="0">
                  <a:solidFill>
                    <a:srgbClr val="000000"/>
                  </a:solidFill>
                  <a:latin typeface="Tahoma"/>
                  <a:cs typeface="Tahoma"/>
                </a:rPr>
                <a:t>- Nội suy các chi phí QLDA- Tư vấn đầu tư xây dựng theo VB: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152400</xdr:colOff>
          <xdr:row>1</xdr:row>
          <xdr:rowOff>190500</xdr:rowOff>
        </xdr:from>
        <xdr:to>
          <xdr:col>0</xdr:col>
          <xdr:colOff>3314700</xdr:colOff>
          <xdr:row>2</xdr:row>
          <xdr:rowOff>190500</xdr:rowOff>
        </xdr:to>
        <xdr:sp macro="" textlink="">
          <xdr:nvSpPr>
            <xdr:cNvPr id="188493" name="Drop Down 77" hidden="1">
              <a:extLst>
                <a:ext uri="{63B3BB69-23CF-44E3-9099-C40C66FF867C}">
                  <a14:compatExt spid="_x0000_s18849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76200</xdr:colOff>
          <xdr:row>4</xdr:row>
          <xdr:rowOff>19050</xdr:rowOff>
        </xdr:from>
        <xdr:to>
          <xdr:col>0</xdr:col>
          <xdr:colOff>3286125</xdr:colOff>
          <xdr:row>5</xdr:row>
          <xdr:rowOff>0</xdr:rowOff>
        </xdr:to>
        <xdr:sp macro="" textlink="">
          <xdr:nvSpPr>
            <xdr:cNvPr id="188494" name="Label 78" hidden="1">
              <a:extLst>
                <a:ext uri="{63B3BB69-23CF-44E3-9099-C40C66FF867C}">
                  <a14:compatExt spid="_x0000_s188494"/>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vi-VN" sz="800" b="0" i="0" u="none" strike="noStrike" baseline="0">
                  <a:solidFill>
                    <a:srgbClr val="000000"/>
                  </a:solidFill>
                  <a:latin typeface="Tahoma"/>
                  <a:cs typeface="Tahoma"/>
                </a:rPr>
                <a:t>- Nội suy các chi phí thẩm định thiết kế, thẩm định dự toán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133350</xdr:colOff>
          <xdr:row>5</xdr:row>
          <xdr:rowOff>19050</xdr:rowOff>
        </xdr:from>
        <xdr:to>
          <xdr:col>0</xdr:col>
          <xdr:colOff>3295650</xdr:colOff>
          <xdr:row>5</xdr:row>
          <xdr:rowOff>219075</xdr:rowOff>
        </xdr:to>
        <xdr:sp macro="" textlink="">
          <xdr:nvSpPr>
            <xdr:cNvPr id="188495" name="Drop Down 79" hidden="1">
              <a:extLst>
                <a:ext uri="{63B3BB69-23CF-44E3-9099-C40C66FF867C}">
                  <a14:compatExt spid="_x0000_s18849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66675</xdr:colOff>
          <xdr:row>7</xdr:row>
          <xdr:rowOff>133350</xdr:rowOff>
        </xdr:from>
        <xdr:to>
          <xdr:col>0</xdr:col>
          <xdr:colOff>3276600</xdr:colOff>
          <xdr:row>8</xdr:row>
          <xdr:rowOff>95250</xdr:rowOff>
        </xdr:to>
        <xdr:sp macro="" textlink="">
          <xdr:nvSpPr>
            <xdr:cNvPr id="188496" name="Label 80" hidden="1">
              <a:extLst>
                <a:ext uri="{63B3BB69-23CF-44E3-9099-C40C66FF867C}">
                  <a14:compatExt spid="_x0000_s188496"/>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cs typeface="Tahoma"/>
                </a:rPr>
                <a:t>- Nội suy các chi phí thẩm tra/phê duyệt quyết toán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123825</xdr:colOff>
          <xdr:row>8</xdr:row>
          <xdr:rowOff>133350</xdr:rowOff>
        </xdr:from>
        <xdr:to>
          <xdr:col>0</xdr:col>
          <xdr:colOff>3286125</xdr:colOff>
          <xdr:row>9</xdr:row>
          <xdr:rowOff>152400</xdr:rowOff>
        </xdr:to>
        <xdr:sp macro="" textlink="">
          <xdr:nvSpPr>
            <xdr:cNvPr id="188497" name="Drop Down 81" hidden="1">
              <a:extLst>
                <a:ext uri="{63B3BB69-23CF-44E3-9099-C40C66FF867C}">
                  <a14:compatExt spid="_x0000_s18849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57150</xdr:colOff>
          <xdr:row>10</xdr:row>
          <xdr:rowOff>9525</xdr:rowOff>
        </xdr:from>
        <xdr:to>
          <xdr:col>0</xdr:col>
          <xdr:colOff>3267075</xdr:colOff>
          <xdr:row>10</xdr:row>
          <xdr:rowOff>190500</xdr:rowOff>
        </xdr:to>
        <xdr:sp macro="" textlink="">
          <xdr:nvSpPr>
            <xdr:cNvPr id="188499" name="Label 83" hidden="1">
              <a:extLst>
                <a:ext uri="{63B3BB69-23CF-44E3-9099-C40C66FF867C}">
                  <a14:compatExt spid="_x0000_s188499"/>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vi-VN" sz="800" b="0" i="0" u="none" strike="noStrike" baseline="0">
                  <a:solidFill>
                    <a:srgbClr val="000000"/>
                  </a:solidFill>
                  <a:latin typeface="Tahoma"/>
                  <a:cs typeface="Tahoma"/>
                </a:rPr>
                <a:t>- Nội suy các chi phí thẩm định dự án đầu tư/BC KTKT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11</xdr:row>
          <xdr:rowOff>9525</xdr:rowOff>
        </xdr:from>
        <xdr:to>
          <xdr:col>0</xdr:col>
          <xdr:colOff>3276600</xdr:colOff>
          <xdr:row>12</xdr:row>
          <xdr:rowOff>28575</xdr:rowOff>
        </xdr:to>
        <xdr:sp macro="" textlink="">
          <xdr:nvSpPr>
            <xdr:cNvPr id="188500" name="Drop Down 84" hidden="1">
              <a:extLst>
                <a:ext uri="{63B3BB69-23CF-44E3-9099-C40C66FF867C}">
                  <a14:compatExt spid="_x0000_s18850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85725</xdr:colOff>
          <xdr:row>44</xdr:row>
          <xdr:rowOff>76200</xdr:rowOff>
        </xdr:from>
        <xdr:to>
          <xdr:col>0</xdr:col>
          <xdr:colOff>3343275</xdr:colOff>
          <xdr:row>61</xdr:row>
          <xdr:rowOff>133350</xdr:rowOff>
        </xdr:to>
        <xdr:sp macro="" textlink="">
          <xdr:nvSpPr>
            <xdr:cNvPr id="188501" name="Label 85" hidden="1">
              <a:extLst>
                <a:ext uri="{63B3BB69-23CF-44E3-9099-C40C66FF867C}">
                  <a14:compatExt spid="_x0000_s188501"/>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vi-VN" sz="800" b="0" i="0" u="none" strike="noStrike" baseline="0">
                  <a:solidFill>
                    <a:srgbClr val="000000"/>
                  </a:solidFill>
                  <a:latin typeface="Tahoma"/>
                  <a:cs typeface="Tahoma"/>
                </a:rPr>
                <a:t>Lưu ý: </a:t>
              </a:r>
            </a:p>
            <a:p>
              <a:pPr algn="l" rtl="0">
                <a:defRPr sz="1000"/>
              </a:pPr>
              <a:r>
                <a:rPr lang="vi-VN" sz="800" b="0" i="0" u="none" strike="noStrike" baseline="0">
                  <a:solidFill>
                    <a:srgbClr val="000000"/>
                  </a:solidFill>
                  <a:latin typeface="Tahoma"/>
                  <a:cs typeface="Tahoma"/>
                </a:rPr>
                <a:t>-  Phần mềm chỉ dựa trên những nhóm phổ biến bình thường của 4 loại công trình được nêu trong quyết định ban hành kèm theo.</a:t>
              </a:r>
            </a:p>
            <a:p>
              <a:pPr algn="l" rtl="0">
                <a:defRPr sz="1000"/>
              </a:pPr>
              <a:r>
                <a:rPr lang="vi-VN" sz="800" b="0" i="0" u="none" strike="noStrike" baseline="0">
                  <a:solidFill>
                    <a:srgbClr val="000000"/>
                  </a:solidFill>
                  <a:latin typeface="Tahoma"/>
                  <a:cs typeface="Tahoma"/>
                </a:rPr>
                <a:t>- Trong những điều kiện bất bình thường hoặc thuộc các nhóm công trình khác, tùy thuộc vào từng loại công trình,từng điều kiện cụ thể  người sử dụng  căn cứ cụ thể nội dung quyết định để có quyết định giá trị tính toán phù hợp.</a:t>
              </a:r>
            </a:p>
            <a:p>
              <a:pPr algn="l" rtl="0">
                <a:defRPr sz="1000"/>
              </a:pPr>
              <a:r>
                <a:rPr lang="vi-VN" sz="800" b="0" i="0" u="none" strike="noStrike" baseline="0">
                  <a:solidFill>
                    <a:srgbClr val="000000"/>
                  </a:solidFill>
                  <a:latin typeface="Tahoma"/>
                  <a:cs typeface="Tahoma"/>
                </a:rPr>
                <a:t>- Khi thay đổi giá vật tư, khối lượng làm Tổng mức đầu tư thay đổi, để cập nhật những thay đổi liên quan bạn vui lòng bấm F5 hoặc chọn lại bất kỳ một thông tin gì ở mục trên để phần mềm tính lại.</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266700</xdr:colOff>
          <xdr:row>7</xdr:row>
          <xdr:rowOff>19050</xdr:rowOff>
        </xdr:from>
        <xdr:to>
          <xdr:col>0</xdr:col>
          <xdr:colOff>3114675</xdr:colOff>
          <xdr:row>8</xdr:row>
          <xdr:rowOff>28575</xdr:rowOff>
        </xdr:to>
        <xdr:sp macro="" textlink="">
          <xdr:nvSpPr>
            <xdr:cNvPr id="273409" name="opt1" hidden="1">
              <a:extLst>
                <a:ext uri="{63B3BB69-23CF-44E3-9099-C40C66FF867C}">
                  <a14:compatExt spid="_x0000_s27340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vi-VN" sz="800" b="0" i="0" u="none" strike="noStrike" baseline="0">
                  <a:solidFill>
                    <a:srgbClr val="000000"/>
                  </a:solidFill>
                  <a:latin typeface="Tahoma"/>
                  <a:cs typeface="Tahoma"/>
                </a:rPr>
                <a:t>Vốn ngân sách, do cơ quan nhà nước tự thực hiện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266700</xdr:colOff>
          <xdr:row>8</xdr:row>
          <xdr:rowOff>28575</xdr:rowOff>
        </xdr:from>
        <xdr:to>
          <xdr:col>0</xdr:col>
          <xdr:colOff>3400425</xdr:colOff>
          <xdr:row>9</xdr:row>
          <xdr:rowOff>9525</xdr:rowOff>
        </xdr:to>
        <xdr:sp macro="" textlink="">
          <xdr:nvSpPr>
            <xdr:cNvPr id="273410" name="Option Button 2" hidden="1">
              <a:extLst>
                <a:ext uri="{63B3BB69-23CF-44E3-9099-C40C66FF867C}">
                  <a14:compatExt spid="_x0000_s27341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vi-VN" sz="800" b="0" i="0" u="none" strike="noStrike" baseline="0">
                  <a:solidFill>
                    <a:srgbClr val="000000"/>
                  </a:solidFill>
                  <a:latin typeface="Tahoma"/>
                  <a:cs typeface="Tahoma"/>
                </a:rPr>
                <a:t>Vốn ngân sách, cơ quan NN và tổ chức tư vấn cùng thực hiện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28575</xdr:colOff>
          <xdr:row>32</xdr:row>
          <xdr:rowOff>95250</xdr:rowOff>
        </xdr:from>
        <xdr:to>
          <xdr:col>0</xdr:col>
          <xdr:colOff>3409950</xdr:colOff>
          <xdr:row>61</xdr:row>
          <xdr:rowOff>142875</xdr:rowOff>
        </xdr:to>
        <xdr:sp macro="" textlink="">
          <xdr:nvSpPr>
            <xdr:cNvPr id="273411" name="Group Box 3" hidden="1">
              <a:extLst>
                <a:ext uri="{63B3BB69-23CF-44E3-9099-C40C66FF867C}">
                  <a14:compatExt spid="_x0000_s273411"/>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en-US" sz="800" b="0" i="0" u="none" strike="noStrike" baseline="0">
                  <a:solidFill>
                    <a:srgbClr val="000000"/>
                  </a:solidFill>
                  <a:latin typeface="Tahoma"/>
                  <a:cs typeface="Tahoma"/>
                </a:rPr>
                <a:t>Thông tin công trình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76200</xdr:colOff>
          <xdr:row>39</xdr:row>
          <xdr:rowOff>114300</xdr:rowOff>
        </xdr:from>
        <xdr:to>
          <xdr:col>0</xdr:col>
          <xdr:colOff>914400</xdr:colOff>
          <xdr:row>43</xdr:row>
          <xdr:rowOff>66675</xdr:rowOff>
        </xdr:to>
        <xdr:sp macro="" textlink="">
          <xdr:nvSpPr>
            <xdr:cNvPr id="273412" name="Label 4" hidden="1">
              <a:extLst>
                <a:ext uri="{63B3BB69-23CF-44E3-9099-C40C66FF867C}">
                  <a14:compatExt spid="_x0000_s273412"/>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cs typeface="Tahoma"/>
                </a:rPr>
                <a:t>- Loại công trình: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1028700</xdr:colOff>
          <xdr:row>39</xdr:row>
          <xdr:rowOff>47625</xdr:rowOff>
        </xdr:from>
        <xdr:to>
          <xdr:col>0</xdr:col>
          <xdr:colOff>3362325</xdr:colOff>
          <xdr:row>43</xdr:row>
          <xdr:rowOff>66675</xdr:rowOff>
        </xdr:to>
        <xdr:sp macro="" textlink="">
          <xdr:nvSpPr>
            <xdr:cNvPr id="273413" name="Dr_LCT" hidden="1">
              <a:extLst>
                <a:ext uri="{63B3BB69-23CF-44E3-9099-C40C66FF867C}">
                  <a14:compatExt spid="_x0000_s27341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57150</xdr:colOff>
          <xdr:row>43</xdr:row>
          <xdr:rowOff>104775</xdr:rowOff>
        </xdr:from>
        <xdr:to>
          <xdr:col>0</xdr:col>
          <xdr:colOff>914400</xdr:colOff>
          <xdr:row>44</xdr:row>
          <xdr:rowOff>85725</xdr:rowOff>
        </xdr:to>
        <xdr:sp macro="" textlink="">
          <xdr:nvSpPr>
            <xdr:cNvPr id="273414" name="Label 6" hidden="1">
              <a:extLst>
                <a:ext uri="{63B3BB69-23CF-44E3-9099-C40C66FF867C}">
                  <a14:compatExt spid="_x0000_s273414"/>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cs typeface="Tahoma"/>
                </a:rPr>
                <a:t>- Cấp công trình: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1028700</xdr:colOff>
          <xdr:row>43</xdr:row>
          <xdr:rowOff>85725</xdr:rowOff>
        </xdr:from>
        <xdr:to>
          <xdr:col>0</xdr:col>
          <xdr:colOff>3362325</xdr:colOff>
          <xdr:row>44</xdr:row>
          <xdr:rowOff>104775</xdr:rowOff>
        </xdr:to>
        <xdr:sp macro="" textlink="">
          <xdr:nvSpPr>
            <xdr:cNvPr id="273415" name="Dr_CCT" hidden="1">
              <a:extLst>
                <a:ext uri="{63B3BB69-23CF-44E3-9099-C40C66FF867C}">
                  <a14:compatExt spid="_x0000_s27341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47625</xdr:colOff>
          <xdr:row>44</xdr:row>
          <xdr:rowOff>152400</xdr:rowOff>
        </xdr:from>
        <xdr:to>
          <xdr:col>0</xdr:col>
          <xdr:colOff>914400</xdr:colOff>
          <xdr:row>45</xdr:row>
          <xdr:rowOff>142875</xdr:rowOff>
        </xdr:to>
        <xdr:sp macro="" textlink="">
          <xdr:nvSpPr>
            <xdr:cNvPr id="273416" name="Label 8" hidden="1">
              <a:extLst>
                <a:ext uri="{63B3BB69-23CF-44E3-9099-C40C66FF867C}">
                  <a14:compatExt spid="_x0000_s273416"/>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cs typeface="Tahoma"/>
                </a:rPr>
                <a:t>- Loại thiết kế:</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1028700</xdr:colOff>
          <xdr:row>44</xdr:row>
          <xdr:rowOff>114300</xdr:rowOff>
        </xdr:from>
        <xdr:to>
          <xdr:col>0</xdr:col>
          <xdr:colOff>3362325</xdr:colOff>
          <xdr:row>45</xdr:row>
          <xdr:rowOff>123825</xdr:rowOff>
        </xdr:to>
        <xdr:sp macro="" textlink="">
          <xdr:nvSpPr>
            <xdr:cNvPr id="273417" name="Dr_LTK" hidden="1">
              <a:extLst>
                <a:ext uri="{63B3BB69-23CF-44E3-9099-C40C66FF867C}">
                  <a14:compatExt spid="_x0000_s27341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38100</xdr:colOff>
          <xdr:row>0</xdr:row>
          <xdr:rowOff>66675</xdr:rowOff>
        </xdr:from>
        <xdr:to>
          <xdr:col>0</xdr:col>
          <xdr:colOff>3429000</xdr:colOff>
          <xdr:row>14</xdr:row>
          <xdr:rowOff>95250</xdr:rowOff>
        </xdr:to>
        <xdr:sp macro="" textlink="">
          <xdr:nvSpPr>
            <xdr:cNvPr id="273418" name="Group Box 10" hidden="1">
              <a:extLst>
                <a:ext uri="{63B3BB69-23CF-44E3-9099-C40C66FF867C}">
                  <a14:compatExt spid="_x0000_s273418"/>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vi-VN" sz="800" b="0" i="0" u="none" strike="noStrike" baseline="0">
                  <a:solidFill>
                    <a:srgbClr val="000000"/>
                  </a:solidFill>
                  <a:latin typeface="Tahoma"/>
                  <a:cs typeface="Tahoma"/>
                </a:rPr>
                <a:t>Các văn bản áp dụng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95250</xdr:colOff>
          <xdr:row>0</xdr:row>
          <xdr:rowOff>247650</xdr:rowOff>
        </xdr:from>
        <xdr:to>
          <xdr:col>0</xdr:col>
          <xdr:colOff>3305175</xdr:colOff>
          <xdr:row>1</xdr:row>
          <xdr:rowOff>171450</xdr:rowOff>
        </xdr:to>
        <xdr:sp macro="" textlink="">
          <xdr:nvSpPr>
            <xdr:cNvPr id="273419" name="Label 11" hidden="1">
              <a:extLst>
                <a:ext uri="{63B3BB69-23CF-44E3-9099-C40C66FF867C}">
                  <a14:compatExt spid="_x0000_s273419"/>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vi-VN" sz="800" b="0" i="0" u="none" strike="noStrike" baseline="0">
                  <a:solidFill>
                    <a:srgbClr val="000000"/>
                  </a:solidFill>
                  <a:latin typeface="Tahoma"/>
                  <a:cs typeface="Tahoma"/>
                </a:rPr>
                <a:t>- Nội suy các chi phí QLDA- Tư vấn đầu tư xây dựng theo VB: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152400</xdr:colOff>
          <xdr:row>1</xdr:row>
          <xdr:rowOff>190500</xdr:rowOff>
        </xdr:from>
        <xdr:to>
          <xdr:col>0</xdr:col>
          <xdr:colOff>3314700</xdr:colOff>
          <xdr:row>2</xdr:row>
          <xdr:rowOff>190500</xdr:rowOff>
        </xdr:to>
        <xdr:sp macro="" textlink="">
          <xdr:nvSpPr>
            <xdr:cNvPr id="273420" name="Drop Down 12" hidden="1">
              <a:extLst>
                <a:ext uri="{63B3BB69-23CF-44E3-9099-C40C66FF867C}">
                  <a14:compatExt spid="_x0000_s27342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76200</xdr:colOff>
          <xdr:row>5</xdr:row>
          <xdr:rowOff>0</xdr:rowOff>
        </xdr:from>
        <xdr:to>
          <xdr:col>0</xdr:col>
          <xdr:colOff>3286125</xdr:colOff>
          <xdr:row>5</xdr:row>
          <xdr:rowOff>180975</xdr:rowOff>
        </xdr:to>
        <xdr:sp macro="" textlink="">
          <xdr:nvSpPr>
            <xdr:cNvPr id="273421" name="Label 13" hidden="1">
              <a:extLst>
                <a:ext uri="{63B3BB69-23CF-44E3-9099-C40C66FF867C}">
                  <a14:compatExt spid="_x0000_s273421"/>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vi-VN" sz="800" b="0" i="0" u="none" strike="noStrike" baseline="0">
                  <a:solidFill>
                    <a:srgbClr val="000000"/>
                  </a:solidFill>
                  <a:latin typeface="Tahoma"/>
                  <a:cs typeface="Tahoma"/>
                </a:rPr>
                <a:t>- Nội suy các chi phí thẩm định thiết kế, thẩm định dự toán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133350</xdr:colOff>
          <xdr:row>5</xdr:row>
          <xdr:rowOff>200025</xdr:rowOff>
        </xdr:from>
        <xdr:to>
          <xdr:col>0</xdr:col>
          <xdr:colOff>3295650</xdr:colOff>
          <xdr:row>6</xdr:row>
          <xdr:rowOff>0</xdr:rowOff>
        </xdr:to>
        <xdr:sp macro="" textlink="">
          <xdr:nvSpPr>
            <xdr:cNvPr id="273422" name="Drop Down 14" hidden="1">
              <a:extLst>
                <a:ext uri="{63B3BB69-23CF-44E3-9099-C40C66FF867C}">
                  <a14:compatExt spid="_x0000_s27342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66675</xdr:colOff>
          <xdr:row>9</xdr:row>
          <xdr:rowOff>76200</xdr:rowOff>
        </xdr:from>
        <xdr:to>
          <xdr:col>0</xdr:col>
          <xdr:colOff>3276600</xdr:colOff>
          <xdr:row>10</xdr:row>
          <xdr:rowOff>38100</xdr:rowOff>
        </xdr:to>
        <xdr:sp macro="" textlink="">
          <xdr:nvSpPr>
            <xdr:cNvPr id="273423" name="Label 15" hidden="1">
              <a:extLst>
                <a:ext uri="{63B3BB69-23CF-44E3-9099-C40C66FF867C}">
                  <a14:compatExt spid="_x0000_s273423"/>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en-US" sz="800" b="0" i="0" u="none" strike="noStrike" baseline="0">
                  <a:solidFill>
                    <a:srgbClr val="000000"/>
                  </a:solidFill>
                  <a:latin typeface="Tahoma"/>
                  <a:cs typeface="Tahoma"/>
                </a:rPr>
                <a:t>- Nội suy các chi phí thẩm tra/phê duyệt quyết toán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123825</xdr:colOff>
          <xdr:row>10</xdr:row>
          <xdr:rowOff>76200</xdr:rowOff>
        </xdr:from>
        <xdr:to>
          <xdr:col>0</xdr:col>
          <xdr:colOff>3286125</xdr:colOff>
          <xdr:row>11</xdr:row>
          <xdr:rowOff>95250</xdr:rowOff>
        </xdr:to>
        <xdr:sp macro="" textlink="">
          <xdr:nvSpPr>
            <xdr:cNvPr id="273424" name="Drop Down 16" hidden="1">
              <a:extLst>
                <a:ext uri="{63B3BB69-23CF-44E3-9099-C40C66FF867C}">
                  <a14:compatExt spid="_x0000_s27342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57150</xdr:colOff>
          <xdr:row>11</xdr:row>
          <xdr:rowOff>171450</xdr:rowOff>
        </xdr:from>
        <xdr:to>
          <xdr:col>0</xdr:col>
          <xdr:colOff>3267075</xdr:colOff>
          <xdr:row>12</xdr:row>
          <xdr:rowOff>152400</xdr:rowOff>
        </xdr:to>
        <xdr:sp macro="" textlink="">
          <xdr:nvSpPr>
            <xdr:cNvPr id="273425" name="Label 17" hidden="1">
              <a:extLst>
                <a:ext uri="{63B3BB69-23CF-44E3-9099-C40C66FF867C}">
                  <a14:compatExt spid="_x0000_s273425"/>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vi-VN" sz="800" b="0" i="0" u="none" strike="noStrike" baseline="0">
                  <a:solidFill>
                    <a:srgbClr val="000000"/>
                  </a:solidFill>
                  <a:latin typeface="Tahoma"/>
                  <a:cs typeface="Tahoma"/>
                </a:rPr>
                <a:t>- Nội suy các chi phí thẩm định dự án đầu tư/BC KTKT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12</xdr:row>
          <xdr:rowOff>190500</xdr:rowOff>
        </xdr:from>
        <xdr:to>
          <xdr:col>0</xdr:col>
          <xdr:colOff>3276600</xdr:colOff>
          <xdr:row>14</xdr:row>
          <xdr:rowOff>28575</xdr:rowOff>
        </xdr:to>
        <xdr:sp macro="" textlink="">
          <xdr:nvSpPr>
            <xdr:cNvPr id="273426" name="Drop Down 18" hidden="1">
              <a:extLst>
                <a:ext uri="{63B3BB69-23CF-44E3-9099-C40C66FF867C}">
                  <a14:compatExt spid="_x0000_s27342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85725</xdr:colOff>
          <xdr:row>54</xdr:row>
          <xdr:rowOff>19050</xdr:rowOff>
        </xdr:from>
        <xdr:to>
          <xdr:col>0</xdr:col>
          <xdr:colOff>3343275</xdr:colOff>
          <xdr:row>61</xdr:row>
          <xdr:rowOff>133350</xdr:rowOff>
        </xdr:to>
        <xdr:sp macro="" textlink="">
          <xdr:nvSpPr>
            <xdr:cNvPr id="273427" name="Label 19" hidden="1">
              <a:extLst>
                <a:ext uri="{63B3BB69-23CF-44E3-9099-C40C66FF867C}">
                  <a14:compatExt spid="_x0000_s273427"/>
                </a:ext>
              </a:extLst>
            </xdr:cNvPr>
            <xdr:cNvSpPr/>
          </xdr:nvSpPr>
          <xdr:spPr>
            <a:xfrm>
              <a:off x="0" y="0"/>
              <a:ext cx="0" cy="0"/>
            </a:xfrm>
            <a:prstGeom prst="rect">
              <a:avLst/>
            </a:prstGeom>
          </xdr:spPr>
          <xdr:txBody>
            <a:bodyPr vertOverflow="clip" wrap="square" lIns="27432" tIns="18288" rIns="0" bIns="0" anchor="t" upright="1"/>
            <a:lstStyle/>
            <a:p>
              <a:pPr algn="l" rtl="0">
                <a:defRPr sz="1000"/>
              </a:pPr>
              <a:r>
                <a:rPr lang="vi-VN" sz="800" b="0" i="0" u="none" strike="noStrike" baseline="0">
                  <a:solidFill>
                    <a:srgbClr val="000000"/>
                  </a:solidFill>
                  <a:latin typeface="Tahoma"/>
                  <a:cs typeface="Tahoma"/>
                </a:rPr>
                <a:t>Lưu ý: </a:t>
              </a:r>
            </a:p>
            <a:p>
              <a:pPr algn="l" rtl="0">
                <a:defRPr sz="1000"/>
              </a:pPr>
              <a:r>
                <a:rPr lang="vi-VN" sz="800" b="0" i="0" u="none" strike="noStrike" baseline="0">
                  <a:solidFill>
                    <a:srgbClr val="000000"/>
                  </a:solidFill>
                  <a:latin typeface="Tahoma"/>
                  <a:cs typeface="Tahoma"/>
                </a:rPr>
                <a:t>-  Phần mềm chỉ dựa trên những nhóm phổ biến bình thường của 4 loại công trình được nêu trong quyết định ban hành kèm theo.</a:t>
              </a:r>
            </a:p>
            <a:p>
              <a:pPr algn="l" rtl="0">
                <a:defRPr sz="1000"/>
              </a:pPr>
              <a:r>
                <a:rPr lang="vi-VN" sz="800" b="0" i="0" u="none" strike="noStrike" baseline="0">
                  <a:solidFill>
                    <a:srgbClr val="000000"/>
                  </a:solidFill>
                  <a:latin typeface="Tahoma"/>
                  <a:cs typeface="Tahoma"/>
                </a:rPr>
                <a:t>- Trong những điều kiện bất bình thường hoặc thuộc các nhóm công trình khác, tùy thuộc vào từng loại công trình,từng điều kiện cụ thể  người sử dụng  căn cứ cụ thể nội dung quyết định để có quyết định giá trị tính toán phù hợp.</a:t>
              </a:r>
            </a:p>
            <a:p>
              <a:pPr algn="l" rtl="0">
                <a:defRPr sz="1000"/>
              </a:pPr>
              <a:r>
                <a:rPr lang="vi-VN" sz="800" b="0" i="0" u="none" strike="noStrike" baseline="0">
                  <a:solidFill>
                    <a:srgbClr val="000000"/>
                  </a:solidFill>
                  <a:latin typeface="Tahoma"/>
                  <a:cs typeface="Tahoma"/>
                </a:rPr>
                <a:t>- Khi thay đổi giá vật tư, khối lượng làm Tổng mức đầu tư thay đổi, để cập nhật những thay đổi liên quan bạn vui lòng bấm F5 hoặc chọn lại bất kỳ một thông tin gì ở mục trên để phần mềm tính lại.</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17</xdr:row>
          <xdr:rowOff>19050</xdr:rowOff>
        </xdr:from>
        <xdr:to>
          <xdr:col>2</xdr:col>
          <xdr:colOff>2362200</xdr:colOff>
          <xdr:row>20</xdr:row>
          <xdr:rowOff>0</xdr:rowOff>
        </xdr:to>
        <xdr:sp macro="" textlink="">
          <xdr:nvSpPr>
            <xdr:cNvPr id="56321" name="Object 1" hidden="1">
              <a:extLst>
                <a:ext uri="{63B3BB69-23CF-44E3-9099-C40C66FF867C}">
                  <a14:compatExt spid="_x0000_s56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1285875</xdr:colOff>
          <xdr:row>27</xdr:row>
          <xdr:rowOff>0</xdr:rowOff>
        </xdr:from>
        <xdr:to>
          <xdr:col>2</xdr:col>
          <xdr:colOff>2486025</xdr:colOff>
          <xdr:row>30</xdr:row>
          <xdr:rowOff>19050</xdr:rowOff>
        </xdr:to>
        <xdr:sp macro="" textlink="">
          <xdr:nvSpPr>
            <xdr:cNvPr id="56322" name="Object 2" hidden="1">
              <a:extLst>
                <a:ext uri="{63B3BB69-23CF-44E3-9099-C40C66FF867C}">
                  <a14:compatExt spid="_x0000_s56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1971675</xdr:colOff>
          <xdr:row>34</xdr:row>
          <xdr:rowOff>19050</xdr:rowOff>
        </xdr:from>
        <xdr:to>
          <xdr:col>3</xdr:col>
          <xdr:colOff>0</xdr:colOff>
          <xdr:row>35</xdr:row>
          <xdr:rowOff>0</xdr:rowOff>
        </xdr:to>
        <xdr:sp macro="" textlink="">
          <xdr:nvSpPr>
            <xdr:cNvPr id="56323" name="Object 3" hidden="1">
              <a:extLst>
                <a:ext uri="{63B3BB69-23CF-44E3-9099-C40C66FF867C}">
                  <a14:compatExt spid="_x0000_s56323"/>
                </a:ext>
              </a:extLst>
            </xdr:cNvPr>
            <xdr:cNvSpPr/>
          </xdr:nvSpPr>
          <xdr:spPr>
            <a:xfrm>
              <a:off x="0" y="0"/>
              <a:ext cx="0" cy="0"/>
            </a:xfrm>
            <a:prstGeom prst="rect">
              <a:avLst/>
            </a:prstGeom>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15</xdr:row>
          <xdr:rowOff>28575</xdr:rowOff>
        </xdr:from>
        <xdr:to>
          <xdr:col>2</xdr:col>
          <xdr:colOff>609600</xdr:colOff>
          <xdr:row>18</xdr:row>
          <xdr:rowOff>0</xdr:rowOff>
        </xdr:to>
        <xdr:sp macro="" textlink="">
          <xdr:nvSpPr>
            <xdr:cNvPr id="93185" name="Object 1" hidden="1">
              <a:extLst>
                <a:ext uri="{63B3BB69-23CF-44E3-9099-C40C66FF867C}">
                  <a14:compatExt spid="_x0000_s93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1285875</xdr:colOff>
          <xdr:row>22</xdr:row>
          <xdr:rowOff>228600</xdr:rowOff>
        </xdr:from>
        <xdr:to>
          <xdr:col>2</xdr:col>
          <xdr:colOff>1285875</xdr:colOff>
          <xdr:row>25</xdr:row>
          <xdr:rowOff>152400</xdr:rowOff>
        </xdr:to>
        <xdr:sp macro="" textlink="">
          <xdr:nvSpPr>
            <xdr:cNvPr id="93186" name="Object 2" hidden="1">
              <a:extLst>
                <a:ext uri="{63B3BB69-23CF-44E3-9099-C40C66FF867C}">
                  <a14:compatExt spid="_x0000_s93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1971675</xdr:colOff>
          <xdr:row>30</xdr:row>
          <xdr:rowOff>19050</xdr:rowOff>
        </xdr:from>
        <xdr:to>
          <xdr:col>2</xdr:col>
          <xdr:colOff>1971675</xdr:colOff>
          <xdr:row>31</xdr:row>
          <xdr:rowOff>0</xdr:rowOff>
        </xdr:to>
        <xdr:sp macro="" textlink="">
          <xdr:nvSpPr>
            <xdr:cNvPr id="93187" name="Object 3" hidden="1">
              <a:extLst>
                <a:ext uri="{63B3BB69-23CF-44E3-9099-C40C66FF867C}">
                  <a14:compatExt spid="_x0000_s93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xdr:row>
          <xdr:rowOff>28575</xdr:rowOff>
        </xdr:from>
        <xdr:to>
          <xdr:col>2</xdr:col>
          <xdr:colOff>2809875</xdr:colOff>
          <xdr:row>17</xdr:row>
          <xdr:rowOff>171450</xdr:rowOff>
        </xdr:to>
        <xdr:sp macro="" textlink="">
          <xdr:nvSpPr>
            <xdr:cNvPr id="93188" name="Object 4" hidden="1">
              <a:extLst>
                <a:ext uri="{63B3BB69-23CF-44E3-9099-C40C66FF867C}">
                  <a14:compatExt spid="_x0000_s93188"/>
                </a:ext>
              </a:extLst>
            </xdr:cNvPr>
            <xdr:cNvSpPr/>
          </xdr:nvSpPr>
          <xdr:spPr>
            <a:xfrm>
              <a:off x="0" y="0"/>
              <a:ext cx="0" cy="0"/>
            </a:xfrm>
            <a:prstGeom prst="rect">
              <a:avLst/>
            </a:prstGeom>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18</xdr:row>
          <xdr:rowOff>38100</xdr:rowOff>
        </xdr:from>
        <xdr:to>
          <xdr:col>2</xdr:col>
          <xdr:colOff>2390775</xdr:colOff>
          <xdr:row>20</xdr:row>
          <xdr:rowOff>123825</xdr:rowOff>
        </xdr:to>
        <xdr:sp macro="" textlink="">
          <xdr:nvSpPr>
            <xdr:cNvPr id="24577" name="Object 1" hidden="1">
              <a:extLst>
                <a:ext uri="{63B3BB69-23CF-44E3-9099-C40C66FF867C}">
                  <a14:compatExt spid="_x0000_s24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1285875</xdr:colOff>
          <xdr:row>27</xdr:row>
          <xdr:rowOff>0</xdr:rowOff>
        </xdr:from>
        <xdr:to>
          <xdr:col>2</xdr:col>
          <xdr:colOff>2486025</xdr:colOff>
          <xdr:row>31</xdr:row>
          <xdr:rowOff>19050</xdr:rowOff>
        </xdr:to>
        <xdr:sp macro="" textlink="">
          <xdr:nvSpPr>
            <xdr:cNvPr id="24578" name="Object 2" hidden="1">
              <a:extLst>
                <a:ext uri="{63B3BB69-23CF-44E3-9099-C40C66FF867C}">
                  <a14:compatExt spid="_x0000_s24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1971675</xdr:colOff>
          <xdr:row>35</xdr:row>
          <xdr:rowOff>19050</xdr:rowOff>
        </xdr:from>
        <xdr:to>
          <xdr:col>3</xdr:col>
          <xdr:colOff>0</xdr:colOff>
          <xdr:row>36</xdr:row>
          <xdr:rowOff>0</xdr:rowOff>
        </xdr:to>
        <xdr:sp macro="" textlink="">
          <xdr:nvSpPr>
            <xdr:cNvPr id="24579" name="Object 3" hidden="1">
              <a:extLst>
                <a:ext uri="{63B3BB69-23CF-44E3-9099-C40C66FF867C}">
                  <a14:compatExt spid="_x0000_s24579"/>
                </a:ext>
              </a:extLst>
            </xdr:cNvPr>
            <xdr:cNvSpPr/>
          </xdr:nvSpPr>
          <xdr:spPr>
            <a:xfrm>
              <a:off x="0" y="0"/>
              <a:ext cx="0" cy="0"/>
            </a:xfrm>
            <a:prstGeom prst="rect">
              <a:avLst/>
            </a:prstGeom>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76200</xdr:colOff>
          <xdr:row>4</xdr:row>
          <xdr:rowOff>9525</xdr:rowOff>
        </xdr:from>
        <xdr:to>
          <xdr:col>3</xdr:col>
          <xdr:colOff>1104900</xdr:colOff>
          <xdr:row>5</xdr:row>
          <xdr:rowOff>9525</xdr:rowOff>
        </xdr:to>
        <xdr:sp macro="" textlink="">
          <xdr:nvSpPr>
            <xdr:cNvPr id="48129" name="Dr_LCT" hidden="1">
              <a:extLst>
                <a:ext uri="{63B3BB69-23CF-44E3-9099-C40C66FF867C}">
                  <a14:compatExt spid="_x0000_s48129"/>
                </a:ext>
              </a:extLst>
            </xdr:cNvPr>
            <xdr:cNvSpPr/>
          </xdr:nvSpPr>
          <xdr:spPr>
            <a:xfrm>
              <a:off x="0" y="0"/>
              <a:ext cx="0" cy="0"/>
            </a:xfrm>
            <a:prstGeom prst="rect">
              <a:avLst/>
            </a:prstGeom>
          </xdr:spPr>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nhuon_000\Desktop\Demo_PL03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User\Desktop\Demo_ThamtraGV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20toan%20BN/DTBN.xl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4-04-2019_10.00.03"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amtra_Dutoan"/>
      <sheetName val="Thamtra_Phantichvattu"/>
      <sheetName val="Thamtra_GTVT"/>
      <sheetName val="Thamtra_VL"/>
      <sheetName val="Thamtra_NC"/>
      <sheetName val="Thamtra_MTC"/>
      <sheetName val="Dutoan_NhomNC"/>
      <sheetName val="Du toan"/>
      <sheetName val="Phan tich vat tu"/>
      <sheetName val="Gia tri vat tu"/>
      <sheetName val="GiaVua"/>
      <sheetName val="THKP"/>
      <sheetName val="THKP_Doc"/>
      <sheetName val="Tong hop kinh phi"/>
      <sheetName val="DGCT_Thugon"/>
      <sheetName val="Don gia chi tiet"/>
      <sheetName val="Du thau"/>
      <sheetName val="DT Goi thau XD"/>
      <sheetName val="CP HMC"/>
      <sheetName val="THKP_KS"/>
      <sheetName val="Tong hop kinh phi_KS"/>
      <sheetName val="THKP_DVCI"/>
      <sheetName val="Tong hop kinh phi  _DVCI"/>
      <sheetName val="DP2C"/>
      <sheetName val="Tong hop DT XDCT"/>
      <sheetName val="DP2B"/>
      <sheetName val="TH_CPXD"/>
      <sheetName val="TH_CPTB"/>
      <sheetName val="DP2C_TB"/>
      <sheetName val="DT Goi thau TB"/>
      <sheetName val="SBTMDT"/>
      <sheetName val="DP2A"/>
      <sheetName val="TMDT"/>
      <sheetName val="DakLak_DVCI"/>
      <sheetName val="DakLak_TongDT"/>
      <sheetName val="Bia du toan"/>
      <sheetName val="PTVT_VCLC"/>
      <sheetName val="THVT_VCLC"/>
      <sheetName val="PTVT_BX"/>
      <sheetName val="THVT_BX"/>
      <sheetName val="PTVT_VC"/>
      <sheetName val="THVT_VC"/>
      <sheetName val="Chi phi van chuyen"/>
      <sheetName val="CuocVC"/>
      <sheetName val="CP Khac cuoc VC"/>
      <sheetName val="CPVC _Sieu truong"/>
      <sheetName val="Cuoc Bo sung"/>
      <sheetName val="Chi phi trung chuyen"/>
      <sheetName val="CPVC_DenChanCT"/>
      <sheetName val="CPVC_588"/>
      <sheetName val="CuocDM"/>
      <sheetName val="CPTC_588"/>
      <sheetName val="CTCM_VC"/>
      <sheetName val="BuGCM_VC"/>
      <sheetName val="BuNLTL_VC"/>
      <sheetName val="NC_TC"/>
      <sheetName val="PT_BVC_CV"/>
      <sheetName val="LuongCNXD_Tong"/>
      <sheetName val="LuongCN_XD"/>
      <sheetName val="LuongCN_XD1"/>
      <sheetName val="LuongCN_XD2"/>
      <sheetName val="Phan tich ca may"/>
      <sheetName val="LuongCNLM_Tong"/>
      <sheetName val="LuongCN_LaiMay1"/>
      <sheetName val="LuongCN_LaiMay2"/>
      <sheetName val="LuongCN_LaiMay"/>
      <sheetName val="Chiet tinh don gia may"/>
      <sheetName val="Bu gia may"/>
      <sheetName val="Bu NL_TL"/>
      <sheetName val="Dau vao ca may"/>
      <sheetName val="Phan tich bu ca may"/>
      <sheetName val="LuongCN"/>
      <sheetName val="HMC_Goithau"/>
      <sheetName val="HD_Trongoi"/>
      <sheetName val="CongNhat"/>
      <sheetName val="Tamtinh"/>
      <sheetName val="Duthau_HM"/>
      <sheetName val="HD_DGCodinh"/>
      <sheetName val="HD_DGDieuchinh"/>
      <sheetName val="DGCT_Goithau"/>
      <sheetName val="NT_GD"/>
      <sheetName val="QLNT"/>
      <sheetName val="PL03a_A"/>
      <sheetName val="QLTT"/>
      <sheetName val="QLTU"/>
      <sheetName val="PL03a"/>
      <sheetName val="Config"/>
      <sheetName val="Sett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4">
          <cell r="G14">
            <v>494949.85501939483</v>
          </cell>
        </row>
      </sheetData>
      <sheetData sheetId="19"/>
      <sheetData sheetId="20"/>
      <sheetData sheetId="21"/>
      <sheetData sheetId="22"/>
      <sheetData sheetId="23"/>
      <sheetData sheetId="24">
        <row r="8">
          <cell r="G8">
            <v>12855840.390114151</v>
          </cell>
        </row>
        <row r="9">
          <cell r="G9">
            <v>0</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54">
          <cell r="C54">
            <v>1</v>
          </cell>
        </row>
      </sheetData>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82">
          <cell r="C82">
            <v>1</v>
          </cell>
        </row>
        <row r="83">
          <cell r="B83" t="str">
            <v>Công trình dân dụng</v>
          </cell>
        </row>
        <row r="84">
          <cell r="B84" t="str">
            <v>Công trình công nghiệp</v>
          </cell>
        </row>
        <row r="85">
          <cell r="B85" t="str">
            <v>Công trình giao thông</v>
          </cell>
        </row>
        <row r="86">
          <cell r="B86" t="str">
            <v>Công trình thuỷ lợi/Nông nghiệp, phát triển nông thôn</v>
          </cell>
        </row>
        <row r="87">
          <cell r="B87" t="str">
            <v>Công trình hạ tầng kỹ thuật</v>
          </cell>
        </row>
        <row r="88">
          <cell r="C88">
            <v>4</v>
          </cell>
        </row>
        <row r="89">
          <cell r="B89" t="str">
            <v>Cấp đặc biệt</v>
          </cell>
        </row>
        <row r="90">
          <cell r="B90" t="str">
            <v>Cấp 1</v>
          </cell>
        </row>
        <row r="91">
          <cell r="B91" t="str">
            <v>Cấp 2</v>
          </cell>
        </row>
        <row r="92">
          <cell r="B92" t="str">
            <v>Cấp 3</v>
          </cell>
        </row>
        <row r="93">
          <cell r="B93" t="str">
            <v>Cấp 4</v>
          </cell>
        </row>
        <row r="94">
          <cell r="C94">
            <v>2</v>
          </cell>
        </row>
        <row r="95">
          <cell r="B95" t="str">
            <v>Thiết kế 2 bước</v>
          </cell>
        </row>
        <row r="96">
          <cell r="B96" t="str">
            <v>Thiết kế 3 bước</v>
          </cell>
        </row>
        <row r="97">
          <cell r="B97" t="str">
            <v xml:space="preserve">Thiết kế các công trình thuộc loại khác </v>
          </cell>
        </row>
        <row r="99">
          <cell r="C99">
            <v>1</v>
          </cell>
        </row>
        <row r="100">
          <cell r="B100" t="str">
            <v>QĐ 957/QĐ-BXD</v>
          </cell>
        </row>
        <row r="101">
          <cell r="B101" t="str">
            <v>CV 1751/BXD-V</v>
          </cell>
        </row>
        <row r="102">
          <cell r="B102" t="str">
            <v>QĐ 10/2005/QĐ-BXD và 11/2005/QĐ-BXD</v>
          </cell>
        </row>
        <row r="104">
          <cell r="C104">
            <v>1</v>
          </cell>
        </row>
        <row r="105">
          <cell r="B105" t="str">
            <v>Không thuộc công trình khác</v>
          </cell>
        </row>
        <row r="106">
          <cell r="B106" t="str">
            <v>Công trình Cáp ngầm</v>
          </cell>
        </row>
        <row r="107">
          <cell r="B107" t="str">
            <v>Công trình khai khoán, hoá chất, SX xi măng, CT Công nghiệp khác</v>
          </cell>
        </row>
        <row r="108">
          <cell r="B108" t="str">
            <v>Công trình bưu chính viễn thông</v>
          </cell>
        </row>
        <row r="109">
          <cell r="B109" t="str">
            <v>Công trình Máy thông tin</v>
          </cell>
        </row>
        <row r="110">
          <cell r="C110">
            <v>3</v>
          </cell>
          <cell r="E110" t="str">
            <v>TT33/2007/TT-BTC</v>
          </cell>
        </row>
        <row r="111">
          <cell r="E111" t="str">
            <v>TT19/2011/TT-BTC</v>
          </cell>
        </row>
        <row r="112">
          <cell r="E112" t="str">
            <v>TT09/2016/TT-BTC</v>
          </cell>
        </row>
        <row r="114">
          <cell r="B114" t="str">
            <v>Lương gốc</v>
          </cell>
        </row>
        <row r="115">
          <cell r="B115" t="str">
            <v>Lương thực tế</v>
          </cell>
        </row>
        <row r="158">
          <cell r="E158">
            <v>1</v>
          </cell>
        </row>
        <row r="475">
          <cell r="N475" t="str">
            <v>Công trình dân dụng</v>
          </cell>
        </row>
        <row r="476">
          <cell r="N476" t="str">
            <v>Công trình dân dụng (tu bổ, phục hồi di tích lịch sử, văn hoá)</v>
          </cell>
        </row>
        <row r="477">
          <cell r="N477" t="str">
            <v>Công trình công nghiệp</v>
          </cell>
        </row>
        <row r="478">
          <cell r="N478" t="str">
            <v>Công trình công nghiệp (đường hầm thủy điện, hầm lò)</v>
          </cell>
        </row>
        <row r="479">
          <cell r="N479" t="str">
            <v>Công trình giao thông</v>
          </cell>
        </row>
        <row r="480">
          <cell r="N480" t="str">
            <v>Công trình giao thông (hầm giao thông)</v>
          </cell>
        </row>
        <row r="481">
          <cell r="N481" t="str">
            <v>Công trình nông nghiệp và phát triển nông thôn</v>
          </cell>
        </row>
        <row r="482">
          <cell r="N482" t="str">
            <v>Công trình hạ tầng kỹ thuật</v>
          </cell>
        </row>
      </sheetData>
      <sheetData sheetId="8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amtra_Dutoan"/>
      <sheetName val="Thamtra_Phantichvattu"/>
      <sheetName val="Du toan"/>
      <sheetName val="Thamtra_VL"/>
      <sheetName val="Thamtra_NC"/>
      <sheetName val="Thamtra_MTC"/>
      <sheetName val="DSVTTM"/>
      <sheetName val="TVL1"/>
      <sheetName val="TVL2"/>
      <sheetName val="TNC1"/>
      <sheetName val="TNC2"/>
      <sheetName val="TMTC1"/>
      <sheetName val="TMTC2"/>
      <sheetName val="Phan tich vat tu"/>
      <sheetName val="Gia tri vat tu"/>
      <sheetName val="DGCT_Thugon"/>
      <sheetName val="Don gia chi tiet"/>
      <sheetName val="Du thau"/>
      <sheetName val="Phan tich bu ca may"/>
      <sheetName val="THKP"/>
      <sheetName val="Tong hop kinh phi"/>
      <sheetName val="Chi phi van chuyen"/>
      <sheetName val="CuocVC"/>
      <sheetName val="LuongCN_XD"/>
      <sheetName val="Phan tich ca may"/>
      <sheetName val="LuongCN_LaiMay"/>
      <sheetName val="Chiet tinh don gia may"/>
      <sheetName val="Bu gia may"/>
      <sheetName val="Bu NL_TL"/>
      <sheetName val="LuongCN"/>
      <sheetName val="Dau vao ca may"/>
      <sheetName val="Tong du toan"/>
      <sheetName val="DP2"/>
      <sheetName val="TH_CPXD"/>
      <sheetName val="TH_CPTB"/>
      <sheetName val="Bia du toan"/>
      <sheetName val="Config"/>
      <sheetName val="Sett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ow r="8">
          <cell r="G8">
            <v>0</v>
          </cell>
        </row>
        <row r="9">
          <cell r="G9">
            <v>0</v>
          </cell>
        </row>
      </sheetData>
      <sheetData sheetId="32"/>
      <sheetData sheetId="33"/>
      <sheetData sheetId="34"/>
      <sheetData sheetId="35"/>
      <sheetData sheetId="36">
        <row r="82">
          <cell r="C82">
            <v>1</v>
          </cell>
        </row>
        <row r="83">
          <cell r="B83" t="str">
            <v>Công trình dân dụng</v>
          </cell>
        </row>
        <row r="84">
          <cell r="B84" t="str">
            <v>Công trình công nghiệp</v>
          </cell>
        </row>
        <row r="85">
          <cell r="B85" t="str">
            <v>Công trình giao thông</v>
          </cell>
        </row>
        <row r="86">
          <cell r="B86" t="str">
            <v>Công trình thuỷ lợi/Nông nghiệp, phát triển nông thôn</v>
          </cell>
        </row>
        <row r="87">
          <cell r="B87" t="str">
            <v>Công trình hạ tầng kỹ thuật</v>
          </cell>
        </row>
        <row r="88">
          <cell r="C88">
            <v>2</v>
          </cell>
        </row>
        <row r="89">
          <cell r="B89" t="str">
            <v>Cấp đặc biệt</v>
          </cell>
        </row>
        <row r="90">
          <cell r="B90" t="str">
            <v>Cấp 1</v>
          </cell>
        </row>
        <row r="91">
          <cell r="B91" t="str">
            <v>Cấp 2</v>
          </cell>
        </row>
        <row r="92">
          <cell r="B92" t="str">
            <v>Cấp 3</v>
          </cell>
        </row>
        <row r="93">
          <cell r="B93" t="str">
            <v>Cấp 4</v>
          </cell>
        </row>
        <row r="94">
          <cell r="C94">
            <v>1</v>
          </cell>
        </row>
        <row r="95">
          <cell r="B95" t="str">
            <v>Thiết kế 2 bước</v>
          </cell>
        </row>
        <row r="96">
          <cell r="B96" t="str">
            <v>Thiết kế 3 bước</v>
          </cell>
        </row>
        <row r="97">
          <cell r="B97" t="str">
            <v xml:space="preserve">Thiết kế các công trình thuộc loại khác </v>
          </cell>
        </row>
        <row r="99">
          <cell r="C99">
            <v>1</v>
          </cell>
        </row>
        <row r="100">
          <cell r="B100" t="str">
            <v>QĐ 957/QĐ-BXD ngày 29/9/2009</v>
          </cell>
        </row>
        <row r="101">
          <cell r="B101" t="str">
            <v>CV 1751/BXD-VP ngày 14/8/2007</v>
          </cell>
        </row>
        <row r="102">
          <cell r="B102" t="str">
            <v>QĐ 10/2005/QĐ-BXD và 11/2005/QĐ-BXD</v>
          </cell>
        </row>
        <row r="104">
          <cell r="C104">
            <v>1</v>
          </cell>
        </row>
        <row r="105">
          <cell r="B105" t="str">
            <v>Không thuộc công trình khác</v>
          </cell>
        </row>
        <row r="106">
          <cell r="B106" t="str">
            <v>Công trình Cáp ngầm</v>
          </cell>
        </row>
        <row r="107">
          <cell r="B107" t="str">
            <v>Công trình khai khoán, hoá chất, SX xi măng, CT Công nghiệp khác</v>
          </cell>
        </row>
        <row r="108">
          <cell r="B108" t="str">
            <v>Công trình bưu chính viễn thông</v>
          </cell>
        </row>
        <row r="109">
          <cell r="B109" t="str">
            <v>Công trình Máy thông tin</v>
          </cell>
        </row>
        <row r="110">
          <cell r="C110">
            <v>2</v>
          </cell>
        </row>
        <row r="111">
          <cell r="B111" t="str">
            <v>TT33/2007/TT-BTC</v>
          </cell>
        </row>
        <row r="112">
          <cell r="B112" t="str">
            <v>TT19/2011/TT-BTC</v>
          </cell>
        </row>
        <row r="113">
          <cell r="C113">
            <v>2</v>
          </cell>
        </row>
        <row r="114">
          <cell r="B114" t="str">
            <v>Lương gốc</v>
          </cell>
        </row>
        <row r="115">
          <cell r="B115" t="str">
            <v>Lương thực tế</v>
          </cell>
        </row>
      </sheetData>
      <sheetData sheetId="3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L_ChenDong"/>
      <sheetName val="Toolbar_DT"/>
      <sheetName val="DL_ConverData"/>
      <sheetName val="DL_OPTQT"/>
      <sheetName val="DL_OPDuthau"/>
      <sheetName val="Menu_DT"/>
      <sheetName val="DL_UpTTDT"/>
      <sheetName val="DL_STT"/>
      <sheetName val="DL_UpTTGVT"/>
      <sheetName val="Dl_UpTTPT"/>
      <sheetName val="Config_Ribbon"/>
      <sheetName val="DL_NTGD"/>
      <sheetName val="DST"/>
      <sheetName val="DL_NewHM2"/>
      <sheetName val="DL_NewHM"/>
      <sheetName val="DL_DVMay"/>
      <sheetName val="DL_OptionDT"/>
      <sheetName val="DL_Kb"/>
      <sheetName val="DL_TinhLaiGTVT"/>
      <sheetName val="DL_GTVT"/>
      <sheetName val="DL_DGCT"/>
      <sheetName val="DL_UpdateDT"/>
      <sheetName val="DL_UpCM"/>
      <sheetName val="DL_THKP"/>
      <sheetName val="DL_QLPath"/>
      <sheetName val="DL_Pass"/>
      <sheetName val="DL_LuuVC"/>
      <sheetName val="DL_ChuyenFont"/>
      <sheetName val="DL_NhomNC"/>
      <sheetName val="DL_PTTT"/>
      <sheetName val="DL_Ketxuatgia"/>
      <sheetName val="Popup"/>
      <sheetName val="DL_NBHM"/>
      <sheetName val="P_Row"/>
      <sheetName val="DL_HACM"/>
      <sheetName val="LB"/>
      <sheetName val="DL_Menu"/>
      <sheetName val="DL_ChuyenDT"/>
      <sheetName val="DL_hs"/>
      <sheetName val="DL_HABB"/>
      <sheetName val="DL_LinkBB"/>
      <sheetName val="DL_CheckBB"/>
      <sheetName val="DL_KXM"/>
      <sheetName val="DL_Duthau"/>
      <sheetName val="DL_ChuyenCM"/>
      <sheetName val="DL_Unhide"/>
      <sheetName val="DL_HADGCT"/>
      <sheetName val="DL_HADT"/>
      <sheetName val="DL_HAPTVT"/>
      <sheetName val="DL_ThemCPDGCT"/>
      <sheetName val="DL_SetTT"/>
      <sheetName val="MR"/>
      <sheetName val="DL_Thep"/>
      <sheetName val="DL_BuCM"/>
      <sheetName val="DL_About"/>
      <sheetName val="DL_DefaultSH"/>
      <sheetName val="DL_QLSh"/>
      <sheetName val="DL_SeTTra"/>
      <sheetName val="Dl_SetCSDL"/>
      <sheetName val="DSBuTL"/>
      <sheetName val="DL_XulyThamtra"/>
      <sheetName val="DL_SetCD_VN"/>
      <sheetName val="DL_SetThamtra"/>
      <sheetName val="DL_SetTL"/>
      <sheetName val="DL_NewTemplate"/>
      <sheetName val="DL_DVNC"/>
      <sheetName val="DL_CLNC"/>
      <sheetName val="DL_TinhGiaMTC"/>
      <sheetName val="DL_VCLC"/>
      <sheetName val="DL_DNThep"/>
      <sheetName val="DL_ChuyenNC"/>
      <sheetName val="DL_Up2015"/>
      <sheetName val="DL_LayGiaVT"/>
      <sheetName val="DL_SetBuCM"/>
      <sheetName val="DL_Tinhluong"/>
      <sheetName val="DL_PTVT"/>
      <sheetName val="DL_NC26"/>
      <sheetName val="DL_CachtinhNC"/>
      <sheetName val="DL_Dangkymua"/>
      <sheetName val="DL_Gopy"/>
      <sheetName val="DL_GopHM"/>
      <sheetName val="DL_XoaDC"/>
      <sheetName val="DL_KetxuatGiaVC"/>
      <sheetName val="DK_KXGVC"/>
      <sheetName val="DL_SCVC"/>
      <sheetName val="DL_SaochepVC"/>
      <sheetName val="DL_EditDGCT"/>
      <sheetName val="DL_Luugia"/>
      <sheetName val="ShowDL_CapPV"/>
      <sheetName val="DL_DVNC2"/>
      <sheetName val="DL_SetVC"/>
      <sheetName val="DoiDVT"/>
      <sheetName val="Config"/>
      <sheetName val="Sheet1"/>
      <sheetName val="stlx_06A9BBEDF880"/>
      <sheetName val="DTBN"/>
    </sheetNames>
    <definedNames>
      <definedName name="docsoUNI"/>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13-thu-vien.xls"/>
    </sheetNames>
    <definedNames>
      <definedName name="Update_TongMDT_TDT" sheetId="0"/>
    </defined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8" Type="http://schemas.openxmlformats.org/officeDocument/2006/relationships/oleObject" Target="../embeddings/oleObject3.bin"/><Relationship Id="rId3" Type="http://schemas.openxmlformats.org/officeDocument/2006/relationships/vmlDrawing" Target="../drawings/vmlDrawing5.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3.bin"/><Relationship Id="rId6" Type="http://schemas.openxmlformats.org/officeDocument/2006/relationships/oleObject" Target="../embeddings/oleObject2.bin"/><Relationship Id="rId5" Type="http://schemas.openxmlformats.org/officeDocument/2006/relationships/image" Target="../media/image1.emf"/><Relationship Id="rId10" Type="http://schemas.openxmlformats.org/officeDocument/2006/relationships/comments" Target="../comments5.xml"/><Relationship Id="rId4" Type="http://schemas.openxmlformats.org/officeDocument/2006/relationships/oleObject" Target="../embeddings/oleObject1.bin"/><Relationship Id="rId9" Type="http://schemas.openxmlformats.org/officeDocument/2006/relationships/image" Target="../media/image3.emf"/></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6.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25.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omments" Target="../comments6.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18" Type="http://schemas.openxmlformats.org/officeDocument/2006/relationships/ctrlProp" Target="../ctrlProps/ctrlProp34.xml"/><Relationship Id="rId3" Type="http://schemas.openxmlformats.org/officeDocument/2006/relationships/vmlDrawing" Target="../drawings/vmlDrawing7.vml"/><Relationship Id="rId21" Type="http://schemas.openxmlformats.org/officeDocument/2006/relationships/ctrlProp" Target="../ctrlProps/ctrlProp37.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 Type="http://schemas.openxmlformats.org/officeDocument/2006/relationships/drawing" Target="../drawings/drawing3.xml"/><Relationship Id="rId16" Type="http://schemas.openxmlformats.org/officeDocument/2006/relationships/ctrlProp" Target="../ctrlProps/ctrlProp32.xml"/><Relationship Id="rId20" Type="http://schemas.openxmlformats.org/officeDocument/2006/relationships/ctrlProp" Target="../ctrlProps/ctrlProp36.xml"/><Relationship Id="rId1" Type="http://schemas.openxmlformats.org/officeDocument/2006/relationships/printerSettings" Target="../printerSettings/printerSettings26.bin"/><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5" Type="http://schemas.openxmlformats.org/officeDocument/2006/relationships/ctrlProp" Target="../ctrlProps/ctrlProp31.xml"/><Relationship Id="rId23" Type="http://schemas.openxmlformats.org/officeDocument/2006/relationships/comments" Target="../comments7.xml"/><Relationship Id="rId10" Type="http://schemas.openxmlformats.org/officeDocument/2006/relationships/ctrlProp" Target="../ctrlProps/ctrlProp26.xml"/><Relationship Id="rId19" Type="http://schemas.openxmlformats.org/officeDocument/2006/relationships/ctrlProp" Target="../ctrlProps/ctrlProp35.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 Id="rId22" Type="http://schemas.openxmlformats.org/officeDocument/2006/relationships/ctrlProp" Target="../ctrlProps/ctrlProp38.xml"/></Relationships>
</file>

<file path=xl/worksheets/_rels/sheet30.xml.rels><?xml version="1.0" encoding="UTF-8" standalone="yes"?>
<Relationships xmlns="http://schemas.openxmlformats.org/package/2006/relationships"><Relationship Id="rId8" Type="http://schemas.openxmlformats.org/officeDocument/2006/relationships/oleObject" Target="../embeddings/oleObject6.bin"/><Relationship Id="rId3" Type="http://schemas.openxmlformats.org/officeDocument/2006/relationships/vmlDrawing" Target="../drawings/vmlDrawing8.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27.bin"/><Relationship Id="rId6" Type="http://schemas.openxmlformats.org/officeDocument/2006/relationships/oleObject" Target="../embeddings/oleObject5.bin"/><Relationship Id="rId5" Type="http://schemas.openxmlformats.org/officeDocument/2006/relationships/image" Target="../media/image4.emf"/><Relationship Id="rId10" Type="http://schemas.openxmlformats.org/officeDocument/2006/relationships/comments" Target="../comments8.xml"/><Relationship Id="rId4" Type="http://schemas.openxmlformats.org/officeDocument/2006/relationships/oleObject" Target="../embeddings/oleObject4.bin"/><Relationship Id="rId9" Type="http://schemas.openxmlformats.org/officeDocument/2006/relationships/image" Target="../media/image6.emf"/></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29.bin"/></Relationships>
</file>

<file path=xl/worksheets/_rels/sheet33.xml.rels><?xml version="1.0" encoding="UTF-8" standalone="yes"?>
<Relationships xmlns="http://schemas.openxmlformats.org/package/2006/relationships"><Relationship Id="rId8" Type="http://schemas.openxmlformats.org/officeDocument/2006/relationships/oleObject" Target="../embeddings/oleObject9.bin"/><Relationship Id="rId3" Type="http://schemas.openxmlformats.org/officeDocument/2006/relationships/vmlDrawing" Target="../drawings/vmlDrawing10.vml"/><Relationship Id="rId7" Type="http://schemas.openxmlformats.org/officeDocument/2006/relationships/image" Target="../media/image2.emf"/><Relationship Id="rId2" Type="http://schemas.openxmlformats.org/officeDocument/2006/relationships/drawing" Target="../drawings/drawing5.xml"/><Relationship Id="rId1" Type="http://schemas.openxmlformats.org/officeDocument/2006/relationships/printerSettings" Target="../printerSettings/printerSettings30.bin"/><Relationship Id="rId6" Type="http://schemas.openxmlformats.org/officeDocument/2006/relationships/oleObject" Target="../embeddings/oleObject8.bin"/><Relationship Id="rId11" Type="http://schemas.openxmlformats.org/officeDocument/2006/relationships/comments" Target="../comments10.xml"/><Relationship Id="rId5" Type="http://schemas.openxmlformats.org/officeDocument/2006/relationships/image" Target="../media/image1.emf"/><Relationship Id="rId10" Type="http://schemas.openxmlformats.org/officeDocument/2006/relationships/oleObject" Target="../embeddings/oleObject10.bin"/><Relationship Id="rId4" Type="http://schemas.openxmlformats.org/officeDocument/2006/relationships/oleObject" Target="../embeddings/oleObject7.bin"/><Relationship Id="rId9" Type="http://schemas.openxmlformats.org/officeDocument/2006/relationships/image" Target="../media/image3.emf"/></Relationships>
</file>

<file path=xl/worksheets/_rels/sheet34.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3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6.xml.rels><?xml version="1.0" encoding="UTF-8" standalone="yes"?>
<Relationships xmlns="http://schemas.openxmlformats.org/package/2006/relationships"><Relationship Id="rId8" Type="http://schemas.openxmlformats.org/officeDocument/2006/relationships/oleObject" Target="../embeddings/oleObject13.bin"/><Relationship Id="rId3" Type="http://schemas.openxmlformats.org/officeDocument/2006/relationships/vmlDrawing" Target="../drawings/vmlDrawing12.vml"/><Relationship Id="rId7" Type="http://schemas.openxmlformats.org/officeDocument/2006/relationships/image" Target="../media/image5.emf"/><Relationship Id="rId2" Type="http://schemas.openxmlformats.org/officeDocument/2006/relationships/drawing" Target="../drawings/drawing6.xml"/><Relationship Id="rId1" Type="http://schemas.openxmlformats.org/officeDocument/2006/relationships/printerSettings" Target="../printerSettings/printerSettings33.bin"/><Relationship Id="rId6" Type="http://schemas.openxmlformats.org/officeDocument/2006/relationships/oleObject" Target="../embeddings/oleObject12.bin"/><Relationship Id="rId5" Type="http://schemas.openxmlformats.org/officeDocument/2006/relationships/image" Target="../media/image7.emf"/><Relationship Id="rId10" Type="http://schemas.openxmlformats.org/officeDocument/2006/relationships/comments" Target="../comments12.xml"/><Relationship Id="rId4" Type="http://schemas.openxmlformats.org/officeDocument/2006/relationships/oleObject" Target="../embeddings/oleObject11.bin"/><Relationship Id="rId9" Type="http://schemas.openxmlformats.org/officeDocument/2006/relationships/image" Target="../media/image6.emf"/></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4.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71.bin"/></Relationships>
</file>

<file path=xl/worksheets/_rels/sheet75.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72.bin"/></Relationships>
</file>

<file path=xl/worksheets/_rels/sheet76.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73.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81.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77.bin"/></Relationships>
</file>

<file path=xl/worksheets/_rels/sheet84.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78.bin"/></Relationships>
</file>

<file path=xl/worksheets/_rels/sheet85.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7.xml"/><Relationship Id="rId1" Type="http://schemas.openxmlformats.org/officeDocument/2006/relationships/printerSettings" Target="../printerSettings/printerSettings81.bin"/><Relationship Id="rId4" Type="http://schemas.openxmlformats.org/officeDocument/2006/relationships/ctrlProp" Target="../ctrlProps/ctrlProp39.xml"/></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BCTT_DT"/>
  <dimension ref="A1:V7"/>
  <sheetViews>
    <sheetView showGridLines="0" workbookViewId="0">
      <selection activeCell="E10" sqref="E10"/>
    </sheetView>
  </sheetViews>
  <sheetFormatPr defaultRowHeight="15" outlineLevelCol="1" x14ac:dyDescent="0.2"/>
  <cols>
    <col min="1" max="1" width="4.28515625" style="737" customWidth="1"/>
    <col min="2" max="2" width="12.28515625" style="737" hidden="1" customWidth="1" outlineLevel="1"/>
    <col min="3" max="3" width="14" style="737" hidden="1" customWidth="1" outlineLevel="1"/>
    <col min="4" max="4" width="9.85546875" style="737" customWidth="1" collapsed="1"/>
    <col min="5" max="5" width="43.85546875" style="737" customWidth="1"/>
    <col min="6" max="6" width="9.85546875" style="738" customWidth="1"/>
    <col min="7" max="8" width="9.85546875" style="737" hidden="1" customWidth="1" outlineLevel="1"/>
    <col min="9" max="9" width="9.5703125" style="737" hidden="1" customWidth="1" outlineLevel="1"/>
    <col min="10" max="10" width="9.85546875" style="737" hidden="1" customWidth="1" outlineLevel="1"/>
    <col min="11" max="11" width="4.7109375" style="737" hidden="1" customWidth="1" outlineLevel="1"/>
    <col min="12" max="12" width="6.85546875" style="737" hidden="1" customWidth="1" outlineLevel="1"/>
    <col min="13" max="13" width="9.85546875" style="737" customWidth="1" collapsed="1"/>
    <col min="14" max="17" width="9.85546875" style="737" customWidth="1"/>
    <col min="18" max="22" width="9.140625" style="737"/>
    <col min="23" max="16384" width="9.140625" style="119"/>
  </cols>
  <sheetData>
    <row r="1" spans="1:22" s="103" customFormat="1" ht="20.100000000000001" customHeight="1" x14ac:dyDescent="0.3">
      <c r="A1" s="242" t="s">
        <v>3118</v>
      </c>
      <c r="B1" s="242"/>
      <c r="C1" s="242"/>
      <c r="D1" s="242"/>
      <c r="E1" s="242"/>
      <c r="F1" s="242"/>
      <c r="G1" s="242"/>
      <c r="H1" s="242"/>
      <c r="I1" s="242"/>
      <c r="J1" s="242"/>
      <c r="K1" s="242"/>
      <c r="L1" s="242"/>
      <c r="M1" s="242"/>
      <c r="N1" s="242"/>
      <c r="O1" s="242"/>
      <c r="P1" s="242"/>
      <c r="Q1" s="242"/>
      <c r="R1" s="243"/>
      <c r="S1" s="243"/>
      <c r="T1" s="243"/>
      <c r="U1" s="243"/>
      <c r="V1" s="243"/>
    </row>
    <row r="2" spans="1:22" s="103" customFormat="1" ht="21" customHeight="1" x14ac:dyDescent="0.25">
      <c r="A2" s="245" t="str">
        <f>"CÔNG TRÌNH : "&amp;'Bia du toan'!$G$12</f>
        <v>CÔNG TRÌNH : TRƯỜNG CAO ĐẲNG LÝ TỰ TRỌNG</v>
      </c>
      <c r="B2" s="245"/>
      <c r="C2" s="245"/>
      <c r="D2" s="245"/>
      <c r="E2" s="245"/>
      <c r="F2" s="245"/>
      <c r="G2" s="245"/>
      <c r="H2" s="245"/>
      <c r="I2" s="245"/>
      <c r="J2" s="245"/>
      <c r="K2" s="245"/>
      <c r="L2" s="245"/>
      <c r="M2" s="245"/>
      <c r="N2" s="245"/>
      <c r="O2" s="245"/>
      <c r="P2" s="245"/>
      <c r="Q2" s="245"/>
      <c r="R2" s="243"/>
      <c r="S2" s="243"/>
      <c r="T2" s="243"/>
      <c r="U2" s="243"/>
      <c r="V2" s="243"/>
    </row>
    <row r="3" spans="1:22" s="103" customFormat="1" ht="21" customHeight="1" x14ac:dyDescent="0.25">
      <c r="A3" s="245" t="str">
        <f>"HẠNG MỤC : "&amp; 'Bia du toan'!$G$13</f>
        <v>HẠNG MỤC : CẢI TẠO THƯ VIỆN GIAI ĐOẠN 2 - NĂM 2019</v>
      </c>
      <c r="B3" s="245"/>
      <c r="C3" s="245"/>
      <c r="D3" s="245"/>
      <c r="E3" s="245"/>
      <c r="F3" s="245"/>
      <c r="G3" s="245"/>
      <c r="H3" s="245"/>
      <c r="I3" s="245"/>
      <c r="J3" s="245"/>
      <c r="K3" s="245"/>
      <c r="L3" s="245"/>
      <c r="M3" s="245"/>
      <c r="N3" s="245"/>
      <c r="O3" s="245"/>
      <c r="P3" s="245"/>
      <c r="Q3" s="245"/>
      <c r="R3" s="243"/>
      <c r="S3" s="243"/>
      <c r="T3" s="243"/>
      <c r="U3" s="243"/>
      <c r="V3" s="243"/>
    </row>
    <row r="4" spans="1:22" s="103" customFormat="1" x14ac:dyDescent="0.25">
      <c r="A4" s="243"/>
      <c r="B4" s="243"/>
      <c r="C4" s="243"/>
      <c r="D4" s="243"/>
      <c r="E4" s="243"/>
      <c r="F4" s="243"/>
      <c r="G4" s="243"/>
      <c r="H4" s="244"/>
      <c r="I4" s="244"/>
      <c r="J4" s="244"/>
      <c r="K4" s="244"/>
      <c r="L4" s="243"/>
      <c r="M4" s="243"/>
      <c r="N4" s="243"/>
      <c r="O4" s="243"/>
      <c r="P4" s="243"/>
      <c r="Q4" s="243"/>
      <c r="R4" s="243"/>
      <c r="S4" s="243"/>
      <c r="T4" s="243"/>
      <c r="U4" s="243"/>
      <c r="V4" s="243"/>
    </row>
    <row r="5" spans="1:22" s="103" customFormat="1" ht="27.75" customHeight="1" x14ac:dyDescent="0.25">
      <c r="A5" s="1747" t="s">
        <v>15</v>
      </c>
      <c r="B5" s="1752" t="s">
        <v>232</v>
      </c>
      <c r="C5" s="1752" t="s">
        <v>233</v>
      </c>
      <c r="D5" s="1752" t="s">
        <v>234</v>
      </c>
      <c r="E5" s="1752" t="s">
        <v>235</v>
      </c>
      <c r="F5" s="1744" t="s">
        <v>706</v>
      </c>
      <c r="G5" s="1744"/>
      <c r="H5" s="1744"/>
      <c r="I5" s="1744"/>
      <c r="J5" s="1744"/>
      <c r="K5" s="1744"/>
      <c r="L5" s="1744"/>
      <c r="M5" s="1744"/>
      <c r="N5" s="1744"/>
      <c r="O5" s="1744"/>
      <c r="P5" s="1744"/>
      <c r="Q5" s="1744"/>
      <c r="R5" s="1744" t="s">
        <v>716</v>
      </c>
      <c r="S5" s="1744"/>
      <c r="T5" s="1744"/>
      <c r="U5" s="1744"/>
      <c r="V5" s="1744"/>
    </row>
    <row r="6" spans="1:22" s="103" customFormat="1" ht="19.5" customHeight="1" x14ac:dyDescent="0.25">
      <c r="A6" s="1748"/>
      <c r="B6" s="1752"/>
      <c r="C6" s="1752"/>
      <c r="D6" s="1752"/>
      <c r="E6" s="1752"/>
      <c r="F6" s="1747" t="s">
        <v>236</v>
      </c>
      <c r="G6" s="1745" t="s">
        <v>502</v>
      </c>
      <c r="H6" s="179" t="s">
        <v>240</v>
      </c>
      <c r="I6" s="179"/>
      <c r="J6" s="179"/>
      <c r="K6" s="1745" t="s">
        <v>241</v>
      </c>
      <c r="L6" s="1745" t="s">
        <v>242</v>
      </c>
      <c r="M6" s="1747" t="s">
        <v>237</v>
      </c>
      <c r="N6" s="1749" t="s">
        <v>238</v>
      </c>
      <c r="O6" s="1750"/>
      <c r="P6" s="1750"/>
      <c r="Q6" s="1751"/>
      <c r="R6" s="1747" t="s">
        <v>236</v>
      </c>
      <c r="S6" s="1747" t="s">
        <v>237</v>
      </c>
      <c r="T6" s="1749" t="s">
        <v>238</v>
      </c>
      <c r="U6" s="1750"/>
      <c r="V6" s="1751"/>
    </row>
    <row r="7" spans="1:22" s="103" customFormat="1" ht="21" x14ac:dyDescent="0.25">
      <c r="A7" s="1748"/>
      <c r="B7" s="323"/>
      <c r="C7" s="323"/>
      <c r="D7" s="1747"/>
      <c r="E7" s="1747"/>
      <c r="F7" s="1748"/>
      <c r="G7" s="1746"/>
      <c r="H7" s="328" t="s">
        <v>249</v>
      </c>
      <c r="I7" s="328" t="s">
        <v>250</v>
      </c>
      <c r="J7" s="328" t="s">
        <v>251</v>
      </c>
      <c r="K7" s="1746"/>
      <c r="L7" s="1746"/>
      <c r="M7" s="1748"/>
      <c r="N7" s="329" t="s">
        <v>245</v>
      </c>
      <c r="O7" s="329" t="s">
        <v>246</v>
      </c>
      <c r="P7" s="329" t="s">
        <v>247</v>
      </c>
      <c r="Q7" s="329" t="s">
        <v>248</v>
      </c>
      <c r="R7" s="1748"/>
      <c r="S7" s="1748"/>
      <c r="T7" s="329" t="s">
        <v>245</v>
      </c>
      <c r="U7" s="329" t="s">
        <v>247</v>
      </c>
      <c r="V7" s="329" t="s">
        <v>248</v>
      </c>
    </row>
  </sheetData>
  <mergeCells count="16">
    <mergeCell ref="A5:A7"/>
    <mergeCell ref="B5:B6"/>
    <mergeCell ref="C5:C6"/>
    <mergeCell ref="D5:D7"/>
    <mergeCell ref="E5:E7"/>
    <mergeCell ref="R5:V5"/>
    <mergeCell ref="K6:K7"/>
    <mergeCell ref="R6:R7"/>
    <mergeCell ref="S6:S7"/>
    <mergeCell ref="T6:V6"/>
    <mergeCell ref="F5:Q5"/>
    <mergeCell ref="F6:F7"/>
    <mergeCell ref="G6:G7"/>
    <mergeCell ref="L6:L7"/>
    <mergeCell ref="M6:M7"/>
    <mergeCell ref="N6:Q6"/>
  </mergeCells>
  <pageMargins left="0.55118110236220497" right="0.196850393700787" top="0.43307086614173201" bottom="0.59055118110236204" header="0.15748031496063" footer="0.23622047244094499"/>
  <pageSetup paperSize="9" scale="85" orientation="landscape" r:id="rId1"/>
  <headerFooter alignWithMargins="0">
    <oddHeader>&amp;L&amp;"Times New Roman,Bold Italic"&amp;9Dự toán Bắc Nam  - ÐT: 0966.966.455</oddHeader>
    <oddFooter>&amp;R&amp;9Trang &amp;P/&amp;N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BCTT_PTVT"/>
  <dimension ref="A1:J6"/>
  <sheetViews>
    <sheetView showGridLines="0" workbookViewId="0">
      <selection activeCell="D16" sqref="D16"/>
    </sheetView>
  </sheetViews>
  <sheetFormatPr defaultRowHeight="15" outlineLevelCol="1" x14ac:dyDescent="0.2"/>
  <cols>
    <col min="1" max="1" width="4.42578125" style="324" bestFit="1" customWidth="1"/>
    <col min="2" max="2" width="12.140625" style="324" customWidth="1"/>
    <col min="3" max="3" width="18.28515625" style="324" hidden="1" customWidth="1" outlineLevel="1"/>
    <col min="4" max="4" width="35.7109375" style="324" customWidth="1" collapsed="1"/>
    <col min="5" max="5" width="6.85546875" style="325" bestFit="1" customWidth="1"/>
    <col min="6" max="6" width="9.5703125" style="326" bestFit="1" customWidth="1"/>
    <col min="7" max="7" width="10.85546875" style="324" customWidth="1" outlineLevel="1"/>
    <col min="8" max="8" width="6.85546875" style="324" bestFit="1" customWidth="1" outlineLevel="1"/>
    <col min="9" max="9" width="10.85546875" style="324" customWidth="1" outlineLevel="1"/>
    <col min="10" max="10" width="9.140625" style="119" customWidth="1"/>
    <col min="11" max="16384" width="9.140625" style="119"/>
  </cols>
  <sheetData>
    <row r="1" spans="1:10" s="103" customFormat="1" ht="23.25" customHeight="1" x14ac:dyDescent="0.3">
      <c r="A1" s="242" t="s">
        <v>717</v>
      </c>
      <c r="B1" s="243"/>
      <c r="C1" s="243"/>
      <c r="D1" s="243"/>
      <c r="E1" s="243"/>
      <c r="F1" s="260"/>
      <c r="G1" s="242"/>
      <c r="H1" s="242"/>
      <c r="I1" s="242"/>
      <c r="J1" s="243"/>
    </row>
    <row r="2" spans="1:10" s="103" customFormat="1" ht="22.5" customHeight="1" x14ac:dyDescent="0.25">
      <c r="A2" s="245" t="str">
        <f>"CÔNG TRÌNH : "&amp;'Bia du toan'!$G$12</f>
        <v>CÔNG TRÌNH : TRƯỜNG CAO ĐẲNG LÝ TỰ TRỌNG</v>
      </c>
      <c r="B2" s="243"/>
      <c r="C2" s="243"/>
      <c r="D2" s="243"/>
      <c r="E2" s="243"/>
      <c r="F2" s="260"/>
      <c r="G2" s="245"/>
      <c r="H2" s="245"/>
      <c r="I2" s="245"/>
      <c r="J2" s="243"/>
    </row>
    <row r="3" spans="1:10" s="103" customFormat="1" ht="22.5" customHeight="1" x14ac:dyDescent="0.25">
      <c r="A3" s="245" t="str">
        <f>"HẠNG MỤC : "&amp; 'Bia du toan'!$G$13</f>
        <v>HẠNG MỤC : CẢI TẠO THƯ VIỆN GIAI ĐOẠN 2 - NĂM 2019</v>
      </c>
      <c r="B3" s="243"/>
      <c r="C3" s="243"/>
      <c r="D3" s="243"/>
      <c r="E3" s="243"/>
      <c r="F3" s="260"/>
      <c r="G3" s="245"/>
      <c r="H3" s="245"/>
      <c r="I3" s="245"/>
      <c r="J3" s="243"/>
    </row>
    <row r="4" spans="1:10" s="103" customFormat="1" x14ac:dyDescent="0.25">
      <c r="A4" s="243"/>
      <c r="B4" s="243"/>
      <c r="C4" s="243"/>
      <c r="D4" s="243"/>
      <c r="E4" s="243"/>
      <c r="F4" s="260"/>
      <c r="G4" s="243"/>
      <c r="H4" s="243"/>
      <c r="I4" s="243"/>
      <c r="J4" s="243"/>
    </row>
    <row r="5" spans="1:10" s="103" customFormat="1" ht="22.5" customHeight="1" x14ac:dyDescent="0.25">
      <c r="A5" s="1754" t="s">
        <v>15</v>
      </c>
      <c r="B5" s="1754" t="s">
        <v>234</v>
      </c>
      <c r="C5" s="1753" t="s">
        <v>256</v>
      </c>
      <c r="D5" s="1754" t="s">
        <v>257</v>
      </c>
      <c r="E5" s="1756" t="s">
        <v>706</v>
      </c>
      <c r="F5" s="1756"/>
      <c r="G5" s="1757" t="s">
        <v>716</v>
      </c>
      <c r="H5" s="1758"/>
      <c r="I5" s="1759"/>
      <c r="J5" s="1753" t="s">
        <v>707</v>
      </c>
    </row>
    <row r="6" spans="1:10" s="103" customFormat="1" ht="19.5" customHeight="1" x14ac:dyDescent="0.25">
      <c r="A6" s="1755"/>
      <c r="B6" s="1755"/>
      <c r="C6" s="1754"/>
      <c r="D6" s="1755"/>
      <c r="E6" s="322" t="s">
        <v>236</v>
      </c>
      <c r="F6" s="327" t="s">
        <v>233</v>
      </c>
      <c r="G6" s="286" t="s">
        <v>267</v>
      </c>
      <c r="H6" s="287" t="s">
        <v>236</v>
      </c>
      <c r="I6" s="286" t="s">
        <v>233</v>
      </c>
      <c r="J6" s="1753"/>
    </row>
  </sheetData>
  <mergeCells count="7">
    <mergeCell ref="J5:J6"/>
    <mergeCell ref="A5:A6"/>
    <mergeCell ref="B5:B6"/>
    <mergeCell ref="C5:C6"/>
    <mergeCell ref="D5:D6"/>
    <mergeCell ref="E5:F5"/>
    <mergeCell ref="G5:I5"/>
  </mergeCells>
  <pageMargins left="0.55118110236220497" right="0.196850393700787" top="0.43307086614173201" bottom="0.59055118110236204" header="0.15748031496063" footer="0.23622047244094499"/>
  <pageSetup paperSize="9" scale="90" orientation="portrait" r:id="rId1"/>
  <headerFooter alignWithMargins="0">
    <oddHeader>&amp;L&amp;"Times New Roman,Bold Italic"&amp;9Dự toán Bắc Nam  - ÐT: 0966.966.455</oddHeader>
    <oddFooter>&amp;R&amp;9Trang &amp;P/&amp;N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BCTT_GVT"/>
  <dimension ref="A1:K6"/>
  <sheetViews>
    <sheetView showGridLines="0" workbookViewId="0">
      <selection activeCell="C13" sqref="C13"/>
    </sheetView>
  </sheetViews>
  <sheetFormatPr defaultRowHeight="15" outlineLevelCol="1" x14ac:dyDescent="0.2"/>
  <cols>
    <col min="1" max="1" width="4.42578125" style="739" bestFit="1" customWidth="1"/>
    <col min="2" max="2" width="18.28515625" style="739" hidden="1" customWidth="1" outlineLevel="1"/>
    <col min="3" max="3" width="28.140625" style="739" customWidth="1" collapsed="1"/>
    <col min="4" max="4" width="10.7109375" style="740" customWidth="1"/>
    <col min="5" max="6" width="10.28515625" style="740" customWidth="1"/>
    <col min="7" max="7" width="20" style="739" customWidth="1" outlineLevel="1"/>
    <col min="8" max="8" width="6.85546875" style="739" bestFit="1" customWidth="1" outlineLevel="1"/>
    <col min="9" max="9" width="7.5703125" style="739" bestFit="1" customWidth="1" outlineLevel="1"/>
    <col min="10" max="10" width="10.85546875" style="739" customWidth="1" outlineLevel="1"/>
    <col min="11" max="11" width="9.140625" style="394" customWidth="1"/>
    <col min="12" max="16384" width="9.140625" style="119"/>
  </cols>
  <sheetData>
    <row r="1" spans="1:11" s="103" customFormat="1" ht="23.25" customHeight="1" x14ac:dyDescent="0.3">
      <c r="A1" s="242" t="s">
        <v>719</v>
      </c>
      <c r="B1" s="243"/>
      <c r="C1" s="243"/>
      <c r="D1" s="243"/>
      <c r="E1" s="243"/>
      <c r="F1" s="243"/>
      <c r="G1" s="242"/>
      <c r="H1" s="242"/>
      <c r="I1" s="242"/>
      <c r="J1" s="242"/>
      <c r="K1" s="243"/>
    </row>
    <row r="2" spans="1:11" s="103" customFormat="1" ht="22.5" customHeight="1" x14ac:dyDescent="0.25">
      <c r="A2" s="245" t="str">
        <f>"CÔNG TRÌNH : "&amp;'Bia du toan'!$G$12</f>
        <v>CÔNG TRÌNH : TRƯỜNG CAO ĐẲNG LÝ TỰ TRỌNG</v>
      </c>
      <c r="B2" s="243"/>
      <c r="C2" s="243"/>
      <c r="D2" s="243"/>
      <c r="E2" s="243"/>
      <c r="F2" s="243"/>
      <c r="G2" s="245"/>
      <c r="H2" s="245"/>
      <c r="I2" s="245"/>
      <c r="J2" s="245"/>
      <c r="K2" s="243"/>
    </row>
    <row r="3" spans="1:11" s="103" customFormat="1" ht="22.5" customHeight="1" x14ac:dyDescent="0.25">
      <c r="A3" s="245" t="str">
        <f>"HẠNG MỤC : "&amp; 'Bia du toan'!$G$13</f>
        <v>HẠNG MỤC : CẢI TẠO THƯ VIỆN GIAI ĐOẠN 2 - NĂM 2019</v>
      </c>
      <c r="B3" s="243"/>
      <c r="C3" s="243"/>
      <c r="D3" s="243"/>
      <c r="E3" s="243"/>
      <c r="F3" s="243"/>
      <c r="G3" s="245"/>
      <c r="H3" s="245"/>
      <c r="I3" s="245"/>
      <c r="J3" s="245"/>
      <c r="K3" s="243"/>
    </row>
    <row r="4" spans="1:11" s="103" customFormat="1" x14ac:dyDescent="0.25">
      <c r="A4" s="243"/>
      <c r="B4" s="243"/>
      <c r="C4" s="243"/>
      <c r="D4" s="243"/>
      <c r="E4" s="243"/>
      <c r="F4" s="243"/>
      <c r="G4" s="243"/>
      <c r="H4" s="243"/>
      <c r="I4" s="243"/>
      <c r="J4" s="243"/>
      <c r="K4" s="243"/>
    </row>
    <row r="5" spans="1:11" s="103" customFormat="1" ht="22.5" customHeight="1" x14ac:dyDescent="0.25">
      <c r="A5" s="1754" t="s">
        <v>15</v>
      </c>
      <c r="B5" s="1753" t="s">
        <v>256</v>
      </c>
      <c r="C5" s="1754" t="s">
        <v>267</v>
      </c>
      <c r="D5" s="1756" t="s">
        <v>706</v>
      </c>
      <c r="E5" s="1756"/>
      <c r="F5" s="1756"/>
      <c r="G5" s="1757" t="s">
        <v>716</v>
      </c>
      <c r="H5" s="1758"/>
      <c r="I5" s="1758"/>
      <c r="J5" s="1759"/>
      <c r="K5" s="1753" t="s">
        <v>707</v>
      </c>
    </row>
    <row r="6" spans="1:11" s="103" customFormat="1" ht="19.5" customHeight="1" x14ac:dyDescent="0.25">
      <c r="A6" s="1755"/>
      <c r="B6" s="1754"/>
      <c r="C6" s="1755"/>
      <c r="D6" s="335" t="s">
        <v>236</v>
      </c>
      <c r="E6" s="334" t="s">
        <v>237</v>
      </c>
      <c r="F6" s="334" t="s">
        <v>238</v>
      </c>
      <c r="G6" s="332" t="s">
        <v>267</v>
      </c>
      <c r="H6" s="333" t="s">
        <v>236</v>
      </c>
      <c r="I6" s="333" t="s">
        <v>3307</v>
      </c>
      <c r="J6" s="332" t="s">
        <v>238</v>
      </c>
      <c r="K6" s="1753"/>
    </row>
  </sheetData>
  <mergeCells count="6">
    <mergeCell ref="K5:K6"/>
    <mergeCell ref="A5:A6"/>
    <mergeCell ref="B5:B6"/>
    <mergeCell ref="C5:C6"/>
    <mergeCell ref="D5:F5"/>
    <mergeCell ref="G5:J5"/>
  </mergeCells>
  <pageMargins left="0.34" right="0.196850393700787" top="0.43307086614173201" bottom="0.59055118110236204" header="0.15748031496063" footer="0.23622047244094499"/>
  <pageSetup paperSize="9" scale="85" orientation="portrait" r:id="rId1"/>
  <headerFooter alignWithMargins="0">
    <oddHeader>&amp;L&amp;"Times New Roman,Bold Italic"&amp;9Dự toán Bắc Nam  - ÐT: 0966.966.455</oddHeader>
    <oddFooter>&amp;R&amp;9Trang &amp;P/&amp;N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6"/>
  <sheetViews>
    <sheetView workbookViewId="0">
      <selection activeCell="B17" sqref="B17"/>
    </sheetView>
  </sheetViews>
  <sheetFormatPr defaultRowHeight="15" outlineLevelCol="1" x14ac:dyDescent="0.2"/>
  <cols>
    <col min="1" max="1" width="4.42578125" style="119" bestFit="1" customWidth="1"/>
    <col min="2" max="2" width="12.140625" style="119" customWidth="1"/>
    <col min="3" max="3" width="18.28515625" style="119" hidden="1" customWidth="1" outlineLevel="1"/>
    <col min="4" max="4" width="41.7109375" style="119" customWidth="1" collapsed="1"/>
    <col min="5" max="5" width="7.140625" style="124" bestFit="1" customWidth="1"/>
    <col min="6" max="6" width="9.7109375" style="262" bestFit="1" customWidth="1"/>
    <col min="7" max="7" width="10.140625" style="262" bestFit="1" customWidth="1"/>
    <col min="8" max="8" width="9.85546875" style="262" hidden="1" customWidth="1"/>
    <col min="9" max="9" width="8.42578125" style="262" customWidth="1"/>
    <col min="10" max="10" width="6" style="119" bestFit="1" customWidth="1"/>
    <col min="11" max="11" width="12" style="119" hidden="1" customWidth="1" outlineLevel="1"/>
    <col min="12" max="12" width="9.85546875" style="119" hidden="1" customWidth="1" outlineLevel="1"/>
    <col min="13" max="13" width="11.42578125" style="119" hidden="1" customWidth="1" collapsed="1"/>
    <col min="14" max="14" width="11.5703125" style="119" hidden="1" customWidth="1"/>
    <col min="15" max="15" width="13.42578125" style="119" hidden="1" customWidth="1" outlineLevel="1"/>
    <col min="16" max="16" width="9.140625" style="119" hidden="1" customWidth="1" outlineLevel="1"/>
    <col min="17" max="17" width="10.85546875" style="119" hidden="1" customWidth="1" outlineLevel="1"/>
    <col min="18" max="19" width="10.42578125" style="119" hidden="1" customWidth="1" outlineLevel="1"/>
    <col min="20" max="20" width="8.28515625" style="119" hidden="1" customWidth="1" outlineLevel="1"/>
    <col min="21" max="21" width="9.5703125" style="119" hidden="1" customWidth="1" outlineLevel="1"/>
    <col min="22" max="29" width="9.140625" style="119" hidden="1" customWidth="1" outlineLevel="1"/>
    <col min="30" max="30" width="0" style="119" hidden="1" customWidth="1" collapsed="1"/>
    <col min="31" max="16384" width="9.140625" style="119"/>
  </cols>
  <sheetData>
    <row r="1" spans="1:29" s="103" customFormat="1" ht="20.25" x14ac:dyDescent="0.3">
      <c r="A1" s="242" t="s">
        <v>268</v>
      </c>
      <c r="B1" s="243"/>
      <c r="C1" s="243"/>
      <c r="D1" s="243"/>
      <c r="E1" s="243"/>
      <c r="F1" s="260"/>
      <c r="G1" s="260"/>
      <c r="H1" s="260"/>
      <c r="I1" s="260"/>
      <c r="J1" s="243"/>
      <c r="K1" s="243"/>
      <c r="L1" s="243"/>
      <c r="M1" s="243"/>
      <c r="N1" s="243"/>
    </row>
    <row r="2" spans="1:29" s="103" customFormat="1" ht="15.75" x14ac:dyDescent="0.25">
      <c r="A2" s="245" t="str">
        <f>"CÔNG TRÌNH : "&amp;'Bia du toan'!$G$12</f>
        <v>CÔNG TRÌNH : TRƯỜNG CAO ĐẲNG LÝ TỰ TRỌNG</v>
      </c>
      <c r="B2" s="243"/>
      <c r="C2" s="243"/>
      <c r="D2" s="243"/>
      <c r="E2" s="243"/>
      <c r="F2" s="260"/>
      <c r="G2" s="260"/>
      <c r="H2" s="260"/>
      <c r="I2" s="260"/>
      <c r="J2" s="243"/>
      <c r="K2" s="243"/>
      <c r="L2" s="243"/>
      <c r="M2" s="243"/>
      <c r="N2" s="243"/>
    </row>
    <row r="3" spans="1:29" s="103" customFormat="1" ht="15.75" x14ac:dyDescent="0.25">
      <c r="A3" s="245" t="str">
        <f>"HẠNG MỤC : "&amp; 'Bia du toan'!$G$13</f>
        <v>HẠNG MỤC : CẢI TẠO THƯ VIỆN GIAI ĐOẠN 2 - NĂM 2019</v>
      </c>
      <c r="B3" s="243"/>
      <c r="C3" s="243"/>
      <c r="D3" s="243"/>
      <c r="E3" s="243"/>
      <c r="F3" s="260"/>
      <c r="G3" s="260"/>
      <c r="H3" s="260"/>
      <c r="I3" s="260"/>
      <c r="J3" s="243"/>
      <c r="K3" s="243"/>
      <c r="L3" s="243"/>
      <c r="M3" s="243"/>
      <c r="N3" s="243"/>
    </row>
    <row r="4" spans="1:29" s="103" customFormat="1" x14ac:dyDescent="0.25">
      <c r="A4" s="243"/>
      <c r="B4" s="243"/>
      <c r="C4" s="243"/>
      <c r="D4" s="243"/>
      <c r="E4" s="243"/>
      <c r="F4" s="260"/>
      <c r="G4" s="260"/>
      <c r="H4" s="260"/>
      <c r="I4" s="260"/>
      <c r="J4" s="243"/>
      <c r="K4" s="243"/>
      <c r="L4" s="243"/>
      <c r="M4" s="243"/>
      <c r="N4" s="243"/>
    </row>
    <row r="5" spans="1:29" ht="15.75" customHeight="1" x14ac:dyDescent="0.2">
      <c r="A5" s="1753" t="s">
        <v>15</v>
      </c>
      <c r="B5" s="1752" t="s">
        <v>234</v>
      </c>
      <c r="C5" s="1753" t="s">
        <v>256</v>
      </c>
      <c r="D5" s="1753" t="s">
        <v>257</v>
      </c>
      <c r="E5" s="1753" t="s">
        <v>236</v>
      </c>
      <c r="F5" s="742" t="s">
        <v>237</v>
      </c>
      <c r="G5" s="742"/>
      <c r="H5" s="743"/>
      <c r="I5" s="742"/>
      <c r="J5" s="744"/>
      <c r="K5" s="745" t="s">
        <v>258</v>
      </c>
      <c r="L5" s="745" t="s">
        <v>259</v>
      </c>
      <c r="M5" s="1761" t="s">
        <v>260</v>
      </c>
      <c r="N5" s="1761"/>
      <c r="O5" s="1753" t="s">
        <v>590</v>
      </c>
      <c r="P5" s="1753"/>
      <c r="Q5" s="1753"/>
      <c r="R5" s="1760" t="s">
        <v>620</v>
      </c>
      <c r="S5" s="1760"/>
      <c r="T5" s="1760"/>
      <c r="U5" s="1760"/>
      <c r="V5" s="1760" t="s">
        <v>621</v>
      </c>
      <c r="W5" s="1760"/>
      <c r="X5" s="1760"/>
      <c r="Y5" s="1760"/>
      <c r="Z5" s="1760" t="s">
        <v>622</v>
      </c>
      <c r="AA5" s="1760"/>
      <c r="AB5" s="1760"/>
      <c r="AC5" s="1760"/>
    </row>
    <row r="6" spans="1:29" ht="26.25" customHeight="1" x14ac:dyDescent="0.2">
      <c r="A6" s="1754"/>
      <c r="B6" s="1747"/>
      <c r="C6" s="1754"/>
      <c r="D6" s="1754"/>
      <c r="E6" s="1754"/>
      <c r="F6" s="396" t="s">
        <v>261</v>
      </c>
      <c r="G6" s="396" t="s">
        <v>233</v>
      </c>
      <c r="H6" s="287" t="s">
        <v>241</v>
      </c>
      <c r="I6" s="396" t="s">
        <v>483</v>
      </c>
      <c r="J6" s="745" t="s">
        <v>262</v>
      </c>
      <c r="K6" s="746" t="s">
        <v>263</v>
      </c>
      <c r="L6" s="746" t="s">
        <v>232</v>
      </c>
      <c r="M6" s="745" t="s">
        <v>264</v>
      </c>
      <c r="N6" s="745" t="s">
        <v>265</v>
      </c>
      <c r="O6" s="747" t="s">
        <v>267</v>
      </c>
      <c r="P6" s="287" t="s">
        <v>236</v>
      </c>
      <c r="Q6" s="747" t="s">
        <v>233</v>
      </c>
      <c r="R6" s="742" t="s">
        <v>368</v>
      </c>
      <c r="S6" s="742" t="s">
        <v>267</v>
      </c>
      <c r="T6" s="261" t="s">
        <v>236</v>
      </c>
      <c r="U6" s="742" t="s">
        <v>233</v>
      </c>
      <c r="V6" s="742" t="s">
        <v>368</v>
      </c>
      <c r="W6" s="742" t="s">
        <v>267</v>
      </c>
      <c r="X6" s="261" t="s">
        <v>236</v>
      </c>
      <c r="Y6" s="742" t="s">
        <v>233</v>
      </c>
      <c r="Z6" s="742" t="s">
        <v>368</v>
      </c>
      <c r="AA6" s="742" t="s">
        <v>267</v>
      </c>
      <c r="AB6" s="261" t="s">
        <v>236</v>
      </c>
      <c r="AC6" s="742" t="s">
        <v>233</v>
      </c>
    </row>
  </sheetData>
  <mergeCells count="10">
    <mergeCell ref="O5:Q5"/>
    <mergeCell ref="R5:U5"/>
    <mergeCell ref="V5:Y5"/>
    <mergeCell ref="Z5:AC5"/>
    <mergeCell ref="A5:A6"/>
    <mergeCell ref="B5:B6"/>
    <mergeCell ref="C5:C6"/>
    <mergeCell ref="D5:D6"/>
    <mergeCell ref="E5:E6"/>
    <mergeCell ref="M5:N5"/>
  </mergeCell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D6"/>
  <sheetViews>
    <sheetView workbookViewId="0">
      <selection activeCell="D14" sqref="D14"/>
    </sheetView>
  </sheetViews>
  <sheetFormatPr defaultRowHeight="15" outlineLevelCol="1" x14ac:dyDescent="0.2"/>
  <cols>
    <col min="1" max="1" width="4.42578125" style="394" bestFit="1" customWidth="1"/>
    <col min="2" max="2" width="12.140625" style="394" customWidth="1"/>
    <col min="3" max="3" width="18.28515625" style="394" hidden="1" customWidth="1" outlineLevel="1"/>
    <col min="4" max="4" width="41.7109375" style="394" customWidth="1" collapsed="1"/>
    <col min="5" max="5" width="7.140625" style="589" bestFit="1" customWidth="1"/>
    <col min="6" max="6" width="9.7109375" style="748" bestFit="1" customWidth="1"/>
    <col min="7" max="7" width="10.140625" style="748" bestFit="1" customWidth="1"/>
    <col min="8" max="8" width="9.85546875" style="748" hidden="1" customWidth="1"/>
    <col min="9" max="9" width="9" style="748" customWidth="1"/>
    <col min="10" max="10" width="6" style="394" bestFit="1" customWidth="1"/>
    <col min="11" max="11" width="12" style="119" hidden="1" customWidth="1" outlineLevel="1"/>
    <col min="12" max="12" width="9.85546875" style="119" hidden="1" customWidth="1" outlineLevel="1"/>
    <col min="13" max="13" width="11.42578125" style="119" hidden="1" customWidth="1" collapsed="1"/>
    <col min="14" max="14" width="11.5703125" style="119" hidden="1" customWidth="1"/>
    <col min="15" max="15" width="13.42578125" style="119" hidden="1" customWidth="1" outlineLevel="1"/>
    <col min="16" max="16" width="9.140625" style="119" hidden="1" customWidth="1" outlineLevel="1"/>
    <col min="17" max="17" width="10.85546875" style="119" hidden="1" customWidth="1" outlineLevel="1"/>
    <col min="18" max="19" width="10.42578125" style="119" hidden="1" customWidth="1" outlineLevel="1"/>
    <col min="20" max="20" width="8.28515625" style="119" hidden="1" customWidth="1" outlineLevel="1"/>
    <col min="21" max="21" width="9.5703125" style="119" hidden="1" customWidth="1" outlineLevel="1"/>
    <col min="22" max="29" width="9.140625" style="119" hidden="1" customWidth="1" outlineLevel="1"/>
    <col min="30" max="30" width="0" style="119" hidden="1" customWidth="1" collapsed="1"/>
    <col min="31" max="16384" width="9.140625" style="119"/>
  </cols>
  <sheetData>
    <row r="1" spans="1:29" s="103" customFormat="1" ht="20.25" x14ac:dyDescent="0.3">
      <c r="A1" s="242" t="s">
        <v>268</v>
      </c>
      <c r="B1" s="243"/>
      <c r="C1" s="243"/>
      <c r="D1" s="243"/>
      <c r="E1" s="243"/>
      <c r="F1" s="260"/>
      <c r="G1" s="260"/>
      <c r="H1" s="260"/>
      <c r="I1" s="260"/>
      <c r="J1" s="243"/>
      <c r="K1" s="243"/>
      <c r="L1" s="243"/>
      <c r="M1" s="243"/>
      <c r="N1" s="243"/>
    </row>
    <row r="2" spans="1:29" s="103" customFormat="1" ht="15.75" x14ac:dyDescent="0.25">
      <c r="A2" s="245" t="str">
        <f>"CÔNG TRÌNH : "&amp;'Bia du toan'!$G$12</f>
        <v>CÔNG TRÌNH : TRƯỜNG CAO ĐẲNG LÝ TỰ TRỌNG</v>
      </c>
      <c r="B2" s="243"/>
      <c r="C2" s="243"/>
      <c r="D2" s="243"/>
      <c r="E2" s="243"/>
      <c r="F2" s="260"/>
      <c r="G2" s="260"/>
      <c r="H2" s="260"/>
      <c r="I2" s="260"/>
      <c r="J2" s="243"/>
      <c r="K2" s="243"/>
      <c r="L2" s="243"/>
      <c r="M2" s="243"/>
      <c r="N2" s="243"/>
    </row>
    <row r="3" spans="1:29" s="103" customFormat="1" ht="15.75" x14ac:dyDescent="0.25">
      <c r="A3" s="245" t="str">
        <f>"HẠNG MỤC : "&amp; 'Bia du toan'!$G$13</f>
        <v>HẠNG MỤC : CẢI TẠO THƯ VIỆN GIAI ĐOẠN 2 - NĂM 2019</v>
      </c>
      <c r="B3" s="243"/>
      <c r="C3" s="243"/>
      <c r="D3" s="243"/>
      <c r="E3" s="243"/>
      <c r="F3" s="260"/>
      <c r="G3" s="260"/>
      <c r="H3" s="260"/>
      <c r="I3" s="260"/>
      <c r="J3" s="243"/>
      <c r="K3" s="243"/>
      <c r="L3" s="243"/>
      <c r="M3" s="243"/>
      <c r="N3" s="243"/>
    </row>
    <row r="4" spans="1:29" s="103" customFormat="1" x14ac:dyDescent="0.25">
      <c r="A4" s="243"/>
      <c r="B4" s="243"/>
      <c r="C4" s="243"/>
      <c r="D4" s="243"/>
      <c r="E4" s="243"/>
      <c r="F4" s="260"/>
      <c r="G4" s="260"/>
      <c r="H4" s="260"/>
      <c r="I4" s="260"/>
      <c r="J4" s="243"/>
      <c r="K4" s="243"/>
      <c r="L4" s="243"/>
      <c r="M4" s="243"/>
      <c r="N4" s="243"/>
    </row>
    <row r="5" spans="1:29" ht="15.75" customHeight="1" x14ac:dyDescent="0.2">
      <c r="A5" s="1753" t="s">
        <v>15</v>
      </c>
      <c r="B5" s="1752" t="s">
        <v>234</v>
      </c>
      <c r="C5" s="1753" t="s">
        <v>256</v>
      </c>
      <c r="D5" s="1753" t="s">
        <v>257</v>
      </c>
      <c r="E5" s="1753" t="s">
        <v>236</v>
      </c>
      <c r="F5" s="742" t="s">
        <v>237</v>
      </c>
      <c r="G5" s="742"/>
      <c r="H5" s="743"/>
      <c r="I5" s="742"/>
      <c r="J5" s="744"/>
      <c r="K5" s="745" t="s">
        <v>258</v>
      </c>
      <c r="L5" s="745" t="s">
        <v>259</v>
      </c>
      <c r="M5" s="1761" t="s">
        <v>260</v>
      </c>
      <c r="N5" s="1761"/>
      <c r="O5" s="1753" t="s">
        <v>590</v>
      </c>
      <c r="P5" s="1753"/>
      <c r="Q5" s="1753"/>
      <c r="R5" s="1760" t="s">
        <v>620</v>
      </c>
      <c r="S5" s="1760"/>
      <c r="T5" s="1760"/>
      <c r="U5" s="1760"/>
      <c r="V5" s="1760" t="s">
        <v>621</v>
      </c>
      <c r="W5" s="1760"/>
      <c r="X5" s="1760"/>
      <c r="Y5" s="1760"/>
      <c r="Z5" s="1760" t="s">
        <v>622</v>
      </c>
      <c r="AA5" s="1760"/>
      <c r="AB5" s="1760"/>
      <c r="AC5" s="1760"/>
    </row>
    <row r="6" spans="1:29" ht="26.25" customHeight="1" x14ac:dyDescent="0.2">
      <c r="A6" s="1754"/>
      <c r="B6" s="1747"/>
      <c r="C6" s="1754"/>
      <c r="D6" s="1754"/>
      <c r="E6" s="1754"/>
      <c r="F6" s="396" t="s">
        <v>3309</v>
      </c>
      <c r="G6" s="396" t="s">
        <v>3310</v>
      </c>
      <c r="H6" s="287" t="s">
        <v>241</v>
      </c>
      <c r="I6" s="396" t="s">
        <v>483</v>
      </c>
      <c r="J6" s="745" t="s">
        <v>262</v>
      </c>
      <c r="K6" s="746" t="s">
        <v>263</v>
      </c>
      <c r="L6" s="746" t="s">
        <v>232</v>
      </c>
      <c r="M6" s="745" t="s">
        <v>264</v>
      </c>
      <c r="N6" s="745" t="s">
        <v>265</v>
      </c>
      <c r="O6" s="747" t="s">
        <v>267</v>
      </c>
      <c r="P6" s="287" t="s">
        <v>236</v>
      </c>
      <c r="Q6" s="747" t="s">
        <v>233</v>
      </c>
      <c r="R6" s="742" t="s">
        <v>368</v>
      </c>
      <c r="S6" s="742" t="s">
        <v>267</v>
      </c>
      <c r="T6" s="261" t="s">
        <v>236</v>
      </c>
      <c r="U6" s="742" t="s">
        <v>233</v>
      </c>
      <c r="V6" s="742" t="s">
        <v>368</v>
      </c>
      <c r="W6" s="742" t="s">
        <v>267</v>
      </c>
      <c r="X6" s="261" t="s">
        <v>236</v>
      </c>
      <c r="Y6" s="742" t="s">
        <v>233</v>
      </c>
      <c r="Z6" s="742" t="s">
        <v>368</v>
      </c>
      <c r="AA6" s="742" t="s">
        <v>267</v>
      </c>
      <c r="AB6" s="261" t="s">
        <v>236</v>
      </c>
      <c r="AC6" s="742" t="s">
        <v>233</v>
      </c>
    </row>
  </sheetData>
  <mergeCells count="10">
    <mergeCell ref="O5:Q5"/>
    <mergeCell ref="R5:U5"/>
    <mergeCell ref="V5:Y5"/>
    <mergeCell ref="Z5:AC5"/>
    <mergeCell ref="A5:A6"/>
    <mergeCell ref="B5:B6"/>
    <mergeCell ref="C5:C6"/>
    <mergeCell ref="D5:D6"/>
    <mergeCell ref="E5:E6"/>
    <mergeCell ref="M5:N5"/>
  </mergeCell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D6"/>
  <sheetViews>
    <sheetView workbookViewId="0">
      <selection activeCell="D14" sqref="D14"/>
    </sheetView>
  </sheetViews>
  <sheetFormatPr defaultRowHeight="15" outlineLevelCol="1" x14ac:dyDescent="0.2"/>
  <cols>
    <col min="1" max="1" width="4.42578125" style="119" bestFit="1" customWidth="1"/>
    <col min="2" max="2" width="11" style="119" customWidth="1"/>
    <col min="3" max="3" width="18.28515625" style="119" hidden="1" customWidth="1" outlineLevel="1"/>
    <col min="4" max="4" width="41.7109375" style="119" customWidth="1" collapsed="1"/>
    <col min="5" max="5" width="7.140625" style="124" bestFit="1" customWidth="1"/>
    <col min="6" max="6" width="8.140625" style="262" customWidth="1"/>
    <col min="7" max="7" width="9.28515625" style="262" customWidth="1"/>
    <col min="8" max="8" width="9.85546875" style="262" hidden="1" customWidth="1"/>
    <col min="9" max="9" width="9.85546875" style="262" customWidth="1"/>
    <col min="10" max="10" width="9.140625" style="119" customWidth="1"/>
    <col min="11" max="11" width="12" style="119" hidden="1" customWidth="1" outlineLevel="1"/>
    <col min="12" max="12" width="9.85546875" style="119" hidden="1" customWidth="1" outlineLevel="1"/>
    <col min="13" max="13" width="11.42578125" style="119" hidden="1" customWidth="1" collapsed="1"/>
    <col min="14" max="14" width="11.5703125" style="119" hidden="1" customWidth="1"/>
    <col min="15" max="15" width="13.42578125" style="119" hidden="1" customWidth="1" outlineLevel="1"/>
    <col min="16" max="16" width="9.140625" style="119" hidden="1" customWidth="1" outlineLevel="1"/>
    <col min="17" max="17" width="10.85546875" style="119" hidden="1" customWidth="1" outlineLevel="1"/>
    <col min="18" max="19" width="10.42578125" style="119" hidden="1" customWidth="1" outlineLevel="1"/>
    <col min="20" max="20" width="8.28515625" style="119" hidden="1" customWidth="1" outlineLevel="1"/>
    <col min="21" max="21" width="9.5703125" style="119" hidden="1" customWidth="1" outlineLevel="1"/>
    <col min="22" max="29" width="9.140625" style="119" hidden="1" customWidth="1" outlineLevel="1"/>
    <col min="30" max="30" width="0" style="119" hidden="1" customWidth="1" collapsed="1"/>
    <col min="31" max="16384" width="9.140625" style="119"/>
  </cols>
  <sheetData>
    <row r="1" spans="1:29" s="103" customFormat="1" ht="20.25" x14ac:dyDescent="0.3">
      <c r="A1" s="242" t="s">
        <v>268</v>
      </c>
      <c r="B1" s="243"/>
      <c r="C1" s="243"/>
      <c r="D1" s="243"/>
      <c r="E1" s="243"/>
      <c r="F1" s="260"/>
      <c r="G1" s="260"/>
      <c r="H1" s="260"/>
      <c r="I1" s="260"/>
      <c r="J1" s="243"/>
      <c r="K1" s="243"/>
      <c r="L1" s="243"/>
      <c r="M1" s="243"/>
      <c r="N1" s="243"/>
    </row>
    <row r="2" spans="1:29" s="103" customFormat="1" ht="15.75" x14ac:dyDescent="0.25">
      <c r="A2" s="245" t="str">
        <f>"CÔNG TRÌNH : "&amp;'Bia du toan'!$G$12</f>
        <v>CÔNG TRÌNH : TRƯỜNG CAO ĐẲNG LÝ TỰ TRỌNG</v>
      </c>
      <c r="B2" s="243"/>
      <c r="C2" s="243"/>
      <c r="D2" s="243"/>
      <c r="E2" s="243"/>
      <c r="F2" s="260"/>
      <c r="G2" s="260"/>
      <c r="H2" s="260"/>
      <c r="I2" s="260"/>
      <c r="J2" s="243"/>
      <c r="K2" s="243"/>
      <c r="L2" s="243"/>
      <c r="M2" s="243"/>
      <c r="N2" s="243"/>
    </row>
    <row r="3" spans="1:29" s="103" customFormat="1" ht="15.75" x14ac:dyDescent="0.25">
      <c r="A3" s="245" t="str">
        <f>"HẠNG MỤC : "&amp; 'Bia du toan'!$G$13</f>
        <v>HẠNG MỤC : CẢI TẠO THƯ VIỆN GIAI ĐOẠN 2 - NĂM 2019</v>
      </c>
      <c r="B3" s="243"/>
      <c r="C3" s="243"/>
      <c r="D3" s="243"/>
      <c r="E3" s="243"/>
      <c r="F3" s="260"/>
      <c r="G3" s="260"/>
      <c r="H3" s="260"/>
      <c r="I3" s="260"/>
      <c r="J3" s="243"/>
      <c r="K3" s="243"/>
      <c r="L3" s="243"/>
      <c r="M3" s="243"/>
      <c r="N3" s="243"/>
    </row>
    <row r="4" spans="1:29" s="103" customFormat="1" x14ac:dyDescent="0.25">
      <c r="A4" s="243"/>
      <c r="B4" s="243"/>
      <c r="C4" s="243"/>
      <c r="D4" s="243"/>
      <c r="E4" s="243"/>
      <c r="F4" s="260"/>
      <c r="G4" s="260"/>
      <c r="H4" s="260"/>
      <c r="I4" s="260"/>
      <c r="J4" s="243"/>
      <c r="K4" s="243"/>
      <c r="L4" s="243"/>
      <c r="M4" s="243"/>
      <c r="N4" s="243"/>
    </row>
    <row r="5" spans="1:29" ht="15.75" customHeight="1" x14ac:dyDescent="0.2">
      <c r="A5" s="1753" t="s">
        <v>15</v>
      </c>
      <c r="B5" s="1752" t="s">
        <v>234</v>
      </c>
      <c r="C5" s="1753" t="s">
        <v>256</v>
      </c>
      <c r="D5" s="1753" t="s">
        <v>257</v>
      </c>
      <c r="E5" s="1753" t="s">
        <v>236</v>
      </c>
      <c r="F5" s="742" t="s">
        <v>237</v>
      </c>
      <c r="G5" s="742"/>
      <c r="H5" s="743"/>
      <c r="I5" s="742"/>
      <c r="J5" s="744"/>
      <c r="K5" s="745" t="s">
        <v>258</v>
      </c>
      <c r="L5" s="745" t="s">
        <v>259</v>
      </c>
      <c r="M5" s="1761" t="s">
        <v>260</v>
      </c>
      <c r="N5" s="1761"/>
      <c r="O5" s="1753" t="s">
        <v>590</v>
      </c>
      <c r="P5" s="1753"/>
      <c r="Q5" s="1753"/>
      <c r="R5" s="1760" t="s">
        <v>620</v>
      </c>
      <c r="S5" s="1760"/>
      <c r="T5" s="1760"/>
      <c r="U5" s="1760"/>
      <c r="V5" s="1760" t="s">
        <v>621</v>
      </c>
      <c r="W5" s="1760"/>
      <c r="X5" s="1760"/>
      <c r="Y5" s="1760"/>
      <c r="Z5" s="1760" t="s">
        <v>622</v>
      </c>
      <c r="AA5" s="1760"/>
      <c r="AB5" s="1760"/>
      <c r="AC5" s="1760"/>
    </row>
    <row r="6" spans="1:29" ht="26.25" customHeight="1" x14ac:dyDescent="0.2">
      <c r="A6" s="1754"/>
      <c r="B6" s="1747"/>
      <c r="C6" s="1754"/>
      <c r="D6" s="1754"/>
      <c r="E6" s="1754"/>
      <c r="F6" s="396" t="s">
        <v>3309</v>
      </c>
      <c r="G6" s="396" t="s">
        <v>3310</v>
      </c>
      <c r="H6" s="287" t="s">
        <v>241</v>
      </c>
      <c r="I6" s="396" t="s">
        <v>3311</v>
      </c>
      <c r="J6" s="745" t="s">
        <v>262</v>
      </c>
      <c r="K6" s="746" t="s">
        <v>263</v>
      </c>
      <c r="L6" s="746" t="s">
        <v>232</v>
      </c>
      <c r="M6" s="745" t="s">
        <v>264</v>
      </c>
      <c r="N6" s="745" t="s">
        <v>265</v>
      </c>
      <c r="O6" s="747" t="s">
        <v>267</v>
      </c>
      <c r="P6" s="287" t="s">
        <v>236</v>
      </c>
      <c r="Q6" s="747" t="s">
        <v>233</v>
      </c>
      <c r="R6" s="742" t="s">
        <v>368</v>
      </c>
      <c r="S6" s="742" t="s">
        <v>267</v>
      </c>
      <c r="T6" s="261" t="s">
        <v>236</v>
      </c>
      <c r="U6" s="742" t="s">
        <v>233</v>
      </c>
      <c r="V6" s="742" t="s">
        <v>368</v>
      </c>
      <c r="W6" s="742" t="s">
        <v>267</v>
      </c>
      <c r="X6" s="261" t="s">
        <v>236</v>
      </c>
      <c r="Y6" s="742" t="s">
        <v>233</v>
      </c>
      <c r="Z6" s="742" t="s">
        <v>368</v>
      </c>
      <c r="AA6" s="742" t="s">
        <v>267</v>
      </c>
      <c r="AB6" s="261" t="s">
        <v>236</v>
      </c>
      <c r="AC6" s="742" t="s">
        <v>233</v>
      </c>
    </row>
  </sheetData>
  <mergeCells count="10">
    <mergeCell ref="O5:Q5"/>
    <mergeCell ref="R5:U5"/>
    <mergeCell ref="V5:Y5"/>
    <mergeCell ref="Z5:AC5"/>
    <mergeCell ref="A5:A6"/>
    <mergeCell ref="B5:B6"/>
    <mergeCell ref="C5:C6"/>
    <mergeCell ref="D5:D6"/>
    <mergeCell ref="E5:E6"/>
    <mergeCell ref="M5:N5"/>
  </mergeCell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BJ14"/>
  <sheetViews>
    <sheetView showGridLines="0" showZeros="0" workbookViewId="0">
      <selection activeCell="E13" sqref="E13"/>
    </sheetView>
  </sheetViews>
  <sheetFormatPr defaultRowHeight="15" outlineLevelCol="1" x14ac:dyDescent="0.2"/>
  <cols>
    <col min="1" max="1" width="3.7109375" style="394" bestFit="1" customWidth="1"/>
    <col min="2" max="2" width="12.28515625" style="394" hidden="1" customWidth="1" outlineLevel="1"/>
    <col min="3" max="3" width="14" style="394" hidden="1" customWidth="1" outlineLevel="1"/>
    <col min="4" max="4" width="9.85546875" style="394" customWidth="1" collapsed="1"/>
    <col min="5" max="5" width="32.42578125" style="394" customWidth="1"/>
    <col min="6" max="6" width="6.85546875" style="589" bestFit="1" customWidth="1"/>
    <col min="7" max="7" width="7.140625" style="590" bestFit="1" customWidth="1"/>
    <col min="8" max="8" width="9.28515625" style="591" customWidth="1"/>
    <col min="9" max="9" width="12.140625" style="591" hidden="1" customWidth="1"/>
    <col min="10" max="10" width="11.85546875" style="591" customWidth="1"/>
    <col min="11" max="11" width="10.42578125" style="591" customWidth="1"/>
    <col min="12" max="12" width="9.140625" style="591" customWidth="1"/>
    <col min="13" max="13" width="12.28515625" style="591" hidden="1" customWidth="1"/>
    <col min="14" max="14" width="12.140625" style="591" customWidth="1"/>
    <col min="15" max="15" width="9.7109375" style="591" customWidth="1"/>
    <col min="16" max="16" width="4.7109375" style="119" hidden="1" customWidth="1" outlineLevel="1"/>
    <col min="17" max="17" width="4.85546875" style="119" hidden="1" customWidth="1" outlineLevel="1"/>
    <col min="18" max="18" width="7" style="119" hidden="1" customWidth="1" outlineLevel="1"/>
    <col min="19" max="19" width="4.85546875" style="119" hidden="1" customWidth="1" outlineLevel="1"/>
    <col min="20" max="20" width="4.140625" style="119" hidden="1" customWidth="1" outlineLevel="1"/>
    <col min="21" max="21" width="7.85546875" style="119" hidden="1" customWidth="1" outlineLevel="1"/>
    <col min="22" max="22" width="7.42578125" style="119" hidden="1" customWidth="1"/>
    <col min="23" max="23" width="9.28515625" style="259" hidden="1" customWidth="1"/>
    <col min="24" max="24" width="10" style="259" hidden="1" customWidth="1"/>
    <col min="25" max="25" width="12.42578125" style="259" hidden="1" customWidth="1"/>
    <col min="26" max="26" width="9.42578125" style="259" hidden="1" customWidth="1"/>
    <col min="27" max="27" width="10.7109375" style="259" hidden="1" customWidth="1"/>
    <col min="28" max="28" width="12.42578125" style="259" hidden="1" customWidth="1"/>
    <col min="29" max="29" width="11.7109375" style="259" hidden="1" customWidth="1"/>
    <col min="30" max="30" width="8.140625" style="259" hidden="1" customWidth="1"/>
    <col min="31" max="31" width="8.5703125" style="259" hidden="1" customWidth="1"/>
    <col min="32" max="32" width="10" style="259" hidden="1" customWidth="1"/>
    <col min="33" max="33" width="11.7109375" style="259" hidden="1" customWidth="1"/>
    <col min="34" max="34" width="4.85546875" style="259" hidden="1" customWidth="1"/>
    <col min="35" max="35" width="10.85546875" style="259" hidden="1" customWidth="1"/>
    <col min="36" max="36" width="11.85546875" style="259" hidden="1" customWidth="1"/>
    <col min="37" max="37" width="8.5703125" style="259" hidden="1" customWidth="1"/>
    <col min="38" max="38" width="10" style="259" hidden="1" customWidth="1"/>
    <col min="39" max="39" width="11.7109375" style="259" hidden="1" customWidth="1"/>
    <col min="40" max="40" width="4.85546875" style="259" hidden="1" customWidth="1"/>
    <col min="41" max="41" width="7" style="259" hidden="1" customWidth="1"/>
    <col min="42" max="42" width="7.85546875" style="259" hidden="1" customWidth="1"/>
    <col min="43" max="43" width="9.140625" style="259" hidden="1" customWidth="1"/>
    <col min="44" max="44" width="8.5703125" style="259" hidden="1" customWidth="1"/>
    <col min="45" max="45" width="10" style="259" hidden="1" customWidth="1"/>
    <col min="46" max="46" width="11.7109375" style="259" hidden="1" customWidth="1"/>
    <col min="47" max="47" width="4.85546875" style="259" hidden="1" customWidth="1"/>
    <col min="48" max="48" width="8.5703125" style="259" hidden="1" customWidth="1"/>
    <col min="49" max="49" width="10" style="259" hidden="1" customWidth="1"/>
    <col min="50" max="50" width="11.7109375" style="259" hidden="1" customWidth="1"/>
    <col min="51" max="51" width="4.85546875" style="259" hidden="1" customWidth="1"/>
    <col min="52" max="52" width="12.42578125" style="119" hidden="1" customWidth="1"/>
    <col min="53" max="53" width="10.42578125" style="246" hidden="1" customWidth="1"/>
    <col min="54" max="54" width="8" style="246" hidden="1" customWidth="1"/>
    <col min="55" max="56" width="12.42578125" style="246" hidden="1" customWidth="1"/>
    <col min="57" max="60" width="9.140625" style="119" hidden="1" customWidth="1"/>
    <col min="61" max="62" width="9.140625" style="554" hidden="1" customWidth="1"/>
    <col min="63" max="16384" width="9.140625" style="554"/>
  </cols>
  <sheetData>
    <row r="1" spans="1:62" s="553" customFormat="1" ht="20.25" x14ac:dyDescent="0.3">
      <c r="A1" s="242" t="s">
        <v>3637</v>
      </c>
      <c r="B1" s="243"/>
      <c r="C1" s="243"/>
      <c r="D1" s="243"/>
      <c r="E1" s="243"/>
      <c r="F1" s="243"/>
      <c r="G1" s="243"/>
      <c r="H1" s="244"/>
      <c r="I1" s="244"/>
      <c r="J1" s="244"/>
      <c r="K1" s="244"/>
      <c r="L1" s="244"/>
      <c r="M1" s="244"/>
      <c r="N1" s="244"/>
      <c r="O1" s="244"/>
      <c r="P1" s="243"/>
      <c r="Q1" s="243"/>
      <c r="R1" s="243"/>
      <c r="S1" s="243"/>
      <c r="T1" s="243"/>
      <c r="U1" s="243"/>
      <c r="V1" s="243"/>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244"/>
      <c r="AY1" s="244"/>
      <c r="AZ1" s="243"/>
      <c r="BA1" s="243"/>
      <c r="BB1" s="243"/>
      <c r="BC1" s="103"/>
      <c r="BD1" s="103"/>
      <c r="BE1" s="103"/>
      <c r="BF1" s="103"/>
      <c r="BG1" s="103"/>
      <c r="BH1" s="103"/>
    </row>
    <row r="2" spans="1:62" s="553" customFormat="1" ht="15.75" x14ac:dyDescent="0.25">
      <c r="A2" s="245" t="str">
        <f>"CÔNG TRÌNH : "&amp;'Bia du toan'!$G$12</f>
        <v>CÔNG TRÌNH : TRƯỜNG CAO ĐẲNG LÝ TỰ TRỌNG</v>
      </c>
      <c r="B2" s="243"/>
      <c r="C2" s="243"/>
      <c r="D2" s="243"/>
      <c r="E2" s="243"/>
      <c r="F2" s="243"/>
      <c r="G2" s="243"/>
      <c r="H2" s="244"/>
      <c r="I2" s="244"/>
      <c r="J2" s="244"/>
      <c r="K2" s="244"/>
      <c r="L2" s="244"/>
      <c r="M2" s="244"/>
      <c r="N2" s="244"/>
      <c r="O2" s="244"/>
      <c r="P2" s="243"/>
      <c r="Q2" s="243"/>
      <c r="R2" s="243"/>
      <c r="S2" s="243"/>
      <c r="T2" s="243"/>
      <c r="U2" s="243"/>
      <c r="V2" s="243"/>
      <c r="W2" s="244"/>
      <c r="X2" s="244"/>
      <c r="Y2" s="244"/>
      <c r="Z2" s="244"/>
      <c r="AA2" s="244"/>
      <c r="AB2" s="244"/>
      <c r="AC2" s="244"/>
      <c r="AD2" s="244"/>
      <c r="AE2" s="244"/>
      <c r="AF2" s="244"/>
      <c r="AG2" s="244"/>
      <c r="AH2" s="244"/>
      <c r="AI2" s="244"/>
      <c r="AJ2" s="244"/>
      <c r="AK2" s="244"/>
      <c r="AL2" s="244"/>
      <c r="AM2" s="244"/>
      <c r="AN2" s="244"/>
      <c r="AO2" s="244"/>
      <c r="AP2" s="244"/>
      <c r="AQ2" s="244"/>
      <c r="AR2" s="244"/>
      <c r="AS2" s="244"/>
      <c r="AT2" s="244"/>
      <c r="AU2" s="244"/>
      <c r="AV2" s="244"/>
      <c r="AW2" s="244"/>
      <c r="AX2" s="244"/>
      <c r="AY2" s="244"/>
      <c r="AZ2" s="243"/>
      <c r="BA2" s="243"/>
      <c r="BB2" s="243"/>
      <c r="BC2" s="103"/>
      <c r="BD2" s="103"/>
      <c r="BE2" s="103"/>
      <c r="BF2" s="103"/>
      <c r="BG2" s="103"/>
      <c r="BH2" s="103"/>
    </row>
    <row r="3" spans="1:62" s="553" customFormat="1" ht="15.75" x14ac:dyDescent="0.25">
      <c r="A3" s="245" t="str">
        <f>"HẠNG MỤC : "&amp; 'Bia du toan'!$G$13</f>
        <v>HẠNG MỤC : CẢI TẠO THƯ VIỆN GIAI ĐOẠN 2 - NĂM 2019</v>
      </c>
      <c r="B3" s="243"/>
      <c r="C3" s="243"/>
      <c r="D3" s="243"/>
      <c r="E3" s="243"/>
      <c r="F3" s="243"/>
      <c r="G3" s="243"/>
      <c r="H3" s="244"/>
      <c r="I3" s="244"/>
      <c r="J3" s="244"/>
      <c r="K3" s="244"/>
      <c r="L3" s="244"/>
      <c r="M3" s="244"/>
      <c r="N3" s="244"/>
      <c r="O3" s="244"/>
      <c r="P3" s="243"/>
      <c r="Q3" s="243"/>
      <c r="R3" s="243"/>
      <c r="S3" s="243"/>
      <c r="T3" s="243"/>
      <c r="U3" s="243"/>
      <c r="V3" s="243"/>
      <c r="W3" s="244"/>
      <c r="X3" s="244"/>
      <c r="Y3" s="244"/>
      <c r="Z3" s="244"/>
      <c r="AA3" s="244"/>
      <c r="AB3" s="244"/>
      <c r="AC3" s="244"/>
      <c r="AD3" s="244"/>
      <c r="AE3" s="244"/>
      <c r="AF3" s="244"/>
      <c r="AG3" s="244"/>
      <c r="AH3" s="244"/>
      <c r="AI3" s="244"/>
      <c r="AJ3" s="244"/>
      <c r="AK3" s="244"/>
      <c r="AL3" s="244"/>
      <c r="AM3" s="244"/>
      <c r="AN3" s="244"/>
      <c r="AO3" s="244"/>
      <c r="AP3" s="244"/>
      <c r="AQ3" s="244"/>
      <c r="AR3" s="244"/>
      <c r="AS3" s="244"/>
      <c r="AT3" s="244"/>
      <c r="AU3" s="244"/>
      <c r="AV3" s="244"/>
      <c r="AW3" s="244"/>
      <c r="AX3" s="244"/>
      <c r="AY3" s="244"/>
      <c r="AZ3" s="243"/>
      <c r="BA3" s="243"/>
      <c r="BB3" s="243"/>
      <c r="BC3" s="103"/>
      <c r="BD3" s="103"/>
      <c r="BE3" s="103"/>
      <c r="BF3" s="103"/>
      <c r="BG3" s="103"/>
      <c r="BH3" s="103"/>
    </row>
    <row r="4" spans="1:62" s="553" customFormat="1" x14ac:dyDescent="0.25">
      <c r="A4" s="243"/>
      <c r="B4" s="243"/>
      <c r="C4" s="243"/>
      <c r="D4" s="243"/>
      <c r="E4" s="243"/>
      <c r="F4" s="243"/>
      <c r="G4" s="243"/>
      <c r="H4" s="244"/>
      <c r="I4" s="244"/>
      <c r="J4" s="244"/>
      <c r="K4" s="244"/>
      <c r="L4" s="244"/>
      <c r="M4" s="244"/>
      <c r="N4" s="244"/>
      <c r="O4" s="244"/>
      <c r="P4" s="243"/>
      <c r="Q4" s="243"/>
      <c r="R4" s="243"/>
      <c r="S4" s="243"/>
      <c r="T4" s="243"/>
      <c r="U4" s="243"/>
      <c r="V4" s="243"/>
      <c r="W4" s="244"/>
      <c r="X4" s="244"/>
      <c r="Y4" s="244"/>
      <c r="Z4" s="244"/>
      <c r="AA4" s="244"/>
      <c r="AB4" s="244"/>
      <c r="AC4" s="244"/>
      <c r="AD4" s="244"/>
      <c r="AE4" s="244"/>
      <c r="AF4" s="244"/>
      <c r="AG4" s="244"/>
      <c r="AH4" s="244"/>
      <c r="AI4" s="244"/>
      <c r="AJ4" s="244"/>
      <c r="AK4" s="244"/>
      <c r="AL4" s="244"/>
      <c r="AM4" s="244"/>
      <c r="AN4" s="244"/>
      <c r="AO4" s="244"/>
      <c r="AP4" s="244"/>
      <c r="AQ4" s="244"/>
      <c r="AR4" s="244"/>
      <c r="AS4" s="244"/>
      <c r="AT4" s="244"/>
      <c r="AU4" s="244"/>
      <c r="AV4" s="244"/>
      <c r="AW4" s="244"/>
      <c r="AX4" s="244"/>
      <c r="AY4" s="244"/>
      <c r="AZ4" s="243"/>
      <c r="BA4" s="243"/>
      <c r="BB4" s="243"/>
      <c r="BC4" s="103"/>
      <c r="BD4" s="103"/>
      <c r="BE4" s="103"/>
      <c r="BF4" s="103"/>
      <c r="BG4" s="103"/>
      <c r="BH4" s="103"/>
    </row>
    <row r="5" spans="1:62" s="553" customFormat="1" ht="23.25" customHeight="1" x14ac:dyDescent="0.25">
      <c r="A5" s="1752" t="s">
        <v>15</v>
      </c>
      <c r="B5" s="1752" t="s">
        <v>232</v>
      </c>
      <c r="C5" s="1752" t="s">
        <v>233</v>
      </c>
      <c r="D5" s="1752" t="s">
        <v>234</v>
      </c>
      <c r="E5" s="1752" t="s">
        <v>235</v>
      </c>
      <c r="F5" s="1752" t="s">
        <v>3308</v>
      </c>
      <c r="G5" s="1762" t="s">
        <v>237</v>
      </c>
      <c r="H5" s="159" t="s">
        <v>238</v>
      </c>
      <c r="I5" s="159"/>
      <c r="J5" s="159"/>
      <c r="K5" s="159"/>
      <c r="L5" s="159" t="s">
        <v>239</v>
      </c>
      <c r="M5" s="159"/>
      <c r="N5" s="159"/>
      <c r="O5" s="159"/>
      <c r="P5" s="1745" t="s">
        <v>502</v>
      </c>
      <c r="Q5" s="179" t="s">
        <v>240</v>
      </c>
      <c r="R5" s="179"/>
      <c r="S5" s="179"/>
      <c r="T5" s="1745" t="s">
        <v>241</v>
      </c>
      <c r="U5" s="1745" t="s">
        <v>242</v>
      </c>
      <c r="V5" s="1745" t="s">
        <v>237</v>
      </c>
      <c r="W5" s="1769" t="s">
        <v>238</v>
      </c>
      <c r="X5" s="1770"/>
      <c r="Y5" s="1770"/>
      <c r="Z5" s="1771"/>
      <c r="AA5" s="1769" t="s">
        <v>239</v>
      </c>
      <c r="AB5" s="1770"/>
      <c r="AC5" s="1770"/>
      <c r="AD5" s="1771"/>
      <c r="AE5" s="1769" t="s">
        <v>241</v>
      </c>
      <c r="AF5" s="1770"/>
      <c r="AG5" s="1770"/>
      <c r="AH5" s="1771"/>
      <c r="AI5" s="1763" t="s">
        <v>591</v>
      </c>
      <c r="AJ5" s="1763"/>
      <c r="AK5" s="1763" t="s">
        <v>507</v>
      </c>
      <c r="AL5" s="1763" t="s">
        <v>508</v>
      </c>
      <c r="AM5" s="1763"/>
      <c r="AN5" s="1763"/>
      <c r="AO5" s="1770" t="s">
        <v>380</v>
      </c>
      <c r="AP5" s="1770"/>
      <c r="AQ5" s="1770"/>
      <c r="AR5" s="180" t="s">
        <v>238</v>
      </c>
      <c r="AS5" s="180"/>
      <c r="AT5" s="180"/>
      <c r="AU5" s="180"/>
      <c r="AV5" s="1763" t="s">
        <v>239</v>
      </c>
      <c r="AW5" s="1763"/>
      <c r="AX5" s="1763"/>
      <c r="AY5" s="1763"/>
      <c r="AZ5" s="1764" t="s">
        <v>237</v>
      </c>
      <c r="BA5" s="1764" t="s">
        <v>243</v>
      </c>
      <c r="BB5" s="1764" t="s">
        <v>244</v>
      </c>
      <c r="BC5" s="1766" t="s">
        <v>1438</v>
      </c>
      <c r="BD5" s="1762" t="s">
        <v>1439</v>
      </c>
      <c r="BE5" s="1762" t="s">
        <v>1440</v>
      </c>
      <c r="BF5" s="1762" t="s">
        <v>1441</v>
      </c>
      <c r="BG5" s="1762"/>
      <c r="BH5" s="1762"/>
      <c r="BI5" s="1762" t="s">
        <v>1442</v>
      </c>
      <c r="BJ5" s="1762" t="s">
        <v>1443</v>
      </c>
    </row>
    <row r="6" spans="1:62" s="553" customFormat="1" ht="24" x14ac:dyDescent="0.25">
      <c r="A6" s="1752"/>
      <c r="B6" s="1752"/>
      <c r="C6" s="1752"/>
      <c r="D6" s="1752"/>
      <c r="E6" s="1752"/>
      <c r="F6" s="1752"/>
      <c r="G6" s="1762"/>
      <c r="H6" s="587" t="s">
        <v>245</v>
      </c>
      <c r="I6" s="587" t="s">
        <v>246</v>
      </c>
      <c r="J6" s="587" t="s">
        <v>247</v>
      </c>
      <c r="K6" s="587" t="s">
        <v>248</v>
      </c>
      <c r="L6" s="587" t="s">
        <v>245</v>
      </c>
      <c r="M6" s="587" t="s">
        <v>246</v>
      </c>
      <c r="N6" s="587" t="s">
        <v>247</v>
      </c>
      <c r="O6" s="587" t="s">
        <v>248</v>
      </c>
      <c r="P6" s="1768"/>
      <c r="Q6" s="181" t="s">
        <v>249</v>
      </c>
      <c r="R6" s="181" t="s">
        <v>250</v>
      </c>
      <c r="S6" s="181" t="s">
        <v>251</v>
      </c>
      <c r="T6" s="1768"/>
      <c r="U6" s="1768"/>
      <c r="V6" s="1768"/>
      <c r="W6" s="182" t="s">
        <v>245</v>
      </c>
      <c r="X6" s="182" t="s">
        <v>246</v>
      </c>
      <c r="Y6" s="182" t="s">
        <v>247</v>
      </c>
      <c r="Z6" s="182" t="s">
        <v>248</v>
      </c>
      <c r="AA6" s="182" t="s">
        <v>245</v>
      </c>
      <c r="AB6" s="182" t="s">
        <v>246</v>
      </c>
      <c r="AC6" s="182" t="s">
        <v>247</v>
      </c>
      <c r="AD6" s="182" t="s">
        <v>248</v>
      </c>
      <c r="AE6" s="182" t="s">
        <v>245</v>
      </c>
      <c r="AF6" s="182" t="s">
        <v>246</v>
      </c>
      <c r="AG6" s="182" t="s">
        <v>247</v>
      </c>
      <c r="AH6" s="182" t="s">
        <v>248</v>
      </c>
      <c r="AI6" s="182" t="s">
        <v>592</v>
      </c>
      <c r="AJ6" s="182" t="s">
        <v>286</v>
      </c>
      <c r="AK6" s="1763"/>
      <c r="AL6" s="183" t="s">
        <v>87</v>
      </c>
      <c r="AM6" s="182" t="s">
        <v>89</v>
      </c>
      <c r="AN6" s="182" t="s">
        <v>91</v>
      </c>
      <c r="AO6" s="182" t="s">
        <v>87</v>
      </c>
      <c r="AP6" s="182" t="s">
        <v>89</v>
      </c>
      <c r="AQ6" s="182" t="s">
        <v>91</v>
      </c>
      <c r="AR6" s="182" t="s">
        <v>245</v>
      </c>
      <c r="AS6" s="182" t="s">
        <v>246</v>
      </c>
      <c r="AT6" s="182" t="s">
        <v>247</v>
      </c>
      <c r="AU6" s="182" t="s">
        <v>248</v>
      </c>
      <c r="AV6" s="182" t="s">
        <v>245</v>
      </c>
      <c r="AW6" s="182" t="s">
        <v>246</v>
      </c>
      <c r="AX6" s="182" t="s">
        <v>247</v>
      </c>
      <c r="AY6" s="182" t="s">
        <v>248</v>
      </c>
      <c r="AZ6" s="1765"/>
      <c r="BA6" s="1765"/>
      <c r="BB6" s="1765"/>
      <c r="BC6" s="1767"/>
      <c r="BD6" s="1762"/>
      <c r="BE6" s="1762"/>
      <c r="BF6" s="588" t="s">
        <v>1444</v>
      </c>
      <c r="BG6" s="588" t="s">
        <v>68</v>
      </c>
      <c r="BH6" s="588" t="s">
        <v>1445</v>
      </c>
      <c r="BI6" s="1762"/>
      <c r="BJ6" s="1762"/>
    </row>
    <row r="7" spans="1:62" s="593" customFormat="1" x14ac:dyDescent="0.2">
      <c r="A7" s="394"/>
      <c r="B7" s="394"/>
      <c r="C7" s="394"/>
      <c r="D7" s="394"/>
      <c r="E7" s="394"/>
      <c r="F7" s="589"/>
      <c r="G7" s="590"/>
      <c r="H7" s="591"/>
      <c r="I7" s="591"/>
      <c r="J7" s="591"/>
      <c r="K7" s="591"/>
      <c r="L7" s="591"/>
      <c r="M7" s="591"/>
      <c r="N7" s="591"/>
      <c r="O7" s="591"/>
      <c r="P7" s="394"/>
      <c r="Q7" s="394"/>
      <c r="R7" s="394"/>
      <c r="S7" s="394"/>
      <c r="T7" s="394"/>
      <c r="U7" s="394"/>
      <c r="V7" s="394"/>
      <c r="W7" s="591"/>
      <c r="X7" s="591"/>
      <c r="Y7" s="591"/>
      <c r="Z7" s="591"/>
      <c r="AA7" s="591"/>
      <c r="AB7" s="591"/>
      <c r="AC7" s="591"/>
      <c r="AD7" s="591"/>
      <c r="AE7" s="591"/>
      <c r="AF7" s="591"/>
      <c r="AG7" s="591"/>
      <c r="AH7" s="591"/>
      <c r="AI7" s="591"/>
      <c r="AJ7" s="591"/>
      <c r="AK7" s="591"/>
      <c r="AL7" s="591"/>
      <c r="AM7" s="591"/>
      <c r="AN7" s="591"/>
      <c r="AO7" s="591"/>
      <c r="AP7" s="591"/>
      <c r="AQ7" s="591"/>
      <c r="AR7" s="591"/>
      <c r="AS7" s="591"/>
      <c r="AT7" s="591"/>
      <c r="AU7" s="591"/>
      <c r="AV7" s="591"/>
      <c r="AW7" s="591"/>
      <c r="AX7" s="591"/>
      <c r="AY7" s="591"/>
      <c r="AZ7" s="394"/>
      <c r="BA7" s="592"/>
      <c r="BB7" s="592"/>
      <c r="BC7" s="592"/>
      <c r="BD7" s="592"/>
      <c r="BE7" s="394"/>
      <c r="BF7" s="394"/>
      <c r="BG7" s="394"/>
      <c r="BH7" s="394"/>
    </row>
    <row r="8" spans="1:62" s="593" customFormat="1" x14ac:dyDescent="0.2">
      <c r="A8" s="394"/>
      <c r="B8" s="394"/>
      <c r="C8" s="394"/>
      <c r="D8" s="394"/>
      <c r="E8" s="394"/>
      <c r="F8" s="589"/>
      <c r="G8" s="590"/>
      <c r="H8" s="591"/>
      <c r="I8" s="591"/>
      <c r="J8" s="591"/>
      <c r="K8" s="591"/>
      <c r="L8" s="591"/>
      <c r="M8" s="591"/>
      <c r="N8" s="591"/>
      <c r="O8" s="591"/>
      <c r="P8" s="394"/>
      <c r="Q8" s="394"/>
      <c r="R8" s="394"/>
      <c r="S8" s="394"/>
      <c r="T8" s="394"/>
      <c r="U8" s="394"/>
      <c r="V8" s="394"/>
      <c r="W8" s="591"/>
      <c r="X8" s="591"/>
      <c r="Y8" s="591"/>
      <c r="Z8" s="591"/>
      <c r="AA8" s="591"/>
      <c r="AB8" s="591"/>
      <c r="AC8" s="591"/>
      <c r="AD8" s="591"/>
      <c r="AE8" s="591"/>
      <c r="AF8" s="591"/>
      <c r="AG8" s="591"/>
      <c r="AH8" s="591"/>
      <c r="AI8" s="591"/>
      <c r="AJ8" s="591"/>
      <c r="AK8" s="591"/>
      <c r="AL8" s="591"/>
      <c r="AM8" s="591"/>
      <c r="AN8" s="591"/>
      <c r="AO8" s="591"/>
      <c r="AP8" s="591"/>
      <c r="AQ8" s="591"/>
      <c r="AR8" s="591"/>
      <c r="AS8" s="591"/>
      <c r="AT8" s="591"/>
      <c r="AU8" s="591"/>
      <c r="AV8" s="591"/>
      <c r="AW8" s="591"/>
      <c r="AX8" s="591"/>
      <c r="AY8" s="591"/>
      <c r="AZ8" s="394"/>
      <c r="BA8" s="592"/>
      <c r="BB8" s="592"/>
      <c r="BC8" s="592"/>
      <c r="BD8" s="592"/>
      <c r="BE8" s="394"/>
      <c r="BF8" s="394"/>
      <c r="BG8" s="394"/>
      <c r="BH8" s="394"/>
    </row>
    <row r="9" spans="1:62" s="593" customFormat="1" x14ac:dyDescent="0.2">
      <c r="A9" s="394"/>
      <c r="B9" s="394"/>
      <c r="C9" s="394"/>
      <c r="D9" s="394"/>
      <c r="E9" s="394"/>
      <c r="F9" s="589"/>
      <c r="G9" s="590"/>
      <c r="H9" s="591"/>
      <c r="I9" s="591"/>
      <c r="J9" s="591"/>
      <c r="K9" s="591"/>
      <c r="L9" s="591"/>
      <c r="M9" s="591"/>
      <c r="N9" s="591"/>
      <c r="O9" s="591"/>
      <c r="P9" s="394"/>
      <c r="Q9" s="394"/>
      <c r="R9" s="394"/>
      <c r="S9" s="394"/>
      <c r="T9" s="394"/>
      <c r="U9" s="394"/>
      <c r="V9" s="394"/>
      <c r="W9" s="591"/>
      <c r="X9" s="591"/>
      <c r="Y9" s="591"/>
      <c r="Z9" s="591"/>
      <c r="AA9" s="591"/>
      <c r="AB9" s="591"/>
      <c r="AC9" s="591"/>
      <c r="AD9" s="591"/>
      <c r="AE9" s="591"/>
      <c r="AF9" s="591"/>
      <c r="AG9" s="591"/>
      <c r="AH9" s="591"/>
      <c r="AI9" s="591"/>
      <c r="AJ9" s="591"/>
      <c r="AK9" s="591"/>
      <c r="AL9" s="591"/>
      <c r="AM9" s="591"/>
      <c r="AN9" s="591"/>
      <c r="AO9" s="591"/>
      <c r="AP9" s="591"/>
      <c r="AQ9" s="591"/>
      <c r="AR9" s="591"/>
      <c r="AS9" s="591"/>
      <c r="AT9" s="591"/>
      <c r="AU9" s="591"/>
      <c r="AV9" s="591"/>
      <c r="AW9" s="591"/>
      <c r="AX9" s="591"/>
      <c r="AY9" s="591"/>
      <c r="AZ9" s="394"/>
      <c r="BA9" s="592"/>
      <c r="BB9" s="592"/>
      <c r="BC9" s="592"/>
      <c r="BD9" s="592"/>
      <c r="BE9" s="394"/>
      <c r="BF9" s="394"/>
      <c r="BG9" s="394"/>
      <c r="BH9" s="394"/>
    </row>
    <row r="10" spans="1:62" s="593" customFormat="1" x14ac:dyDescent="0.2">
      <c r="A10" s="394"/>
      <c r="B10" s="394"/>
      <c r="C10" s="394"/>
      <c r="D10" s="394"/>
      <c r="E10" s="394"/>
      <c r="F10" s="589"/>
      <c r="G10" s="590"/>
      <c r="H10" s="591"/>
      <c r="I10" s="591"/>
      <c r="J10" s="591"/>
      <c r="K10" s="591"/>
      <c r="L10" s="591"/>
      <c r="M10" s="591"/>
      <c r="N10" s="591"/>
      <c r="O10" s="591"/>
      <c r="P10" s="394"/>
      <c r="Q10" s="394"/>
      <c r="R10" s="394"/>
      <c r="S10" s="394"/>
      <c r="T10" s="394"/>
      <c r="U10" s="394"/>
      <c r="V10" s="394"/>
      <c r="W10" s="591"/>
      <c r="X10" s="591"/>
      <c r="Y10" s="591"/>
      <c r="Z10" s="591"/>
      <c r="AA10" s="591"/>
      <c r="AB10" s="591"/>
      <c r="AC10" s="591"/>
      <c r="AD10" s="591"/>
      <c r="AE10" s="591"/>
      <c r="AF10" s="591"/>
      <c r="AG10" s="591"/>
      <c r="AH10" s="591"/>
      <c r="AI10" s="591"/>
      <c r="AJ10" s="591"/>
      <c r="AK10" s="591"/>
      <c r="AL10" s="591"/>
      <c r="AM10" s="591"/>
      <c r="AN10" s="591"/>
      <c r="AO10" s="591"/>
      <c r="AP10" s="591"/>
      <c r="AQ10" s="591"/>
      <c r="AR10" s="591"/>
      <c r="AS10" s="591"/>
      <c r="AT10" s="591"/>
      <c r="AU10" s="591"/>
      <c r="AV10" s="591"/>
      <c r="AW10" s="591"/>
      <c r="AX10" s="591"/>
      <c r="AY10" s="591"/>
      <c r="AZ10" s="394"/>
      <c r="BA10" s="592"/>
      <c r="BB10" s="592"/>
      <c r="BC10" s="592"/>
      <c r="BD10" s="592"/>
      <c r="BE10" s="394"/>
      <c r="BF10" s="394"/>
      <c r="BG10" s="394"/>
      <c r="BH10" s="394"/>
    </row>
    <row r="11" spans="1:62" s="593" customFormat="1" x14ac:dyDescent="0.2">
      <c r="A11" s="394"/>
      <c r="B11" s="394"/>
      <c r="C11" s="394"/>
      <c r="D11" s="394"/>
      <c r="E11" s="394"/>
      <c r="F11" s="589"/>
      <c r="G11" s="590"/>
      <c r="H11" s="591"/>
      <c r="I11" s="591"/>
      <c r="J11" s="591"/>
      <c r="K11" s="591"/>
      <c r="L11" s="591"/>
      <c r="M11" s="591"/>
      <c r="N11" s="591"/>
      <c r="O11" s="591"/>
      <c r="P11" s="394"/>
      <c r="Q11" s="394"/>
      <c r="R11" s="394"/>
      <c r="S11" s="394"/>
      <c r="T11" s="394"/>
      <c r="U11" s="394"/>
      <c r="V11" s="394"/>
      <c r="W11" s="591"/>
      <c r="X11" s="591"/>
      <c r="Y11" s="591"/>
      <c r="Z11" s="591"/>
      <c r="AA11" s="591"/>
      <c r="AB11" s="591"/>
      <c r="AC11" s="591"/>
      <c r="AD11" s="591"/>
      <c r="AE11" s="591"/>
      <c r="AF11" s="591"/>
      <c r="AG11" s="591"/>
      <c r="AH11" s="591"/>
      <c r="AI11" s="591"/>
      <c r="AJ11" s="591"/>
      <c r="AK11" s="591"/>
      <c r="AL11" s="591"/>
      <c r="AM11" s="591"/>
      <c r="AN11" s="591"/>
      <c r="AO11" s="591"/>
      <c r="AP11" s="591"/>
      <c r="AQ11" s="591"/>
      <c r="AR11" s="591"/>
      <c r="AS11" s="591"/>
      <c r="AT11" s="591"/>
      <c r="AU11" s="591"/>
      <c r="AV11" s="591"/>
      <c r="AW11" s="591"/>
      <c r="AX11" s="591"/>
      <c r="AY11" s="591"/>
      <c r="AZ11" s="394"/>
      <c r="BA11" s="592"/>
      <c r="BB11" s="592"/>
      <c r="BC11" s="592"/>
      <c r="BD11" s="592"/>
      <c r="BE11" s="394"/>
      <c r="BF11" s="394"/>
      <c r="BG11" s="394"/>
      <c r="BH11" s="394"/>
    </row>
    <row r="12" spans="1:62" s="593" customFormat="1" x14ac:dyDescent="0.2">
      <c r="A12" s="394"/>
      <c r="B12" s="394"/>
      <c r="C12" s="394"/>
      <c r="D12" s="394"/>
      <c r="E12" s="394"/>
      <c r="F12" s="589"/>
      <c r="G12" s="590"/>
      <c r="H12" s="591"/>
      <c r="I12" s="591"/>
      <c r="J12" s="591"/>
      <c r="K12" s="591"/>
      <c r="L12" s="591"/>
      <c r="M12" s="591"/>
      <c r="N12" s="591"/>
      <c r="O12" s="591"/>
      <c r="P12" s="394"/>
      <c r="Q12" s="394"/>
      <c r="R12" s="394"/>
      <c r="S12" s="394"/>
      <c r="T12" s="394"/>
      <c r="U12" s="394"/>
      <c r="V12" s="394"/>
      <c r="W12" s="591"/>
      <c r="X12" s="591"/>
      <c r="Y12" s="591"/>
      <c r="Z12" s="591"/>
      <c r="AA12" s="591"/>
      <c r="AB12" s="591"/>
      <c r="AC12" s="591"/>
      <c r="AD12" s="591"/>
      <c r="AE12" s="591"/>
      <c r="AF12" s="591"/>
      <c r="AG12" s="591"/>
      <c r="AH12" s="591"/>
      <c r="AI12" s="591"/>
      <c r="AJ12" s="591"/>
      <c r="AK12" s="591"/>
      <c r="AL12" s="591"/>
      <c r="AM12" s="591"/>
      <c r="AN12" s="591"/>
      <c r="AO12" s="591"/>
      <c r="AP12" s="591"/>
      <c r="AQ12" s="591"/>
      <c r="AR12" s="591"/>
      <c r="AS12" s="591"/>
      <c r="AT12" s="591"/>
      <c r="AU12" s="591"/>
      <c r="AV12" s="591"/>
      <c r="AW12" s="591"/>
      <c r="AX12" s="591"/>
      <c r="AY12" s="591"/>
      <c r="AZ12" s="394"/>
      <c r="BA12" s="592"/>
      <c r="BB12" s="592"/>
      <c r="BC12" s="592"/>
      <c r="BD12" s="592"/>
      <c r="BE12" s="394"/>
      <c r="BF12" s="394"/>
      <c r="BG12" s="394"/>
      <c r="BH12" s="394"/>
    </row>
    <row r="14" spans="1:62" x14ac:dyDescent="0.2">
      <c r="N14" s="741"/>
    </row>
  </sheetData>
  <mergeCells count="28">
    <mergeCell ref="G5:G6"/>
    <mergeCell ref="P5:P6"/>
    <mergeCell ref="T5:T6"/>
    <mergeCell ref="F5:F6"/>
    <mergeCell ref="A5:A6"/>
    <mergeCell ref="B5:B6"/>
    <mergeCell ref="C5:C6"/>
    <mergeCell ref="D5:D6"/>
    <mergeCell ref="E5:E6"/>
    <mergeCell ref="U5:U6"/>
    <mergeCell ref="V5:V6"/>
    <mergeCell ref="W5:Z5"/>
    <mergeCell ref="BI5:BI6"/>
    <mergeCell ref="AK5:AK6"/>
    <mergeCell ref="AL5:AN5"/>
    <mergeCell ref="AO5:AQ5"/>
    <mergeCell ref="AA5:AD5"/>
    <mergeCell ref="AE5:AH5"/>
    <mergeCell ref="AI5:AJ5"/>
    <mergeCell ref="BJ5:BJ6"/>
    <mergeCell ref="AV5:AY5"/>
    <mergeCell ref="AZ5:AZ6"/>
    <mergeCell ref="BA5:BA6"/>
    <mergeCell ref="BB5:BB6"/>
    <mergeCell ref="BC5:BC6"/>
    <mergeCell ref="BD5:BD6"/>
    <mergeCell ref="BE5:BE6"/>
    <mergeCell ref="BF5:BH5"/>
  </mergeCells>
  <pageMargins left="0.46" right="0.13" top="0.43307086614173201" bottom="0.59055118110236204" header="0.15748031496063" footer="0.23622047244094499"/>
  <pageSetup paperSize="9" scale="80" orientation="portrait" r:id="rId1"/>
  <headerFooter alignWithMargins="0">
    <oddHeader>&amp;L&amp;"Times New Roman,Bold Italic"&amp;9Dự toán Bắc Nam  - ÐT: 0966.966.455</oddHeader>
    <oddFooter>&amp;R&amp;9Trang &amp;P/&amp;N</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H43"/>
  <sheetViews>
    <sheetView topLeftCell="A21" workbookViewId="0">
      <selection activeCell="C30" sqref="C30"/>
    </sheetView>
  </sheetViews>
  <sheetFormatPr defaultRowHeight="15.75" outlineLevelRow="1" outlineLevelCol="1" x14ac:dyDescent="0.25"/>
  <cols>
    <col min="1" max="1" width="4.42578125" style="2" bestFit="1" customWidth="1"/>
    <col min="2" max="2" width="12.28515625" style="1064" hidden="1" customWidth="1" outlineLevel="1"/>
    <col min="3" max="3" width="37.5703125" style="103" customWidth="1" collapsed="1"/>
    <col min="4" max="4" width="10.28515625" style="2" bestFit="1" customWidth="1"/>
    <col min="5" max="5" width="21.7109375" style="2" customWidth="1"/>
    <col min="6" max="6" width="6.85546875" style="2" bestFit="1" customWidth="1"/>
    <col min="7" max="7" width="16.140625" style="2" customWidth="1"/>
    <col min="8" max="8" width="16.7109375" style="188" bestFit="1" customWidth="1"/>
    <col min="9" max="16384" width="9.140625" style="188"/>
  </cols>
  <sheetData>
    <row r="1" spans="1:8" ht="20.25" x14ac:dyDescent="0.25">
      <c r="A1" s="58" t="s">
        <v>315</v>
      </c>
      <c r="B1" s="1052"/>
      <c r="C1" s="243"/>
      <c r="D1" s="40"/>
      <c r="E1" s="40"/>
      <c r="F1" s="40"/>
      <c r="G1" s="40"/>
    </row>
    <row r="2" spans="1:8" s="392" customFormat="1" x14ac:dyDescent="0.2">
      <c r="A2" s="105" t="str">
        <f>"CÔNG TRÌNH : "&amp;'Bia du toan'!$G$12</f>
        <v>CÔNG TRÌNH : TRƯỜNG CAO ĐẲNG LÝ TỰ TRỌNG</v>
      </c>
      <c r="B2" s="1053"/>
      <c r="C2" s="263"/>
      <c r="D2" s="105"/>
      <c r="E2" s="105"/>
      <c r="F2" s="105"/>
      <c r="G2" s="105"/>
    </row>
    <row r="3" spans="1:8" s="392" customFormat="1" x14ac:dyDescent="0.2">
      <c r="A3" s="105" t="str">
        <f>"HẠNG MỤC : "&amp; 'Bia du toan'!$G$13</f>
        <v>HẠNG MỤC : CẢI TẠO THƯ VIỆN GIAI ĐOẠN 2 - NĂM 2019</v>
      </c>
      <c r="B3" s="1053"/>
      <c r="C3" s="263"/>
      <c r="D3" s="105"/>
      <c r="E3" s="105"/>
      <c r="F3" s="105"/>
      <c r="G3" s="105"/>
    </row>
    <row r="4" spans="1:8" x14ac:dyDescent="0.25">
      <c r="A4" s="40"/>
      <c r="B4" s="1052"/>
      <c r="C4" s="243"/>
      <c r="D4" s="40"/>
      <c r="E4" s="40"/>
      <c r="F4" s="40"/>
      <c r="G4" s="40"/>
    </row>
    <row r="5" spans="1:8" ht="33" hidden="1" outlineLevel="1" x14ac:dyDescent="0.3">
      <c r="A5" s="40"/>
      <c r="B5" s="1054" t="s">
        <v>3387</v>
      </c>
      <c r="C5" s="1142" t="s">
        <v>3399</v>
      </c>
      <c r="D5" s="40"/>
      <c r="E5" s="40"/>
      <c r="F5" s="40"/>
      <c r="G5" s="40"/>
    </row>
    <row r="6" spans="1:8" ht="34.5" hidden="1" outlineLevel="1" x14ac:dyDescent="0.35">
      <c r="A6" s="40"/>
      <c r="B6" s="1054" t="s">
        <v>3388</v>
      </c>
      <c r="C6" s="1143" t="s">
        <v>3400</v>
      </c>
      <c r="D6" s="40"/>
      <c r="E6" s="40"/>
      <c r="F6" s="40"/>
      <c r="G6" s="40"/>
    </row>
    <row r="7" spans="1:8" ht="31.5" hidden="1" outlineLevel="1" x14ac:dyDescent="0.25">
      <c r="A7" s="40"/>
      <c r="B7" s="1055" t="s">
        <v>3389</v>
      </c>
      <c r="C7" s="1142" t="s">
        <v>3401</v>
      </c>
      <c r="D7" s="40"/>
      <c r="E7" s="40"/>
      <c r="F7" s="40"/>
      <c r="G7" s="40"/>
    </row>
    <row r="8" spans="1:8" ht="31.5" hidden="1" outlineLevel="1" x14ac:dyDescent="0.25">
      <c r="A8" s="40"/>
      <c r="B8" s="1054" t="s">
        <v>3390</v>
      </c>
      <c r="C8" s="1143" t="s">
        <v>3402</v>
      </c>
      <c r="D8" s="40"/>
      <c r="E8" s="40"/>
      <c r="F8" s="40"/>
      <c r="G8" s="40"/>
    </row>
    <row r="9" spans="1:8" collapsed="1" x14ac:dyDescent="0.25">
      <c r="A9" s="40"/>
      <c r="B9" s="1052"/>
      <c r="C9" s="243"/>
      <c r="D9" s="40"/>
      <c r="E9" s="40"/>
      <c r="F9" s="40"/>
      <c r="G9" s="40"/>
    </row>
    <row r="10" spans="1:8" s="1156" customFormat="1" ht="12.75" x14ac:dyDescent="0.2">
      <c r="A10" s="1153" t="s">
        <v>15</v>
      </c>
      <c r="B10" s="1154" t="s">
        <v>293</v>
      </c>
      <c r="C10" s="1155" t="s">
        <v>294</v>
      </c>
      <c r="D10" s="1153" t="s">
        <v>272</v>
      </c>
      <c r="E10" s="1153" t="s">
        <v>270</v>
      </c>
      <c r="F10" s="1153" t="s">
        <v>241</v>
      </c>
      <c r="G10" s="1153" t="s">
        <v>238</v>
      </c>
      <c r="H10" s="1153" t="s">
        <v>239</v>
      </c>
    </row>
    <row r="11" spans="1:8" s="640" customFormat="1" ht="16.5" x14ac:dyDescent="0.2">
      <c r="A11" s="44"/>
      <c r="B11" s="1057"/>
      <c r="C11" s="46" t="s">
        <v>295</v>
      </c>
      <c r="D11" s="44"/>
      <c r="E11" s="44"/>
      <c r="F11" s="44"/>
      <c r="G11" s="44"/>
      <c r="H11" s="1157"/>
    </row>
    <row r="12" spans="1:8" s="1161" customFormat="1" ht="16.5" x14ac:dyDescent="0.2">
      <c r="A12" s="1158" t="s">
        <v>3448</v>
      </c>
      <c r="B12" s="1159" t="s">
        <v>296</v>
      </c>
      <c r="C12" s="597" t="s">
        <v>86</v>
      </c>
      <c r="D12" s="1158" t="s">
        <v>296</v>
      </c>
      <c r="E12" s="1158"/>
      <c r="F12" s="1158"/>
      <c r="G12" s="1158"/>
      <c r="H12" s="1160"/>
    </row>
    <row r="13" spans="1:8" s="1161" customFormat="1" ht="16.5" x14ac:dyDescent="0.2">
      <c r="A13" s="1158" t="s">
        <v>3654</v>
      </c>
      <c r="B13" s="1159" t="s">
        <v>3656</v>
      </c>
      <c r="C13" s="597" t="s">
        <v>3655</v>
      </c>
      <c r="D13" s="1158" t="s">
        <v>3656</v>
      </c>
      <c r="E13" s="1158"/>
      <c r="F13" s="1158"/>
      <c r="G13" s="1158"/>
      <c r="H13" s="1160"/>
    </row>
    <row r="14" spans="1:8" s="1161" customFormat="1" ht="16.5" x14ac:dyDescent="0.2">
      <c r="A14" s="1158" t="s">
        <v>66</v>
      </c>
      <c r="B14" s="1159" t="s">
        <v>299</v>
      </c>
      <c r="C14" s="597" t="s">
        <v>88</v>
      </c>
      <c r="D14" s="1158" t="s">
        <v>299</v>
      </c>
      <c r="E14" s="1158"/>
      <c r="F14" s="1158"/>
      <c r="G14" s="1158"/>
      <c r="H14" s="1160"/>
    </row>
    <row r="15" spans="1:8" s="1161" customFormat="1" ht="16.5" x14ac:dyDescent="0.2">
      <c r="A15" s="1158" t="s">
        <v>96</v>
      </c>
      <c r="B15" s="1159" t="s">
        <v>300</v>
      </c>
      <c r="C15" s="597" t="s">
        <v>301</v>
      </c>
      <c r="D15" s="1158" t="s">
        <v>300</v>
      </c>
      <c r="E15" s="1158"/>
      <c r="F15" s="1158"/>
      <c r="G15" s="1158"/>
      <c r="H15" s="1160"/>
    </row>
    <row r="16" spans="1:8" s="640" customFormat="1" ht="16.5" x14ac:dyDescent="0.2">
      <c r="A16" s="44" t="s">
        <v>59</v>
      </c>
      <c r="B16" s="1057" t="s">
        <v>3102</v>
      </c>
      <c r="C16" s="46" t="s">
        <v>302</v>
      </c>
      <c r="D16" s="44"/>
      <c r="E16" s="44"/>
      <c r="F16" s="44"/>
      <c r="G16" s="44"/>
      <c r="H16" s="1157"/>
    </row>
    <row r="17" spans="1:8" s="640" customFormat="1" ht="16.5" x14ac:dyDescent="0.2">
      <c r="A17" s="44">
        <v>1</v>
      </c>
      <c r="B17" s="1057" t="s">
        <v>87</v>
      </c>
      <c r="C17" s="46" t="s">
        <v>86</v>
      </c>
      <c r="D17" s="44" t="s">
        <v>87</v>
      </c>
      <c r="E17" s="44" t="s">
        <v>296</v>
      </c>
      <c r="F17" s="44">
        <v>1</v>
      </c>
      <c r="G17" s="1162">
        <f xml:space="preserve"> H$12</f>
        <v>0</v>
      </c>
      <c r="H17" s="1157">
        <f xml:space="preserve"> G17*F17</f>
        <v>0</v>
      </c>
    </row>
    <row r="18" spans="1:8" s="640" customFormat="1" ht="16.5" x14ac:dyDescent="0.2">
      <c r="A18" s="44">
        <v>2</v>
      </c>
      <c r="B18" s="1057" t="s">
        <v>89</v>
      </c>
      <c r="C18" s="46" t="s">
        <v>88</v>
      </c>
      <c r="D18" s="44" t="s">
        <v>89</v>
      </c>
      <c r="E18" s="44" t="s">
        <v>299</v>
      </c>
      <c r="F18" s="44">
        <v>1</v>
      </c>
      <c r="G18" s="1162">
        <f xml:space="preserve"> H$14</f>
        <v>0</v>
      </c>
      <c r="H18" s="1157">
        <f xml:space="preserve"> G18*F18</f>
        <v>0</v>
      </c>
    </row>
    <row r="19" spans="1:8" s="640" customFormat="1" ht="16.5" x14ac:dyDescent="0.2">
      <c r="A19" s="44">
        <v>3</v>
      </c>
      <c r="B19" s="1057" t="s">
        <v>303</v>
      </c>
      <c r="C19" s="46" t="s">
        <v>90</v>
      </c>
      <c r="D19" s="44" t="s">
        <v>303</v>
      </c>
      <c r="E19" s="44" t="s">
        <v>300</v>
      </c>
      <c r="F19" s="44">
        <v>1</v>
      </c>
      <c r="G19" s="1162">
        <f xml:space="preserve"> H$15</f>
        <v>0</v>
      </c>
      <c r="H19" s="1157">
        <f xml:space="preserve"> G19*F19</f>
        <v>0</v>
      </c>
    </row>
    <row r="20" spans="1:8" s="640" customFormat="1" ht="16.5" x14ac:dyDescent="0.2">
      <c r="A20" s="44">
        <v>4</v>
      </c>
      <c r="B20" s="1057" t="s">
        <v>93</v>
      </c>
      <c r="C20" s="46" t="s">
        <v>92</v>
      </c>
      <c r="D20" s="44" t="s">
        <v>93</v>
      </c>
      <c r="E20" s="1163" t="str">
        <f xml:space="preserve"> "(VL+NC+M) x "&amp; Config!$D$12</f>
        <v>(VL+NC+M) x 2.5</v>
      </c>
      <c r="F20" s="1164">
        <f xml:space="preserve"> Config!$D$12%</f>
        <v>2.5000000000000001E-2</v>
      </c>
      <c r="G20" s="1162">
        <f xml:space="preserve"> H$17+H$18+H$19</f>
        <v>0</v>
      </c>
      <c r="H20" s="1157">
        <f xml:space="preserve"> G20*F20</f>
        <v>0</v>
      </c>
    </row>
    <row r="21" spans="1:8" s="644" customFormat="1" ht="16.5" x14ac:dyDescent="0.2">
      <c r="A21" s="655"/>
      <c r="B21" s="1058" t="s">
        <v>95</v>
      </c>
      <c r="C21" s="49" t="s">
        <v>1153</v>
      </c>
      <c r="D21" s="655" t="s">
        <v>95</v>
      </c>
      <c r="E21" s="655" t="s">
        <v>3647</v>
      </c>
      <c r="F21" s="1165"/>
      <c r="G21" s="1166"/>
      <c r="H21" s="1167">
        <f xml:space="preserve"> H$17+H$18+H$19+H$20</f>
        <v>0</v>
      </c>
    </row>
    <row r="22" spans="1:8" s="640" customFormat="1" ht="16.5" x14ac:dyDescent="0.2">
      <c r="A22" s="44" t="s">
        <v>64</v>
      </c>
      <c r="B22" s="1057" t="s">
        <v>96</v>
      </c>
      <c r="C22" s="46" t="s">
        <v>75</v>
      </c>
      <c r="D22" s="44" t="s">
        <v>96</v>
      </c>
      <c r="E22" s="44" t="str">
        <f xml:space="preserve"> "T x "&amp; Config!$D$13</f>
        <v>T x 6.5</v>
      </c>
      <c r="F22" s="1168">
        <f xml:space="preserve"> Config!$D$13%</f>
        <v>6.5000000000000002E-2</v>
      </c>
      <c r="G22" s="1162">
        <f xml:space="preserve"> H$21</f>
        <v>0</v>
      </c>
      <c r="H22" s="1157">
        <f xml:space="preserve"> G22*F22</f>
        <v>0</v>
      </c>
    </row>
    <row r="23" spans="1:8" s="644" customFormat="1" ht="16.5" x14ac:dyDescent="0.2">
      <c r="A23" s="655"/>
      <c r="B23" s="1058" t="s">
        <v>97</v>
      </c>
      <c r="C23" s="49" t="s">
        <v>304</v>
      </c>
      <c r="D23" s="655" t="s">
        <v>97</v>
      </c>
      <c r="E23" s="655" t="s">
        <v>305</v>
      </c>
      <c r="F23" s="655"/>
      <c r="G23" s="655"/>
      <c r="H23" s="1167">
        <f xml:space="preserve"> H$21+H$22</f>
        <v>0</v>
      </c>
    </row>
    <row r="24" spans="1:8" s="640" customFormat="1" ht="16.5" x14ac:dyDescent="0.2">
      <c r="A24" s="44" t="s">
        <v>79</v>
      </c>
      <c r="B24" s="1057" t="s">
        <v>98</v>
      </c>
      <c r="C24" s="46" t="s">
        <v>76</v>
      </c>
      <c r="D24" s="44" t="s">
        <v>98</v>
      </c>
      <c r="E24" s="44" t="str">
        <f xml:space="preserve"> "(T+C) x "&amp; Config!$D$14</f>
        <v>(T+C) x 5.5</v>
      </c>
      <c r="F24" s="1168">
        <f xml:space="preserve"> Config!$D$14%</f>
        <v>5.5E-2</v>
      </c>
      <c r="G24" s="1162">
        <f xml:space="preserve"> H$21+H$22</f>
        <v>0</v>
      </c>
      <c r="H24" s="1157">
        <f xml:space="preserve"> G24*F24</f>
        <v>0</v>
      </c>
    </row>
    <row r="25" spans="1:8" s="712" customFormat="1" ht="17.25" x14ac:dyDescent="0.2">
      <c r="A25" s="713"/>
      <c r="B25" s="1059" t="s">
        <v>99</v>
      </c>
      <c r="C25" s="51" t="s">
        <v>306</v>
      </c>
      <c r="D25" s="713" t="s">
        <v>99</v>
      </c>
      <c r="E25" s="713" t="s">
        <v>307</v>
      </c>
      <c r="F25" s="713"/>
      <c r="G25" s="1169"/>
      <c r="H25" s="1170">
        <f xml:space="preserve"> H$21+H$22+H$24</f>
        <v>0</v>
      </c>
    </row>
    <row r="26" spans="1:8" s="640" customFormat="1" ht="16.5" x14ac:dyDescent="0.2">
      <c r="A26" s="44" t="s">
        <v>308</v>
      </c>
      <c r="B26" s="1057" t="s">
        <v>101</v>
      </c>
      <c r="C26" s="46" t="s">
        <v>77</v>
      </c>
      <c r="D26" s="44" t="s">
        <v>101</v>
      </c>
      <c r="E26" s="44" t="str">
        <f xml:space="preserve"> "G x "&amp; Config!$D$15</f>
        <v>G x 10</v>
      </c>
      <c r="F26" s="1168">
        <f xml:space="preserve"> Config!$D$15%</f>
        <v>0.1</v>
      </c>
      <c r="G26" s="1162">
        <f xml:space="preserve"> H$25</f>
        <v>0</v>
      </c>
      <c r="H26" s="1157">
        <f xml:space="preserve"> G26*F26</f>
        <v>0</v>
      </c>
    </row>
    <row r="27" spans="1:8" s="644" customFormat="1" ht="16.5" x14ac:dyDescent="0.2">
      <c r="A27" s="655"/>
      <c r="B27" s="1058" t="s">
        <v>102</v>
      </c>
      <c r="C27" s="51" t="s">
        <v>309</v>
      </c>
      <c r="D27" s="655" t="s">
        <v>102</v>
      </c>
      <c r="E27" s="655" t="s">
        <v>1169</v>
      </c>
      <c r="F27" s="655"/>
      <c r="G27" s="1166"/>
      <c r="H27" s="1167">
        <f xml:space="preserve"> H$25+H$26</f>
        <v>0</v>
      </c>
    </row>
    <row r="28" spans="1:8" s="640" customFormat="1" ht="31.5" x14ac:dyDescent="0.2">
      <c r="A28" s="44" t="s">
        <v>1345</v>
      </c>
      <c r="B28" s="1057" t="s">
        <v>104</v>
      </c>
      <c r="C28" s="597" t="s">
        <v>1394</v>
      </c>
      <c r="D28" s="44"/>
      <c r="E28" s="44" t="str">
        <f xml:space="preserve"> "GXDCPT x "&amp; Config!$D$16</f>
        <v>GXDCPT x 1</v>
      </c>
      <c r="F28" s="1168">
        <f xml:space="preserve"> Config!$D$16%</f>
        <v>0.01</v>
      </c>
      <c r="G28" s="1162">
        <f xml:space="preserve"> H$27</f>
        <v>0</v>
      </c>
      <c r="H28" s="1157">
        <f xml:space="preserve"> G28*F28</f>
        <v>0</v>
      </c>
    </row>
    <row r="29" spans="1:8" s="644" customFormat="1" ht="16.5" x14ac:dyDescent="0.2">
      <c r="A29" s="595"/>
      <c r="B29" s="1060" t="s">
        <v>106</v>
      </c>
      <c r="C29" s="595" t="s">
        <v>1395</v>
      </c>
      <c r="D29" s="595"/>
      <c r="E29" s="595" t="s">
        <v>102</v>
      </c>
      <c r="F29" s="595"/>
      <c r="G29" s="595"/>
      <c r="H29" s="1171">
        <f xml:space="preserve"> H$27+H$28</f>
        <v>0</v>
      </c>
    </row>
    <row r="30" spans="1:8" s="640" customFormat="1" x14ac:dyDescent="0.2">
      <c r="A30" s="598"/>
      <c r="B30" s="1172" t="s">
        <v>1396</v>
      </c>
      <c r="C30" s="599" t="s">
        <v>3649</v>
      </c>
      <c r="D30" s="600"/>
      <c r="E30" s="600"/>
      <c r="F30" s="600"/>
      <c r="G30" s="600"/>
      <c r="H30" s="1173"/>
    </row>
    <row r="31" spans="1:8" s="640" customFormat="1" x14ac:dyDescent="0.25">
      <c r="A31" s="6"/>
      <c r="B31" s="1061"/>
      <c r="C31" s="1145"/>
      <c r="D31" s="6"/>
      <c r="E31" s="6"/>
      <c r="F31" s="6"/>
      <c r="G31" s="6"/>
    </row>
    <row r="32" spans="1:8" s="640" customFormat="1" x14ac:dyDescent="0.25">
      <c r="A32" s="53"/>
      <c r="B32" s="1062"/>
      <c r="C32" s="1146"/>
      <c r="D32" s="53"/>
      <c r="E32" s="53"/>
      <c r="F32" s="53"/>
      <c r="G32" s="53"/>
    </row>
    <row r="33" spans="1:7" s="640" customFormat="1" x14ac:dyDescent="0.25">
      <c r="A33" s="6"/>
      <c r="B33" s="1061"/>
      <c r="C33" s="1145"/>
      <c r="D33" s="6"/>
      <c r="E33" s="6"/>
      <c r="F33" s="6"/>
      <c r="G33" s="6"/>
    </row>
    <row r="34" spans="1:7" s="640" customFormat="1" x14ac:dyDescent="0.25">
      <c r="A34" s="6"/>
      <c r="B34" s="1061"/>
      <c r="C34" s="1145"/>
      <c r="D34" s="6"/>
      <c r="E34" s="6"/>
      <c r="F34" s="6"/>
      <c r="G34" s="6"/>
    </row>
    <row r="35" spans="1:7" s="640" customFormat="1" x14ac:dyDescent="0.25">
      <c r="A35" s="20"/>
      <c r="B35" s="1063"/>
      <c r="C35" s="1147" t="s">
        <v>311</v>
      </c>
      <c r="D35" s="8"/>
      <c r="E35" s="8" t="s">
        <v>312</v>
      </c>
      <c r="F35" s="8"/>
      <c r="G35" s="8"/>
    </row>
    <row r="36" spans="1:7" s="640" customFormat="1" x14ac:dyDescent="0.25">
      <c r="A36" s="6"/>
      <c r="B36" s="1061"/>
      <c r="C36" s="1145"/>
      <c r="D36" s="6"/>
      <c r="E36" s="6"/>
      <c r="F36" s="6"/>
      <c r="G36" s="6"/>
    </row>
    <row r="37" spans="1:7" s="640" customFormat="1" x14ac:dyDescent="0.25">
      <c r="A37" s="6"/>
      <c r="B37" s="1061"/>
      <c r="C37" s="1145"/>
      <c r="D37" s="6"/>
      <c r="E37" s="6"/>
      <c r="F37" s="6"/>
      <c r="G37" s="6"/>
    </row>
    <row r="38" spans="1:7" s="640" customFormat="1" x14ac:dyDescent="0.25">
      <c r="A38" s="6"/>
      <c r="B38" s="1061"/>
      <c r="C38" s="1145"/>
      <c r="D38" s="6"/>
      <c r="E38" s="6"/>
      <c r="F38" s="6"/>
      <c r="G38" s="6"/>
    </row>
    <row r="39" spans="1:7" s="640" customFormat="1" x14ac:dyDescent="0.25">
      <c r="A39" s="6"/>
      <c r="B39" s="1061"/>
      <c r="C39" s="1145"/>
      <c r="D39" s="6"/>
      <c r="E39" s="6"/>
      <c r="F39" s="6"/>
      <c r="G39" s="6"/>
    </row>
    <row r="40" spans="1:7" s="640" customFormat="1" x14ac:dyDescent="0.25">
      <c r="A40" s="6"/>
      <c r="B40" s="1061"/>
      <c r="C40" s="1145"/>
      <c r="D40" s="6"/>
      <c r="E40" s="6"/>
      <c r="F40" s="6"/>
      <c r="G40" s="6"/>
    </row>
    <row r="41" spans="1:7" s="640" customFormat="1" x14ac:dyDescent="0.25">
      <c r="A41" s="6"/>
      <c r="B41" s="1061"/>
      <c r="C41" s="1145"/>
      <c r="D41" s="6"/>
      <c r="E41" s="6"/>
      <c r="F41" s="6"/>
      <c r="G41" s="6"/>
    </row>
    <row r="42" spans="1:7" s="640" customFormat="1" x14ac:dyDescent="0.25">
      <c r="A42" s="6"/>
      <c r="B42" s="1061" t="s">
        <v>3521</v>
      </c>
      <c r="C42" s="1148" t="s">
        <v>313</v>
      </c>
      <c r="D42" s="9"/>
      <c r="E42" s="57" t="s">
        <v>313</v>
      </c>
      <c r="F42" s="57"/>
      <c r="G42" s="57"/>
    </row>
    <row r="43" spans="1:7" s="640" customFormat="1" x14ac:dyDescent="0.25">
      <c r="A43" s="6"/>
      <c r="B43" s="1061" t="s">
        <v>3558</v>
      </c>
      <c r="C43" s="1145"/>
      <c r="D43" s="9"/>
      <c r="E43" s="9" t="s">
        <v>314</v>
      </c>
      <c r="F43" s="9"/>
      <c r="G43" s="9"/>
    </row>
  </sheetData>
  <dataValidations count="1">
    <dataValidation allowBlank="1" showInputMessage="1" showErrorMessage="1" promptTitle="Lưu ý" prompt="Bạn không được xóa và sửa thông thin trong cột này" sqref="B1:B1048576"/>
  </dataValidation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Dutoan"/>
  <dimension ref="A1:BO93"/>
  <sheetViews>
    <sheetView showZeros="0" tabSelected="1" topLeftCell="A34" zoomScale="115" zoomScaleNormal="115" workbookViewId="0">
      <selection activeCell="J15" sqref="J15"/>
    </sheetView>
  </sheetViews>
  <sheetFormatPr defaultRowHeight="15" outlineLevelCol="1" x14ac:dyDescent="0.2"/>
  <cols>
    <col min="1" max="1" width="4.28515625" style="119" customWidth="1"/>
    <col min="2" max="2" width="12.28515625" style="119" hidden="1" customWidth="1" outlineLevel="1"/>
    <col min="3" max="3" width="14" style="119" hidden="1" customWidth="1" outlineLevel="1"/>
    <col min="4" max="4" width="9.85546875" style="119" customWidth="1" collapsed="1"/>
    <col min="5" max="5" width="43.85546875" style="119" customWidth="1"/>
    <col min="6" max="6" width="7.85546875" style="124" customWidth="1"/>
    <col min="7" max="7" width="12.140625" style="258" customWidth="1"/>
    <col min="8" max="8" width="13" style="259" customWidth="1"/>
    <col min="9" max="9" width="12.140625" style="259" hidden="1" customWidth="1"/>
    <col min="10" max="10" width="11.85546875" style="259" customWidth="1"/>
    <col min="11" max="11" width="10.42578125" style="259" customWidth="1"/>
    <col min="12" max="12" width="16.42578125" style="259" customWidth="1"/>
    <col min="13" max="13" width="12.28515625" style="259" hidden="1" customWidth="1"/>
    <col min="14" max="14" width="14.42578125" style="259" customWidth="1"/>
    <col min="15" max="15" width="13" style="259" customWidth="1"/>
    <col min="16" max="16" width="3.140625" style="119" hidden="1" customWidth="1" outlineLevel="1"/>
    <col min="17" max="17" width="4" style="119" hidden="1" customWidth="1" outlineLevel="1"/>
    <col min="18" max="18" width="6.140625" style="119" hidden="1" customWidth="1" outlineLevel="1"/>
    <col min="19" max="19" width="4.85546875" style="119" hidden="1" customWidth="1" outlineLevel="1"/>
    <col min="20" max="20" width="6.28515625" style="119" hidden="1" customWidth="1" outlineLevel="1"/>
    <col min="21" max="21" width="11.28515625" style="119" hidden="1" customWidth="1" outlineLevel="1"/>
    <col min="22" max="22" width="12.42578125" style="119" hidden="1" customWidth="1" collapsed="1"/>
    <col min="23" max="23" width="8.5703125" style="259" hidden="1" customWidth="1" outlineLevel="1"/>
    <col min="24" max="24" width="10" style="259" hidden="1" customWidth="1" outlineLevel="1"/>
    <col min="25" max="25" width="11.7109375" style="259" hidden="1" customWidth="1" outlineLevel="1"/>
    <col min="26" max="26" width="4.85546875" style="259" hidden="1" customWidth="1" outlineLevel="1"/>
    <col min="27" max="27" width="8.5703125" style="259" hidden="1" customWidth="1" outlineLevel="1"/>
    <col min="28" max="28" width="10" style="259" hidden="1" customWidth="1" outlineLevel="1"/>
    <col min="29" max="29" width="11.7109375" style="259" hidden="1" customWidth="1" outlineLevel="1"/>
    <col min="30" max="30" width="4.85546875" style="259" hidden="1" customWidth="1" outlineLevel="1"/>
    <col min="31" max="31" width="8.5703125" style="259" hidden="1" customWidth="1" outlineLevel="1"/>
    <col min="32" max="32" width="10" style="259" hidden="1" customWidth="1" outlineLevel="1"/>
    <col min="33" max="33" width="11.7109375" style="259" hidden="1" customWidth="1" outlineLevel="1"/>
    <col min="34" max="34" width="4.85546875" style="259" hidden="1" customWidth="1" outlineLevel="1"/>
    <col min="35" max="35" width="8.42578125" style="259" hidden="1" customWidth="1" outlineLevel="1"/>
    <col min="36" max="36" width="6.140625" style="259" hidden="1" customWidth="1" outlineLevel="1"/>
    <col min="37" max="37" width="7.140625" style="259" hidden="1" customWidth="1" outlineLevel="1"/>
    <col min="38" max="38" width="3.140625" style="259" hidden="1" customWidth="1" outlineLevel="1"/>
    <col min="39" max="39" width="3.5703125" style="259" hidden="1" customWidth="1" outlineLevel="1"/>
    <col min="40" max="40" width="3.7109375" style="259" hidden="1" customWidth="1" outlineLevel="1"/>
    <col min="41" max="41" width="3.140625" style="259" hidden="1" customWidth="1" outlineLevel="1"/>
    <col min="42" max="42" width="3.5703125" style="259" hidden="1" customWidth="1" outlineLevel="1"/>
    <col min="43" max="43" width="5" style="259" hidden="1" customWidth="1" outlineLevel="1"/>
    <col min="44" max="44" width="8.5703125" style="259" hidden="1" customWidth="1" collapsed="1"/>
    <col min="45" max="45" width="10" style="259" hidden="1" customWidth="1" outlineLevel="1"/>
    <col min="46" max="46" width="11.7109375" style="259" hidden="1" customWidth="1" outlineLevel="1"/>
    <col min="47" max="47" width="4.85546875" style="259" hidden="1" customWidth="1" outlineLevel="1"/>
    <col min="48" max="48" width="8.5703125" style="259" hidden="1" customWidth="1" outlineLevel="1"/>
    <col min="49" max="49" width="10" style="259" hidden="1" customWidth="1" outlineLevel="1"/>
    <col min="50" max="50" width="11.7109375" style="259" hidden="1" customWidth="1" outlineLevel="1"/>
    <col min="51" max="51" width="4.85546875" style="259" hidden="1" customWidth="1" outlineLevel="1"/>
    <col min="52" max="52" width="12.42578125" style="119" hidden="1" customWidth="1" collapsed="1"/>
    <col min="53" max="53" width="10.42578125" style="246" hidden="1" customWidth="1"/>
    <col min="54" max="54" width="8" style="246" hidden="1" customWidth="1"/>
    <col min="55" max="55" width="12.28515625" style="246" hidden="1" customWidth="1"/>
    <col min="56" max="56" width="11.85546875" style="246" hidden="1" customWidth="1"/>
    <col min="57" max="57" width="9.5703125" style="119" hidden="1" customWidth="1"/>
    <col min="58" max="58" width="6.7109375" style="119" hidden="1" customWidth="1" outlineLevel="1"/>
    <col min="59" max="59" width="4.140625" style="119" hidden="1" customWidth="1" outlineLevel="1"/>
    <col min="60" max="60" width="7.42578125" style="119" hidden="1" customWidth="1" outlineLevel="1"/>
    <col min="61" max="61" width="8.140625" style="554" hidden="1" customWidth="1" collapsed="1"/>
    <col min="62" max="62" width="12.5703125" style="554" hidden="1" customWidth="1"/>
    <col min="63" max="63" width="9.5703125" style="554" hidden="1" customWidth="1"/>
    <col min="64" max="64" width="8.28515625" style="554" hidden="1" customWidth="1" outlineLevel="1"/>
    <col min="65" max="65" width="8.140625" style="554" hidden="1" customWidth="1" outlineLevel="1"/>
    <col min="66" max="66" width="7" style="554" hidden="1" customWidth="1" outlineLevel="1"/>
    <col min="67" max="67" width="9.140625" style="554" collapsed="1"/>
    <col min="68" max="16384" width="9.140625" style="554"/>
  </cols>
  <sheetData>
    <row r="1" spans="1:66" s="553" customFormat="1" ht="20.25" x14ac:dyDescent="0.3">
      <c r="A1" s="242" t="s">
        <v>3283</v>
      </c>
      <c r="B1" s="243"/>
      <c r="C1" s="243"/>
      <c r="D1" s="243"/>
      <c r="E1" s="243"/>
      <c r="F1" s="243"/>
      <c r="G1" s="243"/>
      <c r="H1" s="244"/>
      <c r="I1" s="244"/>
      <c r="J1" s="244"/>
      <c r="K1" s="244"/>
      <c r="L1" s="244"/>
      <c r="M1" s="244"/>
      <c r="N1" s="244"/>
      <c r="O1" s="244"/>
      <c r="P1" s="243"/>
      <c r="Q1" s="243"/>
      <c r="R1" s="243"/>
      <c r="S1" s="243"/>
      <c r="T1" s="243"/>
      <c r="U1" s="243"/>
      <c r="V1" s="243"/>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244"/>
      <c r="AY1" s="244"/>
      <c r="AZ1" s="243"/>
      <c r="BA1" s="243"/>
      <c r="BB1" s="243"/>
      <c r="BC1" s="103"/>
      <c r="BD1" s="103"/>
      <c r="BE1" s="103"/>
      <c r="BF1" s="103"/>
      <c r="BG1" s="103"/>
      <c r="BH1" s="103"/>
    </row>
    <row r="2" spans="1:66" s="553" customFormat="1" ht="15.75" x14ac:dyDescent="0.25">
      <c r="A2" s="245" t="str">
        <f>"CÔNG TRÌNH : "&amp;'Bia du toan'!$G$12</f>
        <v>CÔNG TRÌNH : TRƯỜNG CAO ĐẲNG LÝ TỰ TRỌNG</v>
      </c>
      <c r="B2" s="243"/>
      <c r="C2" s="243"/>
      <c r="D2" s="243"/>
      <c r="E2" s="243"/>
      <c r="F2" s="243"/>
      <c r="G2" s="243"/>
      <c r="H2" s="244"/>
      <c r="I2" s="244"/>
      <c r="J2" s="244"/>
      <c r="K2" s="244"/>
      <c r="L2" s="244"/>
      <c r="M2" s="244"/>
      <c r="N2" s="244"/>
      <c r="O2" s="244"/>
      <c r="P2" s="243"/>
      <c r="Q2" s="243"/>
      <c r="R2" s="243"/>
      <c r="S2" s="243"/>
      <c r="T2" s="243"/>
      <c r="U2" s="243"/>
      <c r="V2" s="243"/>
      <c r="W2" s="244"/>
      <c r="X2" s="244"/>
      <c r="Y2" s="244"/>
      <c r="Z2" s="244"/>
      <c r="AA2" s="244"/>
      <c r="AB2" s="244"/>
      <c r="AC2" s="244"/>
      <c r="AD2" s="244"/>
      <c r="AE2" s="244"/>
      <c r="AF2" s="244"/>
      <c r="AG2" s="244"/>
      <c r="AH2" s="244"/>
      <c r="AI2" s="244"/>
      <c r="AJ2" s="244"/>
      <c r="AK2" s="244"/>
      <c r="AL2" s="244"/>
      <c r="AM2" s="244"/>
      <c r="AN2" s="244"/>
      <c r="AO2" s="244"/>
      <c r="AP2" s="244"/>
      <c r="AQ2" s="244"/>
      <c r="AR2" s="244"/>
      <c r="AS2" s="244"/>
      <c r="AT2" s="244"/>
      <c r="AU2" s="244"/>
      <c r="AV2" s="244"/>
      <c r="AW2" s="244"/>
      <c r="AX2" s="244"/>
      <c r="AY2" s="244"/>
      <c r="AZ2" s="243"/>
      <c r="BA2" s="243"/>
      <c r="BB2" s="243"/>
      <c r="BC2" s="103"/>
      <c r="BD2" s="103"/>
      <c r="BE2" s="103"/>
      <c r="BF2" s="103"/>
      <c r="BG2" s="103"/>
      <c r="BH2" s="103"/>
    </row>
    <row r="3" spans="1:66" s="553" customFormat="1" ht="15" customHeight="1" x14ac:dyDescent="0.25">
      <c r="A3" s="245" t="str">
        <f>"HẠNG MỤC : "&amp; 'Bia du toan'!$G$13</f>
        <v>HẠNG MỤC : CẢI TẠO THƯ VIỆN GIAI ĐOẠN 2 - NĂM 2019</v>
      </c>
      <c r="B3" s="243"/>
      <c r="C3" s="243"/>
      <c r="D3" s="243"/>
      <c r="E3" s="243"/>
      <c r="F3" s="243"/>
      <c r="G3" s="243"/>
      <c r="H3" s="244"/>
      <c r="I3" s="244"/>
      <c r="J3" s="244"/>
      <c r="K3" s="244"/>
      <c r="L3" s="244"/>
      <c r="M3" s="244"/>
      <c r="N3" s="244"/>
      <c r="O3" s="244"/>
      <c r="P3" s="243"/>
      <c r="Q3" s="243"/>
      <c r="R3" s="243"/>
      <c r="S3" s="243"/>
      <c r="T3" s="243"/>
      <c r="U3" s="243"/>
      <c r="V3" s="243"/>
      <c r="W3" s="244"/>
      <c r="X3" s="244"/>
      <c r="Y3" s="244"/>
      <c r="Z3" s="244"/>
      <c r="AA3" s="244"/>
      <c r="AB3" s="244"/>
      <c r="AC3" s="244"/>
      <c r="AD3" s="244"/>
      <c r="AE3" s="244"/>
      <c r="AF3" s="244"/>
      <c r="AG3" s="244"/>
      <c r="AH3" s="244"/>
      <c r="AI3" s="244"/>
      <c r="AJ3" s="244"/>
      <c r="AK3" s="244"/>
      <c r="AL3" s="244"/>
      <c r="AM3" s="244"/>
      <c r="AN3" s="244"/>
      <c r="AO3" s="244"/>
      <c r="AP3" s="244"/>
      <c r="AQ3" s="244"/>
      <c r="AR3" s="244"/>
      <c r="AS3" s="244"/>
      <c r="AT3" s="244"/>
      <c r="AU3" s="244"/>
      <c r="AV3" s="244"/>
      <c r="AW3" s="244"/>
      <c r="AX3" s="244"/>
      <c r="AY3" s="244"/>
      <c r="AZ3" s="243"/>
      <c r="BA3" s="243"/>
      <c r="BB3" s="243"/>
      <c r="BC3" s="103"/>
      <c r="BD3" s="103"/>
      <c r="BE3" s="103"/>
      <c r="BF3" s="103"/>
      <c r="BG3" s="103"/>
      <c r="BH3" s="103"/>
    </row>
    <row r="4" spans="1:66" s="553" customFormat="1" x14ac:dyDescent="0.25">
      <c r="A4" s="243"/>
      <c r="B4" s="243"/>
      <c r="C4" s="243"/>
      <c r="D4" s="243"/>
      <c r="E4" s="243"/>
      <c r="F4" s="243"/>
      <c r="G4" s="243"/>
      <c r="H4" s="244"/>
      <c r="I4" s="244"/>
      <c r="J4" s="244"/>
      <c r="K4" s="244"/>
      <c r="L4" s="244"/>
      <c r="M4" s="244"/>
      <c r="N4" s="244"/>
      <c r="O4" s="244"/>
      <c r="P4" s="243"/>
      <c r="Q4" s="243"/>
      <c r="R4" s="243"/>
      <c r="S4" s="243"/>
      <c r="T4" s="243"/>
      <c r="U4" s="243"/>
      <c r="V4" s="243"/>
      <c r="W4" s="244"/>
      <c r="X4" s="244"/>
      <c r="Y4" s="244"/>
      <c r="Z4" s="244"/>
      <c r="AA4" s="244"/>
      <c r="AB4" s="244"/>
      <c r="AC4" s="244"/>
      <c r="AD4" s="244"/>
      <c r="AE4" s="244"/>
      <c r="AF4" s="244"/>
      <c r="AG4" s="244"/>
      <c r="AH4" s="244"/>
      <c r="AI4" s="244"/>
      <c r="AJ4" s="244"/>
      <c r="AK4" s="244"/>
      <c r="AL4" s="244"/>
      <c r="AM4" s="244"/>
      <c r="AN4" s="244"/>
      <c r="AO4" s="244"/>
      <c r="AP4" s="244"/>
      <c r="AQ4" s="244"/>
      <c r="AR4" s="244"/>
      <c r="AS4" s="244"/>
      <c r="AT4" s="244"/>
      <c r="AU4" s="244"/>
      <c r="AV4" s="244"/>
      <c r="AW4" s="244"/>
      <c r="AX4" s="244"/>
      <c r="AY4" s="244"/>
      <c r="AZ4" s="243"/>
      <c r="BA4" s="243"/>
      <c r="BB4" s="243"/>
      <c r="BC4" s="103"/>
      <c r="BD4" s="103"/>
      <c r="BE4" s="103"/>
      <c r="BF4" s="103"/>
      <c r="BG4" s="103"/>
      <c r="BH4" s="103"/>
    </row>
    <row r="5" spans="1:66" s="553" customFormat="1" ht="23.25" customHeight="1" x14ac:dyDescent="0.25">
      <c r="A5" s="1752" t="s">
        <v>15</v>
      </c>
      <c r="B5" s="1752" t="s">
        <v>232</v>
      </c>
      <c r="C5" s="1752" t="s">
        <v>233</v>
      </c>
      <c r="D5" s="1752" t="s">
        <v>234</v>
      </c>
      <c r="E5" s="1752" t="s">
        <v>235</v>
      </c>
      <c r="F5" s="1752" t="s">
        <v>236</v>
      </c>
      <c r="G5" s="1762" t="s">
        <v>237</v>
      </c>
      <c r="H5" s="159" t="s">
        <v>238</v>
      </c>
      <c r="I5" s="159"/>
      <c r="J5" s="159"/>
      <c r="K5" s="159"/>
      <c r="L5" s="159" t="s">
        <v>239</v>
      </c>
      <c r="M5" s="159"/>
      <c r="N5" s="159"/>
      <c r="O5" s="159"/>
      <c r="P5" s="1745" t="s">
        <v>502</v>
      </c>
      <c r="Q5" s="179" t="s">
        <v>240</v>
      </c>
      <c r="R5" s="179"/>
      <c r="S5" s="179"/>
      <c r="T5" s="1745" t="s">
        <v>241</v>
      </c>
      <c r="U5" s="1745" t="s">
        <v>242</v>
      </c>
      <c r="V5" s="1745" t="s">
        <v>237</v>
      </c>
      <c r="W5" s="1769" t="s">
        <v>238</v>
      </c>
      <c r="X5" s="1770"/>
      <c r="Y5" s="1770"/>
      <c r="Z5" s="1771"/>
      <c r="AA5" s="1769" t="s">
        <v>239</v>
      </c>
      <c r="AB5" s="1770"/>
      <c r="AC5" s="1770"/>
      <c r="AD5" s="1771"/>
      <c r="AE5" s="1769" t="s">
        <v>241</v>
      </c>
      <c r="AF5" s="1770"/>
      <c r="AG5" s="1770"/>
      <c r="AH5" s="1771"/>
      <c r="AI5" s="1763" t="s">
        <v>591</v>
      </c>
      <c r="AJ5" s="1763"/>
      <c r="AK5" s="1763" t="s">
        <v>507</v>
      </c>
      <c r="AL5" s="1763" t="s">
        <v>508</v>
      </c>
      <c r="AM5" s="1763"/>
      <c r="AN5" s="1763"/>
      <c r="AO5" s="1770" t="s">
        <v>380</v>
      </c>
      <c r="AP5" s="1770"/>
      <c r="AQ5" s="1770"/>
      <c r="AR5" s="180" t="s">
        <v>238</v>
      </c>
      <c r="AS5" s="180"/>
      <c r="AT5" s="180"/>
      <c r="AU5" s="180"/>
      <c r="AV5" s="1763" t="s">
        <v>239</v>
      </c>
      <c r="AW5" s="1763"/>
      <c r="AX5" s="1763"/>
      <c r="AY5" s="1763"/>
      <c r="AZ5" s="1764" t="s">
        <v>237</v>
      </c>
      <c r="BA5" s="1764" t="s">
        <v>243</v>
      </c>
      <c r="BB5" s="1764" t="s">
        <v>244</v>
      </c>
      <c r="BC5" s="1766" t="s">
        <v>1438</v>
      </c>
      <c r="BD5" s="1762" t="s">
        <v>1439</v>
      </c>
      <c r="BE5" s="1762" t="s">
        <v>1440</v>
      </c>
      <c r="BF5" s="1762" t="s">
        <v>1441</v>
      </c>
      <c r="BG5" s="1762"/>
      <c r="BH5" s="1762"/>
      <c r="BI5" s="1762" t="s">
        <v>1442</v>
      </c>
      <c r="BJ5" s="1762" t="s">
        <v>1443</v>
      </c>
      <c r="BK5" s="1762" t="s">
        <v>1473</v>
      </c>
      <c r="BL5" s="1762" t="s">
        <v>3048</v>
      </c>
      <c r="BM5" s="1762"/>
      <c r="BN5" s="1762"/>
    </row>
    <row r="6" spans="1:66" s="553" customFormat="1" ht="24" x14ac:dyDescent="0.25">
      <c r="A6" s="1752"/>
      <c r="B6" s="1752"/>
      <c r="C6" s="1752"/>
      <c r="D6" s="1752"/>
      <c r="E6" s="1752"/>
      <c r="F6" s="1752"/>
      <c r="G6" s="1762"/>
      <c r="H6" s="160" t="s">
        <v>245</v>
      </c>
      <c r="I6" s="160" t="s">
        <v>246</v>
      </c>
      <c r="J6" s="160" t="s">
        <v>247</v>
      </c>
      <c r="K6" s="160" t="s">
        <v>248</v>
      </c>
      <c r="L6" s="160" t="s">
        <v>245</v>
      </c>
      <c r="M6" s="160" t="s">
        <v>246</v>
      </c>
      <c r="N6" s="160" t="s">
        <v>247</v>
      </c>
      <c r="O6" s="160" t="s">
        <v>248</v>
      </c>
      <c r="P6" s="1768"/>
      <c r="Q6" s="181" t="s">
        <v>249</v>
      </c>
      <c r="R6" s="181" t="s">
        <v>250</v>
      </c>
      <c r="S6" s="181" t="s">
        <v>251</v>
      </c>
      <c r="T6" s="1768"/>
      <c r="U6" s="1768"/>
      <c r="V6" s="1768"/>
      <c r="W6" s="182" t="s">
        <v>245</v>
      </c>
      <c r="X6" s="182" t="s">
        <v>246</v>
      </c>
      <c r="Y6" s="182" t="s">
        <v>247</v>
      </c>
      <c r="Z6" s="182" t="s">
        <v>248</v>
      </c>
      <c r="AA6" s="182" t="s">
        <v>245</v>
      </c>
      <c r="AB6" s="182" t="s">
        <v>246</v>
      </c>
      <c r="AC6" s="182" t="s">
        <v>247</v>
      </c>
      <c r="AD6" s="182" t="s">
        <v>248</v>
      </c>
      <c r="AE6" s="182" t="s">
        <v>245</v>
      </c>
      <c r="AF6" s="182" t="s">
        <v>246</v>
      </c>
      <c r="AG6" s="182" t="s">
        <v>247</v>
      </c>
      <c r="AH6" s="182" t="s">
        <v>248</v>
      </c>
      <c r="AI6" s="182" t="s">
        <v>592</v>
      </c>
      <c r="AJ6" s="182" t="s">
        <v>286</v>
      </c>
      <c r="AK6" s="1763"/>
      <c r="AL6" s="183" t="s">
        <v>87</v>
      </c>
      <c r="AM6" s="182" t="s">
        <v>89</v>
      </c>
      <c r="AN6" s="182" t="s">
        <v>91</v>
      </c>
      <c r="AO6" s="182" t="s">
        <v>87</v>
      </c>
      <c r="AP6" s="182" t="s">
        <v>89</v>
      </c>
      <c r="AQ6" s="182" t="s">
        <v>91</v>
      </c>
      <c r="AR6" s="182" t="s">
        <v>245</v>
      </c>
      <c r="AS6" s="182" t="s">
        <v>246</v>
      </c>
      <c r="AT6" s="182" t="s">
        <v>247</v>
      </c>
      <c r="AU6" s="182" t="s">
        <v>248</v>
      </c>
      <c r="AV6" s="182" t="s">
        <v>245</v>
      </c>
      <c r="AW6" s="182" t="s">
        <v>246</v>
      </c>
      <c r="AX6" s="182" t="s">
        <v>247</v>
      </c>
      <c r="AY6" s="182" t="s">
        <v>248</v>
      </c>
      <c r="AZ6" s="1765"/>
      <c r="BA6" s="1765"/>
      <c r="BB6" s="1765"/>
      <c r="BC6" s="1767"/>
      <c r="BD6" s="1762"/>
      <c r="BE6" s="1762"/>
      <c r="BF6" s="574" t="s">
        <v>1444</v>
      </c>
      <c r="BG6" s="574" t="s">
        <v>68</v>
      </c>
      <c r="BH6" s="574" t="s">
        <v>1445</v>
      </c>
      <c r="BI6" s="1762"/>
      <c r="BJ6" s="1762"/>
      <c r="BK6" s="1762"/>
      <c r="BL6" s="609" t="s">
        <v>3049</v>
      </c>
      <c r="BM6" s="609" t="s">
        <v>3050</v>
      </c>
      <c r="BN6" s="609" t="s">
        <v>3051</v>
      </c>
    </row>
    <row r="7" spans="1:66" x14ac:dyDescent="0.2">
      <c r="A7" s="122"/>
      <c r="B7" s="423"/>
      <c r="C7" s="423"/>
      <c r="D7" s="1594"/>
      <c r="E7" s="1595" t="s">
        <v>3881</v>
      </c>
      <c r="F7" s="79"/>
      <c r="G7" s="247"/>
      <c r="H7" s="248"/>
      <c r="I7" s="248"/>
      <c r="J7" s="248"/>
      <c r="K7" s="248"/>
      <c r="L7" s="248"/>
      <c r="M7" s="248"/>
      <c r="N7" s="248"/>
      <c r="O7" s="248"/>
      <c r="P7" s="122"/>
      <c r="Q7" s="122"/>
      <c r="R7" s="122"/>
      <c r="S7" s="122"/>
      <c r="T7" s="122"/>
      <c r="U7" s="122"/>
      <c r="V7" s="122"/>
      <c r="W7" s="248"/>
      <c r="X7" s="248"/>
      <c r="Y7" s="248"/>
      <c r="Z7" s="248"/>
      <c r="AA7" s="248"/>
      <c r="AB7" s="248"/>
      <c r="AC7" s="248"/>
      <c r="AD7" s="248"/>
      <c r="AE7" s="248"/>
      <c r="AF7" s="248"/>
      <c r="AG7" s="248"/>
      <c r="AH7" s="248"/>
      <c r="AI7" s="248"/>
      <c r="AJ7" s="248"/>
      <c r="AK7" s="248"/>
      <c r="AL7" s="248"/>
      <c r="AM7" s="248"/>
      <c r="AN7" s="248"/>
      <c r="AO7" s="248"/>
      <c r="AP7" s="248"/>
      <c r="AQ7" s="248"/>
      <c r="AR7" s="248"/>
      <c r="AS7" s="248"/>
      <c r="AT7" s="248"/>
      <c r="AU7" s="248"/>
      <c r="AV7" s="248"/>
      <c r="AW7" s="248"/>
      <c r="AX7" s="248"/>
      <c r="AY7" s="248"/>
      <c r="AZ7" s="247"/>
      <c r="BA7" s="249"/>
      <c r="BB7" s="249"/>
      <c r="BC7" s="249"/>
      <c r="BD7" s="249"/>
      <c r="BE7" s="122"/>
      <c r="BF7" s="122"/>
      <c r="BG7" s="122"/>
      <c r="BH7" s="122"/>
      <c r="BI7" s="122"/>
      <c r="BJ7" s="122"/>
      <c r="BK7" s="122"/>
      <c r="BL7" s="122"/>
      <c r="BM7" s="122"/>
      <c r="BN7" s="122"/>
    </row>
    <row r="8" spans="1:66" ht="18.75" customHeight="1" x14ac:dyDescent="0.2">
      <c r="A8" s="122">
        <v>1</v>
      </c>
      <c r="B8" s="423" t="s">
        <v>254</v>
      </c>
      <c r="C8" s="423" t="s">
        <v>3882</v>
      </c>
      <c r="D8" s="1596" t="s">
        <v>3882</v>
      </c>
      <c r="E8" s="1597" t="s">
        <v>3883</v>
      </c>
      <c r="F8" s="79" t="s">
        <v>651</v>
      </c>
      <c r="G8" s="247">
        <v>124.60500000000002</v>
      </c>
      <c r="H8" s="248"/>
      <c r="I8" s="248"/>
      <c r="J8" s="248">
        <v>9581</v>
      </c>
      <c r="K8" s="248"/>
      <c r="L8" s="248">
        <f t="shared" ref="L8:O8" si="0" xml:space="preserve"> H8*$G8</f>
        <v>0</v>
      </c>
      <c r="M8" s="248">
        <f t="shared" si="0"/>
        <v>0</v>
      </c>
      <c r="N8" s="248">
        <f t="shared" si="0"/>
        <v>1193840.5050000001</v>
      </c>
      <c r="O8" s="248">
        <f t="shared" si="0"/>
        <v>0</v>
      </c>
      <c r="P8" s="122"/>
      <c r="Q8" s="122"/>
      <c r="R8" s="122"/>
      <c r="S8" s="122"/>
      <c r="T8" s="122"/>
      <c r="U8" s="122"/>
      <c r="V8" s="122"/>
      <c r="W8" s="248">
        <f xml:space="preserve"> $H8</f>
        <v>0</v>
      </c>
      <c r="X8" s="248">
        <f xml:space="preserve"> $I8</f>
        <v>0</v>
      </c>
      <c r="Y8" s="248">
        <f xml:space="preserve"> $J8</f>
        <v>9581</v>
      </c>
      <c r="Z8" s="248">
        <f xml:space="preserve"> $K8</f>
        <v>0</v>
      </c>
      <c r="AA8" s="248">
        <f t="shared" ref="AA8:AD8" si="1" xml:space="preserve"> $V8*W8</f>
        <v>0</v>
      </c>
      <c r="AB8" s="248">
        <f t="shared" si="1"/>
        <v>0</v>
      </c>
      <c r="AC8" s="248">
        <f t="shared" si="1"/>
        <v>0</v>
      </c>
      <c r="AD8" s="248">
        <f t="shared" si="1"/>
        <v>0</v>
      </c>
      <c r="AE8" s="248"/>
      <c r="AF8" s="248"/>
      <c r="AG8" s="248"/>
      <c r="AH8" s="248"/>
      <c r="AI8" s="248"/>
      <c r="AJ8" s="248"/>
      <c r="AK8" s="248"/>
      <c r="AL8" s="248"/>
      <c r="AM8" s="248"/>
      <c r="AN8" s="248"/>
      <c r="AO8" s="248"/>
      <c r="AP8" s="248"/>
      <c r="AQ8" s="248"/>
      <c r="AR8" s="248">
        <f xml:space="preserve"> $H8</f>
        <v>0</v>
      </c>
      <c r="AS8" s="248">
        <f xml:space="preserve"> $I8</f>
        <v>0</v>
      </c>
      <c r="AT8" s="248">
        <f xml:space="preserve"> $J8</f>
        <v>9581</v>
      </c>
      <c r="AU8" s="248">
        <f xml:space="preserve"> $K8</f>
        <v>0</v>
      </c>
      <c r="AV8" s="248"/>
      <c r="AW8" s="248"/>
      <c r="AX8" s="248"/>
      <c r="AY8" s="248"/>
      <c r="AZ8" s="247">
        <f xml:space="preserve"> G8</f>
        <v>124.60500000000002</v>
      </c>
      <c r="BA8" s="249"/>
      <c r="BB8" s="249"/>
      <c r="BC8" s="249"/>
      <c r="BD8" s="249">
        <v>2</v>
      </c>
      <c r="BE8" s="122" t="s">
        <v>3911</v>
      </c>
      <c r="BF8" s="122"/>
      <c r="BG8" s="122" t="s">
        <v>651</v>
      </c>
      <c r="BH8" s="122"/>
      <c r="BI8" s="122" t="s">
        <v>3910</v>
      </c>
      <c r="BJ8" s="122" t="s">
        <v>66</v>
      </c>
      <c r="BK8" s="122"/>
      <c r="BL8" s="122"/>
      <c r="BM8" s="122"/>
      <c r="BN8" s="122"/>
    </row>
    <row r="9" spans="1:66" x14ac:dyDescent="0.2">
      <c r="A9" s="122"/>
      <c r="B9" s="423"/>
      <c r="C9" s="423"/>
      <c r="D9" s="1598"/>
      <c r="E9" s="1597" t="s">
        <v>3912</v>
      </c>
      <c r="F9" s="79"/>
      <c r="G9" s="247"/>
      <c r="H9" s="248"/>
      <c r="I9" s="248"/>
      <c r="J9" s="248"/>
      <c r="K9" s="248"/>
      <c r="L9" s="248"/>
      <c r="M9" s="248"/>
      <c r="N9" s="248"/>
      <c r="O9" s="248"/>
      <c r="P9" s="122"/>
      <c r="Q9" s="122"/>
      <c r="R9" s="122"/>
      <c r="S9" s="122"/>
      <c r="T9" s="122"/>
      <c r="U9" s="122"/>
      <c r="V9" s="122"/>
      <c r="W9" s="248"/>
      <c r="X9" s="248"/>
      <c r="Y9" s="248"/>
      <c r="Z9" s="248"/>
      <c r="AA9" s="248"/>
      <c r="AB9" s="248"/>
      <c r="AC9" s="248"/>
      <c r="AD9" s="248"/>
      <c r="AE9" s="248"/>
      <c r="AF9" s="248"/>
      <c r="AG9" s="248"/>
      <c r="AH9" s="248"/>
      <c r="AI9" s="248"/>
      <c r="AJ9" s="248"/>
      <c r="AK9" s="248"/>
      <c r="AL9" s="248"/>
      <c r="AM9" s="248"/>
      <c r="AN9" s="248"/>
      <c r="AO9" s="248"/>
      <c r="AP9" s="248"/>
      <c r="AQ9" s="248"/>
      <c r="AR9" s="248"/>
      <c r="AS9" s="248"/>
      <c r="AT9" s="248"/>
      <c r="AU9" s="248"/>
      <c r="AV9" s="248"/>
      <c r="AW9" s="248"/>
      <c r="AX9" s="248"/>
      <c r="AY9" s="248"/>
      <c r="AZ9" s="247"/>
      <c r="BA9" s="249"/>
      <c r="BB9" s="249"/>
      <c r="BC9" s="249"/>
      <c r="BD9" s="249"/>
      <c r="BE9" s="122"/>
      <c r="BF9" s="122"/>
      <c r="BG9" s="122"/>
      <c r="BH9" s="122"/>
      <c r="BI9" s="122"/>
      <c r="BJ9" s="122"/>
      <c r="BK9" s="122"/>
      <c r="BL9" s="122"/>
      <c r="BM9" s="122"/>
      <c r="BN9" s="122"/>
    </row>
    <row r="10" spans="1:66" x14ac:dyDescent="0.2">
      <c r="A10" s="122"/>
      <c r="B10" s="423"/>
      <c r="C10" s="423"/>
      <c r="D10" s="1598"/>
      <c r="E10" s="1597" t="s">
        <v>3913</v>
      </c>
      <c r="F10" s="79"/>
      <c r="G10" s="247"/>
      <c r="H10" s="248"/>
      <c r="I10" s="248"/>
      <c r="J10" s="248"/>
      <c r="K10" s="248"/>
      <c r="L10" s="248"/>
      <c r="M10" s="248"/>
      <c r="N10" s="248"/>
      <c r="O10" s="248"/>
      <c r="P10" s="122"/>
      <c r="Q10" s="122"/>
      <c r="R10" s="122"/>
      <c r="S10" s="122"/>
      <c r="T10" s="122"/>
      <c r="U10" s="122"/>
      <c r="V10" s="122"/>
      <c r="W10" s="248"/>
      <c r="X10" s="248"/>
      <c r="Y10" s="248"/>
      <c r="Z10" s="248"/>
      <c r="AA10" s="248"/>
      <c r="AB10" s="248"/>
      <c r="AC10" s="248"/>
      <c r="AD10" s="248"/>
      <c r="AE10" s="248"/>
      <c r="AF10" s="248"/>
      <c r="AG10" s="248"/>
      <c r="AH10" s="248"/>
      <c r="AI10" s="248"/>
      <c r="AJ10" s="248"/>
      <c r="AK10" s="248"/>
      <c r="AL10" s="248"/>
      <c r="AM10" s="248"/>
      <c r="AN10" s="248"/>
      <c r="AO10" s="248"/>
      <c r="AP10" s="248"/>
      <c r="AQ10" s="248"/>
      <c r="AR10" s="248"/>
      <c r="AS10" s="248"/>
      <c r="AT10" s="248"/>
      <c r="AU10" s="248"/>
      <c r="AV10" s="248"/>
      <c r="AW10" s="248"/>
      <c r="AX10" s="248"/>
      <c r="AY10" s="248"/>
      <c r="AZ10" s="247"/>
      <c r="BA10" s="249"/>
      <c r="BB10" s="249"/>
      <c r="BC10" s="249"/>
      <c r="BD10" s="249"/>
      <c r="BE10" s="122"/>
      <c r="BF10" s="122"/>
      <c r="BG10" s="122"/>
      <c r="BH10" s="122"/>
      <c r="BI10" s="122"/>
      <c r="BJ10" s="122"/>
      <c r="BK10" s="122"/>
      <c r="BL10" s="122"/>
      <c r="BM10" s="122"/>
      <c r="BN10" s="122"/>
    </row>
    <row r="11" spans="1:66" x14ac:dyDescent="0.2">
      <c r="A11" s="122"/>
      <c r="B11" s="423"/>
      <c r="C11" s="423"/>
      <c r="D11" s="1598"/>
      <c r="E11" s="1597" t="s">
        <v>3914</v>
      </c>
      <c r="F11" s="79"/>
      <c r="G11" s="247"/>
      <c r="H11" s="248"/>
      <c r="I11" s="248"/>
      <c r="J11" s="248"/>
      <c r="K11" s="248"/>
      <c r="L11" s="248"/>
      <c r="M11" s="248"/>
      <c r="N11" s="248"/>
      <c r="O11" s="248"/>
      <c r="P11" s="122"/>
      <c r="Q11" s="122"/>
      <c r="R11" s="122"/>
      <c r="S11" s="122"/>
      <c r="T11" s="122"/>
      <c r="U11" s="122"/>
      <c r="V11" s="122"/>
      <c r="W11" s="248"/>
      <c r="X11" s="248"/>
      <c r="Y11" s="248"/>
      <c r="Z11" s="248"/>
      <c r="AA11" s="248"/>
      <c r="AB11" s="248"/>
      <c r="AC11" s="248"/>
      <c r="AD11" s="248"/>
      <c r="AE11" s="248"/>
      <c r="AF11" s="248"/>
      <c r="AG11" s="248"/>
      <c r="AH11" s="248"/>
      <c r="AI11" s="248"/>
      <c r="AJ11" s="248"/>
      <c r="AK11" s="248"/>
      <c r="AL11" s="248"/>
      <c r="AM11" s="248"/>
      <c r="AN11" s="248"/>
      <c r="AO11" s="248"/>
      <c r="AP11" s="248"/>
      <c r="AQ11" s="248"/>
      <c r="AR11" s="248"/>
      <c r="AS11" s="248"/>
      <c r="AT11" s="248"/>
      <c r="AU11" s="248"/>
      <c r="AV11" s="248"/>
      <c r="AW11" s="248"/>
      <c r="AX11" s="248"/>
      <c r="AY11" s="248"/>
      <c r="AZ11" s="247"/>
      <c r="BA11" s="249"/>
      <c r="BB11" s="249"/>
      <c r="BC11" s="249"/>
      <c r="BD11" s="249"/>
      <c r="BE11" s="122"/>
      <c r="BF11" s="122"/>
      <c r="BG11" s="122"/>
      <c r="BH11" s="122"/>
      <c r="BI11" s="122"/>
      <c r="BJ11" s="122"/>
      <c r="BK11" s="122"/>
      <c r="BL11" s="122"/>
      <c r="BM11" s="122"/>
      <c r="BN11" s="122"/>
    </row>
    <row r="12" spans="1:66" x14ac:dyDescent="0.2">
      <c r="A12" s="122"/>
      <c r="B12" s="423"/>
      <c r="C12" s="423"/>
      <c r="D12" s="1598"/>
      <c r="E12" s="1597" t="s">
        <v>3915</v>
      </c>
      <c r="F12" s="79"/>
      <c r="G12" s="247"/>
      <c r="H12" s="248"/>
      <c r="I12" s="248"/>
      <c r="J12" s="248"/>
      <c r="K12" s="248"/>
      <c r="L12" s="248"/>
      <c r="M12" s="248"/>
      <c r="N12" s="248"/>
      <c r="O12" s="248"/>
      <c r="P12" s="122"/>
      <c r="Q12" s="122"/>
      <c r="R12" s="122"/>
      <c r="S12" s="122"/>
      <c r="T12" s="122"/>
      <c r="U12" s="122"/>
      <c r="V12" s="122"/>
      <c r="W12" s="248"/>
      <c r="X12" s="248"/>
      <c r="Y12" s="248"/>
      <c r="Z12" s="248"/>
      <c r="AA12" s="248"/>
      <c r="AB12" s="248"/>
      <c r="AC12" s="248"/>
      <c r="AD12" s="248"/>
      <c r="AE12" s="248"/>
      <c r="AF12" s="248"/>
      <c r="AG12" s="248"/>
      <c r="AH12" s="248"/>
      <c r="AI12" s="248"/>
      <c r="AJ12" s="248"/>
      <c r="AK12" s="248"/>
      <c r="AL12" s="248"/>
      <c r="AM12" s="248"/>
      <c r="AN12" s="248"/>
      <c r="AO12" s="248"/>
      <c r="AP12" s="248"/>
      <c r="AQ12" s="248"/>
      <c r="AR12" s="248"/>
      <c r="AS12" s="248"/>
      <c r="AT12" s="248"/>
      <c r="AU12" s="248"/>
      <c r="AV12" s="248"/>
      <c r="AW12" s="248"/>
      <c r="AX12" s="248"/>
      <c r="AY12" s="248"/>
      <c r="AZ12" s="247"/>
      <c r="BA12" s="249"/>
      <c r="BB12" s="249"/>
      <c r="BC12" s="249"/>
      <c r="BD12" s="249"/>
      <c r="BE12" s="122"/>
      <c r="BF12" s="122"/>
      <c r="BG12" s="122"/>
      <c r="BH12" s="122"/>
      <c r="BI12" s="122"/>
      <c r="BJ12" s="122"/>
      <c r="BK12" s="122"/>
      <c r="BL12" s="122"/>
      <c r="BM12" s="122"/>
      <c r="BN12" s="122"/>
    </row>
    <row r="13" spans="1:66" x14ac:dyDescent="0.2">
      <c r="A13" s="122"/>
      <c r="B13" s="423"/>
      <c r="C13" s="423"/>
      <c r="D13" s="1598"/>
      <c r="E13" s="1597" t="s">
        <v>3916</v>
      </c>
      <c r="F13" s="79"/>
      <c r="G13" s="247"/>
      <c r="H13" s="248"/>
      <c r="I13" s="248"/>
      <c r="J13" s="248"/>
      <c r="K13" s="248"/>
      <c r="L13" s="248"/>
      <c r="M13" s="248"/>
      <c r="N13" s="248"/>
      <c r="O13" s="248"/>
      <c r="P13" s="122"/>
      <c r="Q13" s="122"/>
      <c r="R13" s="122"/>
      <c r="S13" s="122"/>
      <c r="T13" s="122"/>
      <c r="U13" s="122"/>
      <c r="V13" s="122"/>
      <c r="W13" s="248"/>
      <c r="X13" s="248"/>
      <c r="Y13" s="248"/>
      <c r="Z13" s="248"/>
      <c r="AA13" s="248"/>
      <c r="AB13" s="248"/>
      <c r="AC13" s="248"/>
      <c r="AD13" s="248"/>
      <c r="AE13" s="248"/>
      <c r="AF13" s="248"/>
      <c r="AG13" s="248"/>
      <c r="AH13" s="248"/>
      <c r="AI13" s="248"/>
      <c r="AJ13" s="248"/>
      <c r="AK13" s="248"/>
      <c r="AL13" s="248"/>
      <c r="AM13" s="248"/>
      <c r="AN13" s="248"/>
      <c r="AO13" s="248"/>
      <c r="AP13" s="248"/>
      <c r="AQ13" s="248"/>
      <c r="AR13" s="248"/>
      <c r="AS13" s="248"/>
      <c r="AT13" s="248"/>
      <c r="AU13" s="248"/>
      <c r="AV13" s="248"/>
      <c r="AW13" s="248"/>
      <c r="AX13" s="248"/>
      <c r="AY13" s="248"/>
      <c r="AZ13" s="247"/>
      <c r="BA13" s="249"/>
      <c r="BB13" s="249"/>
      <c r="BC13" s="249"/>
      <c r="BD13" s="249"/>
      <c r="BE13" s="122"/>
      <c r="BF13" s="122"/>
      <c r="BG13" s="122"/>
      <c r="BH13" s="122"/>
      <c r="BI13" s="122"/>
      <c r="BJ13" s="122"/>
      <c r="BK13" s="122"/>
      <c r="BL13" s="122"/>
      <c r="BM13" s="122"/>
      <c r="BN13" s="122"/>
    </row>
    <row r="14" spans="1:66" x14ac:dyDescent="0.2">
      <c r="A14" s="122"/>
      <c r="B14" s="423"/>
      <c r="C14" s="423"/>
      <c r="D14" s="1598"/>
      <c r="E14" s="1597" t="s">
        <v>3917</v>
      </c>
      <c r="F14" s="79"/>
      <c r="G14" s="247"/>
      <c r="H14" s="248"/>
      <c r="I14" s="248"/>
      <c r="J14" s="248"/>
      <c r="K14" s="248"/>
      <c r="L14" s="248"/>
      <c r="M14" s="248"/>
      <c r="N14" s="248"/>
      <c r="O14" s="248"/>
      <c r="P14" s="122"/>
      <c r="Q14" s="122"/>
      <c r="R14" s="122"/>
      <c r="S14" s="122"/>
      <c r="T14" s="122"/>
      <c r="U14" s="122"/>
      <c r="V14" s="122"/>
      <c r="W14" s="248"/>
      <c r="X14" s="248"/>
      <c r="Y14" s="248"/>
      <c r="Z14" s="248"/>
      <c r="AA14" s="248"/>
      <c r="AB14" s="248"/>
      <c r="AC14" s="248"/>
      <c r="AD14" s="248"/>
      <c r="AE14" s="248"/>
      <c r="AF14" s="248"/>
      <c r="AG14" s="248"/>
      <c r="AH14" s="248"/>
      <c r="AI14" s="248"/>
      <c r="AJ14" s="248"/>
      <c r="AK14" s="248"/>
      <c r="AL14" s="248"/>
      <c r="AM14" s="248"/>
      <c r="AN14" s="248"/>
      <c r="AO14" s="248"/>
      <c r="AP14" s="248"/>
      <c r="AQ14" s="248"/>
      <c r="AR14" s="248"/>
      <c r="AS14" s="248"/>
      <c r="AT14" s="248"/>
      <c r="AU14" s="248"/>
      <c r="AV14" s="248"/>
      <c r="AW14" s="248"/>
      <c r="AX14" s="248"/>
      <c r="AY14" s="248"/>
      <c r="AZ14" s="247"/>
      <c r="BA14" s="249"/>
      <c r="BB14" s="249"/>
      <c r="BC14" s="249"/>
      <c r="BD14" s="249"/>
      <c r="BE14" s="122"/>
      <c r="BF14" s="122"/>
      <c r="BG14" s="122"/>
      <c r="BH14" s="122"/>
      <c r="BI14" s="122"/>
      <c r="BJ14" s="122"/>
      <c r="BK14" s="122"/>
      <c r="BL14" s="122"/>
      <c r="BM14" s="122"/>
      <c r="BN14" s="122"/>
    </row>
    <row r="15" spans="1:66" x14ac:dyDescent="0.2">
      <c r="A15" s="122"/>
      <c r="B15" s="423"/>
      <c r="C15" s="423"/>
      <c r="D15" s="1598"/>
      <c r="E15" s="1597" t="s">
        <v>3918</v>
      </c>
      <c r="F15" s="79"/>
      <c r="G15" s="247"/>
      <c r="H15" s="248"/>
      <c r="I15" s="248"/>
      <c r="J15" s="248"/>
      <c r="K15" s="248"/>
      <c r="L15" s="248"/>
      <c r="M15" s="248"/>
      <c r="N15" s="248"/>
      <c r="O15" s="248"/>
      <c r="P15" s="122"/>
      <c r="Q15" s="122"/>
      <c r="R15" s="122"/>
      <c r="S15" s="122"/>
      <c r="T15" s="122"/>
      <c r="U15" s="122"/>
      <c r="V15" s="122"/>
      <c r="W15" s="248"/>
      <c r="X15" s="248"/>
      <c r="Y15" s="248"/>
      <c r="Z15" s="248"/>
      <c r="AA15" s="248"/>
      <c r="AB15" s="248"/>
      <c r="AC15" s="248"/>
      <c r="AD15" s="248"/>
      <c r="AE15" s="248"/>
      <c r="AF15" s="248"/>
      <c r="AG15" s="248"/>
      <c r="AH15" s="248"/>
      <c r="AI15" s="248"/>
      <c r="AJ15" s="248"/>
      <c r="AK15" s="248"/>
      <c r="AL15" s="248"/>
      <c r="AM15" s="248"/>
      <c r="AN15" s="248"/>
      <c r="AO15" s="248"/>
      <c r="AP15" s="248"/>
      <c r="AQ15" s="248"/>
      <c r="AR15" s="248"/>
      <c r="AS15" s="248"/>
      <c r="AT15" s="248"/>
      <c r="AU15" s="248"/>
      <c r="AV15" s="248"/>
      <c r="AW15" s="248"/>
      <c r="AX15" s="248"/>
      <c r="AY15" s="248"/>
      <c r="AZ15" s="247"/>
      <c r="BA15" s="249"/>
      <c r="BB15" s="249"/>
      <c r="BC15" s="249"/>
      <c r="BD15" s="249"/>
      <c r="BE15" s="122"/>
      <c r="BF15" s="122"/>
      <c r="BG15" s="122"/>
      <c r="BH15" s="122"/>
      <c r="BI15" s="122"/>
      <c r="BJ15" s="122"/>
      <c r="BK15" s="122"/>
      <c r="BL15" s="122"/>
      <c r="BM15" s="122"/>
      <c r="BN15" s="122"/>
    </row>
    <row r="16" spans="1:66" x14ac:dyDescent="0.2">
      <c r="A16" s="122"/>
      <c r="B16" s="423"/>
      <c r="C16" s="423"/>
      <c r="D16" s="1598"/>
      <c r="E16" s="1597" t="s">
        <v>3919</v>
      </c>
      <c r="F16" s="79"/>
      <c r="G16" s="247"/>
      <c r="H16" s="248"/>
      <c r="I16" s="248"/>
      <c r="J16" s="248"/>
      <c r="K16" s="248"/>
      <c r="L16" s="248"/>
      <c r="M16" s="248"/>
      <c r="N16" s="248"/>
      <c r="O16" s="248"/>
      <c r="P16" s="122"/>
      <c r="Q16" s="122"/>
      <c r="R16" s="122"/>
      <c r="S16" s="122"/>
      <c r="T16" s="122"/>
      <c r="U16" s="122"/>
      <c r="V16" s="122"/>
      <c r="W16" s="248"/>
      <c r="X16" s="248"/>
      <c r="Y16" s="248"/>
      <c r="Z16" s="248"/>
      <c r="AA16" s="248"/>
      <c r="AB16" s="248"/>
      <c r="AC16" s="248"/>
      <c r="AD16" s="248"/>
      <c r="AE16" s="248"/>
      <c r="AF16" s="248"/>
      <c r="AG16" s="248"/>
      <c r="AH16" s="248"/>
      <c r="AI16" s="248"/>
      <c r="AJ16" s="248"/>
      <c r="AK16" s="248"/>
      <c r="AL16" s="248"/>
      <c r="AM16" s="248"/>
      <c r="AN16" s="248"/>
      <c r="AO16" s="248"/>
      <c r="AP16" s="248"/>
      <c r="AQ16" s="248"/>
      <c r="AR16" s="248"/>
      <c r="AS16" s="248"/>
      <c r="AT16" s="248"/>
      <c r="AU16" s="248"/>
      <c r="AV16" s="248"/>
      <c r="AW16" s="248"/>
      <c r="AX16" s="248"/>
      <c r="AY16" s="248"/>
      <c r="AZ16" s="247"/>
      <c r="BA16" s="249"/>
      <c r="BB16" s="249"/>
      <c r="BC16" s="249"/>
      <c r="BD16" s="249"/>
      <c r="BE16" s="122"/>
      <c r="BF16" s="122"/>
      <c r="BG16" s="122"/>
      <c r="BH16" s="122"/>
      <c r="BI16" s="122"/>
      <c r="BJ16" s="122"/>
      <c r="BK16" s="122"/>
      <c r="BL16" s="122"/>
      <c r="BM16" s="122"/>
      <c r="BN16" s="122"/>
    </row>
    <row r="17" spans="1:66" ht="21" customHeight="1" x14ac:dyDescent="0.2">
      <c r="A17" s="122">
        <v>2</v>
      </c>
      <c r="B17" s="423" t="s">
        <v>254</v>
      </c>
      <c r="C17" s="423" t="s">
        <v>3884</v>
      </c>
      <c r="D17" s="1596" t="s">
        <v>3884</v>
      </c>
      <c r="E17" s="1597" t="s">
        <v>3885</v>
      </c>
      <c r="F17" s="79" t="s">
        <v>651</v>
      </c>
      <c r="G17" s="247">
        <v>47.223999999999997</v>
      </c>
      <c r="H17" s="248"/>
      <c r="I17" s="248"/>
      <c r="J17" s="248">
        <v>14827</v>
      </c>
      <c r="K17" s="248"/>
      <c r="L17" s="248">
        <f t="shared" ref="L17:O17" si="2" xml:space="preserve"> H17*$G17</f>
        <v>0</v>
      </c>
      <c r="M17" s="248">
        <f t="shared" si="2"/>
        <v>0</v>
      </c>
      <c r="N17" s="248">
        <f t="shared" si="2"/>
        <v>700190.24799999991</v>
      </c>
      <c r="O17" s="248">
        <f t="shared" si="2"/>
        <v>0</v>
      </c>
      <c r="P17" s="122"/>
      <c r="Q17" s="122"/>
      <c r="R17" s="122"/>
      <c r="S17" s="122"/>
      <c r="T17" s="122"/>
      <c r="U17" s="122"/>
      <c r="V17" s="122"/>
      <c r="W17" s="248">
        <f xml:space="preserve"> $H17</f>
        <v>0</v>
      </c>
      <c r="X17" s="248">
        <f xml:space="preserve"> $I17</f>
        <v>0</v>
      </c>
      <c r="Y17" s="248">
        <f xml:space="preserve"> $J17</f>
        <v>14827</v>
      </c>
      <c r="Z17" s="248">
        <f xml:space="preserve"> $K17</f>
        <v>0</v>
      </c>
      <c r="AA17" s="248">
        <f t="shared" ref="AA17:AD17" si="3" xml:space="preserve"> $V17*W17</f>
        <v>0</v>
      </c>
      <c r="AB17" s="248">
        <f t="shared" si="3"/>
        <v>0</v>
      </c>
      <c r="AC17" s="248">
        <f t="shared" si="3"/>
        <v>0</v>
      </c>
      <c r="AD17" s="248">
        <f t="shared" si="3"/>
        <v>0</v>
      </c>
      <c r="AE17" s="248"/>
      <c r="AF17" s="248"/>
      <c r="AG17" s="248"/>
      <c r="AH17" s="248"/>
      <c r="AI17" s="248"/>
      <c r="AJ17" s="248"/>
      <c r="AK17" s="248"/>
      <c r="AL17" s="248"/>
      <c r="AM17" s="248"/>
      <c r="AN17" s="248"/>
      <c r="AO17" s="248"/>
      <c r="AP17" s="248"/>
      <c r="AQ17" s="248"/>
      <c r="AR17" s="248">
        <f xml:space="preserve"> $H17</f>
        <v>0</v>
      </c>
      <c r="AS17" s="248">
        <f xml:space="preserve"> $I17</f>
        <v>0</v>
      </c>
      <c r="AT17" s="248">
        <f xml:space="preserve"> $J17</f>
        <v>14827</v>
      </c>
      <c r="AU17" s="248">
        <f xml:space="preserve"> $K17</f>
        <v>0</v>
      </c>
      <c r="AV17" s="248"/>
      <c r="AW17" s="248"/>
      <c r="AX17" s="248"/>
      <c r="AY17" s="248"/>
      <c r="AZ17" s="247">
        <f xml:space="preserve"> G17</f>
        <v>47.223999999999997</v>
      </c>
      <c r="BA17" s="249"/>
      <c r="BB17" s="249"/>
      <c r="BC17" s="249"/>
      <c r="BD17" s="249">
        <v>2</v>
      </c>
      <c r="BE17" s="122" t="s">
        <v>3920</v>
      </c>
      <c r="BF17" s="122"/>
      <c r="BG17" s="122" t="s">
        <v>651</v>
      </c>
      <c r="BH17" s="122"/>
      <c r="BI17" s="122" t="s">
        <v>3910</v>
      </c>
      <c r="BJ17" s="122" t="s">
        <v>66</v>
      </c>
      <c r="BK17" s="122"/>
      <c r="BL17" s="122"/>
      <c r="BM17" s="122"/>
      <c r="BN17" s="122"/>
    </row>
    <row r="18" spans="1:66" x14ac:dyDescent="0.2">
      <c r="A18" s="122"/>
      <c r="B18" s="423"/>
      <c r="C18" s="423"/>
      <c r="D18" s="1598"/>
      <c r="E18" s="1597" t="s">
        <v>3886</v>
      </c>
      <c r="F18" s="79"/>
      <c r="G18" s="247"/>
      <c r="H18" s="248"/>
      <c r="I18" s="248"/>
      <c r="J18" s="248"/>
      <c r="K18" s="248"/>
      <c r="L18" s="248"/>
      <c r="M18" s="248"/>
      <c r="N18" s="248"/>
      <c r="O18" s="248"/>
      <c r="P18" s="122"/>
      <c r="Q18" s="122"/>
      <c r="R18" s="122"/>
      <c r="S18" s="122"/>
      <c r="T18" s="122"/>
      <c r="U18" s="122"/>
      <c r="V18" s="122"/>
      <c r="W18" s="248"/>
      <c r="X18" s="248"/>
      <c r="Y18" s="248"/>
      <c r="Z18" s="248"/>
      <c r="AA18" s="248"/>
      <c r="AB18" s="248"/>
      <c r="AC18" s="248"/>
      <c r="AD18" s="248"/>
      <c r="AE18" s="248"/>
      <c r="AF18" s="248"/>
      <c r="AG18" s="248"/>
      <c r="AH18" s="248"/>
      <c r="AI18" s="248"/>
      <c r="AJ18" s="248"/>
      <c r="AK18" s="248"/>
      <c r="AL18" s="248"/>
      <c r="AM18" s="248"/>
      <c r="AN18" s="248"/>
      <c r="AO18" s="248"/>
      <c r="AP18" s="248"/>
      <c r="AQ18" s="248"/>
      <c r="AR18" s="248"/>
      <c r="AS18" s="248"/>
      <c r="AT18" s="248"/>
      <c r="AU18" s="248"/>
      <c r="AV18" s="248"/>
      <c r="AW18" s="248"/>
      <c r="AX18" s="248"/>
      <c r="AY18" s="248"/>
      <c r="AZ18" s="247"/>
      <c r="BA18" s="249"/>
      <c r="BB18" s="249"/>
      <c r="BC18" s="249"/>
      <c r="BD18" s="249"/>
      <c r="BE18" s="122"/>
      <c r="BF18" s="122"/>
      <c r="BG18" s="122"/>
      <c r="BH18" s="122"/>
      <c r="BI18" s="122"/>
      <c r="BJ18" s="122"/>
      <c r="BK18" s="122"/>
      <c r="BL18" s="122"/>
      <c r="BM18" s="122"/>
      <c r="BN18" s="122"/>
    </row>
    <row r="19" spans="1:66" x14ac:dyDescent="0.2">
      <c r="A19" s="122"/>
      <c r="B19" s="423"/>
      <c r="C19" s="423"/>
      <c r="D19" s="1598"/>
      <c r="E19" s="1597" t="s">
        <v>4028</v>
      </c>
      <c r="F19" s="79"/>
      <c r="G19" s="247"/>
      <c r="H19" s="248"/>
      <c r="I19" s="248"/>
      <c r="J19" s="248"/>
      <c r="K19" s="248"/>
      <c r="L19" s="248"/>
      <c r="M19" s="248"/>
      <c r="N19" s="248"/>
      <c r="O19" s="248"/>
      <c r="P19" s="122"/>
      <c r="Q19" s="122"/>
      <c r="R19" s="122"/>
      <c r="S19" s="122"/>
      <c r="T19" s="122"/>
      <c r="U19" s="122"/>
      <c r="V19" s="122"/>
      <c r="W19" s="248"/>
      <c r="X19" s="248"/>
      <c r="Y19" s="248"/>
      <c r="Z19" s="248"/>
      <c r="AA19" s="248"/>
      <c r="AB19" s="248"/>
      <c r="AC19" s="248"/>
      <c r="AD19" s="248"/>
      <c r="AE19" s="248"/>
      <c r="AF19" s="248"/>
      <c r="AG19" s="248"/>
      <c r="AH19" s="248"/>
      <c r="AI19" s="248"/>
      <c r="AJ19" s="248"/>
      <c r="AK19" s="248"/>
      <c r="AL19" s="248"/>
      <c r="AM19" s="248"/>
      <c r="AN19" s="248"/>
      <c r="AO19" s="248"/>
      <c r="AP19" s="248"/>
      <c r="AQ19" s="248"/>
      <c r="AR19" s="248"/>
      <c r="AS19" s="248"/>
      <c r="AT19" s="248"/>
      <c r="AU19" s="248"/>
      <c r="AV19" s="248"/>
      <c r="AW19" s="248"/>
      <c r="AX19" s="248"/>
      <c r="AY19" s="248"/>
      <c r="AZ19" s="247"/>
      <c r="BA19" s="249"/>
      <c r="BB19" s="249"/>
      <c r="BC19" s="249"/>
      <c r="BD19" s="249"/>
      <c r="BE19" s="122"/>
      <c r="BF19" s="122"/>
      <c r="BG19" s="122"/>
      <c r="BH19" s="122"/>
      <c r="BI19" s="122"/>
      <c r="BJ19" s="122"/>
      <c r="BK19" s="122"/>
      <c r="BL19" s="122"/>
      <c r="BM19" s="122"/>
      <c r="BN19" s="122"/>
    </row>
    <row r="20" spans="1:66" x14ac:dyDescent="0.2">
      <c r="A20" s="122"/>
      <c r="B20" s="423"/>
      <c r="C20" s="423"/>
      <c r="D20" s="1598"/>
      <c r="E20" s="1597" t="s">
        <v>4030</v>
      </c>
      <c r="F20" s="79"/>
      <c r="G20" s="247"/>
      <c r="H20" s="248"/>
      <c r="I20" s="248"/>
      <c r="J20" s="248"/>
      <c r="K20" s="248"/>
      <c r="L20" s="248"/>
      <c r="M20" s="248"/>
      <c r="N20" s="248"/>
      <c r="O20" s="248"/>
      <c r="P20" s="122"/>
      <c r="Q20" s="122"/>
      <c r="R20" s="122"/>
      <c r="S20" s="122"/>
      <c r="T20" s="122"/>
      <c r="U20" s="122"/>
      <c r="V20" s="122"/>
      <c r="W20" s="248"/>
      <c r="X20" s="248"/>
      <c r="Y20" s="248"/>
      <c r="Z20" s="248"/>
      <c r="AA20" s="248"/>
      <c r="AB20" s="248"/>
      <c r="AC20" s="248"/>
      <c r="AD20" s="248"/>
      <c r="AE20" s="248"/>
      <c r="AF20" s="248"/>
      <c r="AG20" s="248"/>
      <c r="AH20" s="248"/>
      <c r="AI20" s="248"/>
      <c r="AJ20" s="248"/>
      <c r="AK20" s="248"/>
      <c r="AL20" s="248"/>
      <c r="AM20" s="248"/>
      <c r="AN20" s="248"/>
      <c r="AO20" s="248"/>
      <c r="AP20" s="248"/>
      <c r="AQ20" s="248"/>
      <c r="AR20" s="248"/>
      <c r="AS20" s="248"/>
      <c r="AT20" s="248"/>
      <c r="AU20" s="248"/>
      <c r="AV20" s="248"/>
      <c r="AW20" s="248"/>
      <c r="AX20" s="248"/>
      <c r="AY20" s="248"/>
      <c r="AZ20" s="247"/>
      <c r="BA20" s="249"/>
      <c r="BB20" s="249"/>
      <c r="BC20" s="249"/>
      <c r="BD20" s="249"/>
      <c r="BE20" s="122"/>
      <c r="BF20" s="122"/>
      <c r="BG20" s="122"/>
      <c r="BH20" s="122"/>
      <c r="BI20" s="122"/>
      <c r="BJ20" s="122"/>
      <c r="BK20" s="122"/>
      <c r="BL20" s="122"/>
      <c r="BM20" s="122"/>
      <c r="BN20" s="122"/>
    </row>
    <row r="21" spans="1:66" x14ac:dyDescent="0.2">
      <c r="A21" s="122"/>
      <c r="B21" s="423"/>
      <c r="C21" s="423"/>
      <c r="D21" s="1598"/>
      <c r="E21" s="1597" t="s">
        <v>4031</v>
      </c>
      <c r="F21" s="79"/>
      <c r="G21" s="247"/>
      <c r="H21" s="248"/>
      <c r="I21" s="248"/>
      <c r="J21" s="248"/>
      <c r="K21" s="248"/>
      <c r="L21" s="248"/>
      <c r="M21" s="248"/>
      <c r="N21" s="248"/>
      <c r="O21" s="248"/>
      <c r="P21" s="122"/>
      <c r="Q21" s="122"/>
      <c r="R21" s="122"/>
      <c r="S21" s="122"/>
      <c r="T21" s="122"/>
      <c r="U21" s="122"/>
      <c r="V21" s="122"/>
      <c r="W21" s="248"/>
      <c r="X21" s="248"/>
      <c r="Y21" s="248"/>
      <c r="Z21" s="248"/>
      <c r="AA21" s="248"/>
      <c r="AB21" s="248"/>
      <c r="AC21" s="248"/>
      <c r="AD21" s="248"/>
      <c r="AE21" s="248"/>
      <c r="AF21" s="248"/>
      <c r="AG21" s="248"/>
      <c r="AH21" s="248"/>
      <c r="AI21" s="248"/>
      <c r="AJ21" s="248"/>
      <c r="AK21" s="248"/>
      <c r="AL21" s="248"/>
      <c r="AM21" s="248"/>
      <c r="AN21" s="248"/>
      <c r="AO21" s="248"/>
      <c r="AP21" s="248"/>
      <c r="AQ21" s="248"/>
      <c r="AR21" s="248"/>
      <c r="AS21" s="248"/>
      <c r="AT21" s="248"/>
      <c r="AU21" s="248"/>
      <c r="AV21" s="248"/>
      <c r="AW21" s="248"/>
      <c r="AX21" s="248"/>
      <c r="AY21" s="248"/>
      <c r="AZ21" s="247"/>
      <c r="BA21" s="249"/>
      <c r="BB21" s="249"/>
      <c r="BC21" s="249"/>
      <c r="BD21" s="249"/>
      <c r="BE21" s="122"/>
      <c r="BF21" s="122"/>
      <c r="BG21" s="122"/>
      <c r="BH21" s="122"/>
      <c r="BI21" s="122"/>
      <c r="BJ21" s="122"/>
      <c r="BK21" s="122"/>
      <c r="BL21" s="122"/>
      <c r="BM21" s="122"/>
      <c r="BN21" s="122"/>
    </row>
    <row r="22" spans="1:66" x14ac:dyDescent="0.2">
      <c r="A22" s="122"/>
      <c r="B22" s="423"/>
      <c r="C22" s="423"/>
      <c r="D22" s="1598"/>
      <c r="E22" s="1597" t="s">
        <v>4032</v>
      </c>
      <c r="F22" s="79"/>
      <c r="G22" s="247"/>
      <c r="H22" s="248"/>
      <c r="I22" s="248"/>
      <c r="J22" s="248"/>
      <c r="K22" s="248"/>
      <c r="L22" s="248"/>
      <c r="M22" s="248"/>
      <c r="N22" s="248"/>
      <c r="O22" s="248"/>
      <c r="P22" s="122"/>
      <c r="Q22" s="122"/>
      <c r="R22" s="122"/>
      <c r="S22" s="122"/>
      <c r="T22" s="122"/>
      <c r="U22" s="122"/>
      <c r="V22" s="122"/>
      <c r="W22" s="248"/>
      <c r="X22" s="248"/>
      <c r="Y22" s="248"/>
      <c r="Z22" s="248"/>
      <c r="AA22" s="248"/>
      <c r="AB22" s="248"/>
      <c r="AC22" s="248"/>
      <c r="AD22" s="248"/>
      <c r="AE22" s="248"/>
      <c r="AF22" s="248"/>
      <c r="AG22" s="248"/>
      <c r="AH22" s="248"/>
      <c r="AI22" s="248"/>
      <c r="AJ22" s="248"/>
      <c r="AK22" s="248"/>
      <c r="AL22" s="248"/>
      <c r="AM22" s="248"/>
      <c r="AN22" s="248"/>
      <c r="AO22" s="248"/>
      <c r="AP22" s="248"/>
      <c r="AQ22" s="248"/>
      <c r="AR22" s="248"/>
      <c r="AS22" s="248"/>
      <c r="AT22" s="248"/>
      <c r="AU22" s="248"/>
      <c r="AV22" s="248"/>
      <c r="AW22" s="248"/>
      <c r="AX22" s="248"/>
      <c r="AY22" s="248"/>
      <c r="AZ22" s="247"/>
      <c r="BA22" s="249"/>
      <c r="BB22" s="249"/>
      <c r="BC22" s="249"/>
      <c r="BD22" s="249"/>
      <c r="BE22" s="122"/>
      <c r="BF22" s="122"/>
      <c r="BG22" s="122"/>
      <c r="BH22" s="122"/>
      <c r="BI22" s="122"/>
      <c r="BJ22" s="122"/>
      <c r="BK22" s="122"/>
      <c r="BL22" s="122"/>
      <c r="BM22" s="122"/>
      <c r="BN22" s="122"/>
    </row>
    <row r="23" spans="1:66" x14ac:dyDescent="0.2">
      <c r="A23" s="122"/>
      <c r="B23" s="423"/>
      <c r="C23" s="423"/>
      <c r="D23" s="1598"/>
      <c r="E23" s="1597" t="s">
        <v>4033</v>
      </c>
      <c r="F23" s="79"/>
      <c r="G23" s="247"/>
      <c r="H23" s="248"/>
      <c r="I23" s="248"/>
      <c r="J23" s="248"/>
      <c r="K23" s="248"/>
      <c r="L23" s="248"/>
      <c r="M23" s="248"/>
      <c r="N23" s="248"/>
      <c r="O23" s="248"/>
      <c r="P23" s="122"/>
      <c r="Q23" s="122"/>
      <c r="R23" s="122"/>
      <c r="S23" s="122"/>
      <c r="T23" s="122"/>
      <c r="U23" s="122"/>
      <c r="V23" s="122"/>
      <c r="W23" s="248"/>
      <c r="X23" s="248"/>
      <c r="Y23" s="248"/>
      <c r="Z23" s="248"/>
      <c r="AA23" s="248"/>
      <c r="AB23" s="248"/>
      <c r="AC23" s="248"/>
      <c r="AD23" s="248"/>
      <c r="AE23" s="248"/>
      <c r="AF23" s="248"/>
      <c r="AG23" s="248"/>
      <c r="AH23" s="248"/>
      <c r="AI23" s="248"/>
      <c r="AJ23" s="248"/>
      <c r="AK23" s="248"/>
      <c r="AL23" s="248"/>
      <c r="AM23" s="248"/>
      <c r="AN23" s="248"/>
      <c r="AO23" s="248"/>
      <c r="AP23" s="248"/>
      <c r="AQ23" s="248"/>
      <c r="AR23" s="248"/>
      <c r="AS23" s="248"/>
      <c r="AT23" s="248"/>
      <c r="AU23" s="248"/>
      <c r="AV23" s="248"/>
      <c r="AW23" s="248"/>
      <c r="AX23" s="248"/>
      <c r="AY23" s="248"/>
      <c r="AZ23" s="247"/>
      <c r="BA23" s="249"/>
      <c r="BB23" s="249"/>
      <c r="BC23" s="249"/>
      <c r="BD23" s="249"/>
      <c r="BE23" s="122"/>
      <c r="BF23" s="122"/>
      <c r="BG23" s="122"/>
      <c r="BH23" s="122"/>
      <c r="BI23" s="122"/>
      <c r="BJ23" s="122"/>
      <c r="BK23" s="122"/>
      <c r="BL23" s="122"/>
      <c r="BM23" s="122"/>
      <c r="BN23" s="122"/>
    </row>
    <row r="24" spans="1:66" x14ac:dyDescent="0.2">
      <c r="A24" s="122"/>
      <c r="B24" s="423"/>
      <c r="C24" s="423"/>
      <c r="D24" s="1598"/>
      <c r="E24" s="1597" t="s">
        <v>4034</v>
      </c>
      <c r="F24" s="79"/>
      <c r="G24" s="247"/>
      <c r="H24" s="248"/>
      <c r="I24" s="248"/>
      <c r="J24" s="248"/>
      <c r="K24" s="248"/>
      <c r="L24" s="248"/>
      <c r="M24" s="248"/>
      <c r="N24" s="248"/>
      <c r="O24" s="248"/>
      <c r="P24" s="122"/>
      <c r="Q24" s="122"/>
      <c r="R24" s="122"/>
      <c r="S24" s="122"/>
      <c r="T24" s="122"/>
      <c r="U24" s="122"/>
      <c r="V24" s="122"/>
      <c r="W24" s="248"/>
      <c r="X24" s="248"/>
      <c r="Y24" s="248"/>
      <c r="Z24" s="248"/>
      <c r="AA24" s="248"/>
      <c r="AB24" s="248"/>
      <c r="AC24" s="248"/>
      <c r="AD24" s="248"/>
      <c r="AE24" s="248"/>
      <c r="AF24" s="248"/>
      <c r="AG24" s="248"/>
      <c r="AH24" s="248"/>
      <c r="AI24" s="248"/>
      <c r="AJ24" s="248"/>
      <c r="AK24" s="248"/>
      <c r="AL24" s="248"/>
      <c r="AM24" s="248"/>
      <c r="AN24" s="248"/>
      <c r="AO24" s="248"/>
      <c r="AP24" s="248"/>
      <c r="AQ24" s="248"/>
      <c r="AR24" s="248"/>
      <c r="AS24" s="248"/>
      <c r="AT24" s="248"/>
      <c r="AU24" s="248"/>
      <c r="AV24" s="248"/>
      <c r="AW24" s="248"/>
      <c r="AX24" s="248"/>
      <c r="AY24" s="248"/>
      <c r="AZ24" s="247"/>
      <c r="BA24" s="249"/>
      <c r="BB24" s="249"/>
      <c r="BC24" s="249"/>
      <c r="BD24" s="249"/>
      <c r="BE24" s="122"/>
      <c r="BF24" s="122"/>
      <c r="BG24" s="122"/>
      <c r="BH24" s="122"/>
      <c r="BI24" s="122"/>
      <c r="BJ24" s="122"/>
      <c r="BK24" s="122"/>
      <c r="BL24" s="122"/>
      <c r="BM24" s="122"/>
      <c r="BN24" s="122"/>
    </row>
    <row r="25" spans="1:66" x14ac:dyDescent="0.2">
      <c r="A25" s="122"/>
      <c r="B25" s="423"/>
      <c r="C25" s="423"/>
      <c r="D25" s="1598"/>
      <c r="E25" s="1597" t="s">
        <v>4035</v>
      </c>
      <c r="F25" s="79"/>
      <c r="G25" s="247"/>
      <c r="H25" s="248"/>
      <c r="I25" s="248"/>
      <c r="J25" s="248"/>
      <c r="K25" s="248"/>
      <c r="L25" s="248"/>
      <c r="M25" s="248"/>
      <c r="N25" s="248"/>
      <c r="O25" s="248"/>
      <c r="P25" s="122"/>
      <c r="Q25" s="122"/>
      <c r="R25" s="122"/>
      <c r="S25" s="122"/>
      <c r="T25" s="122"/>
      <c r="U25" s="122"/>
      <c r="V25" s="122"/>
      <c r="W25" s="248"/>
      <c r="X25" s="248"/>
      <c r="Y25" s="248"/>
      <c r="Z25" s="248"/>
      <c r="AA25" s="248"/>
      <c r="AB25" s="248"/>
      <c r="AC25" s="248"/>
      <c r="AD25" s="248"/>
      <c r="AE25" s="248"/>
      <c r="AF25" s="248"/>
      <c r="AG25" s="248"/>
      <c r="AH25" s="248"/>
      <c r="AI25" s="248"/>
      <c r="AJ25" s="248"/>
      <c r="AK25" s="248"/>
      <c r="AL25" s="248"/>
      <c r="AM25" s="248"/>
      <c r="AN25" s="248"/>
      <c r="AO25" s="248"/>
      <c r="AP25" s="248"/>
      <c r="AQ25" s="248"/>
      <c r="AR25" s="248"/>
      <c r="AS25" s="248"/>
      <c r="AT25" s="248"/>
      <c r="AU25" s="248"/>
      <c r="AV25" s="248"/>
      <c r="AW25" s="248"/>
      <c r="AX25" s="248"/>
      <c r="AY25" s="248"/>
      <c r="AZ25" s="247"/>
      <c r="BA25" s="249"/>
      <c r="BB25" s="249"/>
      <c r="BC25" s="249"/>
      <c r="BD25" s="249"/>
      <c r="BE25" s="122"/>
      <c r="BF25" s="122"/>
      <c r="BG25" s="122"/>
      <c r="BH25" s="122"/>
      <c r="BI25" s="122"/>
      <c r="BJ25" s="122"/>
      <c r="BK25" s="122"/>
      <c r="BL25" s="122"/>
      <c r="BM25" s="122"/>
      <c r="BN25" s="122"/>
    </row>
    <row r="26" spans="1:66" x14ac:dyDescent="0.2">
      <c r="A26" s="122"/>
      <c r="B26" s="423"/>
      <c r="C26" s="423"/>
      <c r="D26" s="1598"/>
      <c r="E26" s="1597" t="s">
        <v>4036</v>
      </c>
      <c r="F26" s="79"/>
      <c r="G26" s="247"/>
      <c r="H26" s="248"/>
      <c r="I26" s="248"/>
      <c r="J26" s="248"/>
      <c r="K26" s="248"/>
      <c r="L26" s="248"/>
      <c r="M26" s="248"/>
      <c r="N26" s="248"/>
      <c r="O26" s="248"/>
      <c r="P26" s="122"/>
      <c r="Q26" s="122"/>
      <c r="R26" s="122"/>
      <c r="S26" s="122"/>
      <c r="T26" s="122"/>
      <c r="U26" s="122"/>
      <c r="V26" s="122"/>
      <c r="W26" s="248"/>
      <c r="X26" s="248"/>
      <c r="Y26" s="248"/>
      <c r="Z26" s="248"/>
      <c r="AA26" s="248"/>
      <c r="AB26" s="248"/>
      <c r="AC26" s="248"/>
      <c r="AD26" s="248"/>
      <c r="AE26" s="248"/>
      <c r="AF26" s="248"/>
      <c r="AG26" s="248"/>
      <c r="AH26" s="248"/>
      <c r="AI26" s="248"/>
      <c r="AJ26" s="248"/>
      <c r="AK26" s="248"/>
      <c r="AL26" s="248"/>
      <c r="AM26" s="248"/>
      <c r="AN26" s="248"/>
      <c r="AO26" s="248"/>
      <c r="AP26" s="248"/>
      <c r="AQ26" s="248"/>
      <c r="AR26" s="248"/>
      <c r="AS26" s="248"/>
      <c r="AT26" s="248"/>
      <c r="AU26" s="248"/>
      <c r="AV26" s="248"/>
      <c r="AW26" s="248"/>
      <c r="AX26" s="248"/>
      <c r="AY26" s="248"/>
      <c r="AZ26" s="247"/>
      <c r="BA26" s="249"/>
      <c r="BB26" s="249"/>
      <c r="BC26" s="249"/>
      <c r="BD26" s="249"/>
      <c r="BE26" s="122"/>
      <c r="BF26" s="122"/>
      <c r="BG26" s="122"/>
      <c r="BH26" s="122"/>
      <c r="BI26" s="122"/>
      <c r="BJ26" s="122"/>
      <c r="BK26" s="122"/>
      <c r="BL26" s="122"/>
      <c r="BM26" s="122"/>
      <c r="BN26" s="122"/>
    </row>
    <row r="27" spans="1:66" x14ac:dyDescent="0.2">
      <c r="A27" s="122"/>
      <c r="B27" s="423"/>
      <c r="C27" s="423"/>
      <c r="D27" s="1598"/>
      <c r="E27" s="1597" t="s">
        <v>4037</v>
      </c>
      <c r="F27" s="79"/>
      <c r="G27" s="247"/>
      <c r="H27" s="248"/>
      <c r="I27" s="248"/>
      <c r="J27" s="248"/>
      <c r="K27" s="248"/>
      <c r="L27" s="248"/>
      <c r="M27" s="248"/>
      <c r="N27" s="248"/>
      <c r="O27" s="248"/>
      <c r="P27" s="122"/>
      <c r="Q27" s="122"/>
      <c r="R27" s="122"/>
      <c r="S27" s="122"/>
      <c r="T27" s="122"/>
      <c r="U27" s="122"/>
      <c r="V27" s="122"/>
      <c r="W27" s="248"/>
      <c r="X27" s="248"/>
      <c r="Y27" s="248"/>
      <c r="Z27" s="248"/>
      <c r="AA27" s="248"/>
      <c r="AB27" s="248"/>
      <c r="AC27" s="248"/>
      <c r="AD27" s="248"/>
      <c r="AE27" s="248"/>
      <c r="AF27" s="248"/>
      <c r="AG27" s="248"/>
      <c r="AH27" s="248"/>
      <c r="AI27" s="248"/>
      <c r="AJ27" s="248"/>
      <c r="AK27" s="248"/>
      <c r="AL27" s="248"/>
      <c r="AM27" s="248"/>
      <c r="AN27" s="248"/>
      <c r="AO27" s="248"/>
      <c r="AP27" s="248"/>
      <c r="AQ27" s="248"/>
      <c r="AR27" s="248"/>
      <c r="AS27" s="248"/>
      <c r="AT27" s="248"/>
      <c r="AU27" s="248"/>
      <c r="AV27" s="248"/>
      <c r="AW27" s="248"/>
      <c r="AX27" s="248"/>
      <c r="AY27" s="248"/>
      <c r="AZ27" s="247"/>
      <c r="BA27" s="249"/>
      <c r="BB27" s="249"/>
      <c r="BC27" s="249"/>
      <c r="BD27" s="249"/>
      <c r="BE27" s="122"/>
      <c r="BF27" s="122"/>
      <c r="BG27" s="122"/>
      <c r="BH27" s="122"/>
      <c r="BI27" s="122"/>
      <c r="BJ27" s="122"/>
      <c r="BK27" s="122"/>
      <c r="BL27" s="122"/>
      <c r="BM27" s="122"/>
      <c r="BN27" s="122"/>
    </row>
    <row r="28" spans="1:66" x14ac:dyDescent="0.2">
      <c r="A28" s="122"/>
      <c r="B28" s="423"/>
      <c r="C28" s="423"/>
      <c r="D28" s="1598"/>
      <c r="E28" s="1597" t="s">
        <v>4038</v>
      </c>
      <c r="F28" s="79"/>
      <c r="G28" s="247"/>
      <c r="H28" s="248"/>
      <c r="I28" s="248"/>
      <c r="J28" s="248"/>
      <c r="K28" s="248"/>
      <c r="L28" s="248"/>
      <c r="M28" s="248"/>
      <c r="N28" s="248"/>
      <c r="O28" s="248"/>
      <c r="P28" s="122"/>
      <c r="Q28" s="122"/>
      <c r="R28" s="122"/>
      <c r="S28" s="122"/>
      <c r="T28" s="122"/>
      <c r="U28" s="122"/>
      <c r="V28" s="122"/>
      <c r="W28" s="248"/>
      <c r="X28" s="248"/>
      <c r="Y28" s="248"/>
      <c r="Z28" s="248"/>
      <c r="AA28" s="248"/>
      <c r="AB28" s="248"/>
      <c r="AC28" s="248"/>
      <c r="AD28" s="248"/>
      <c r="AE28" s="248"/>
      <c r="AF28" s="248"/>
      <c r="AG28" s="248"/>
      <c r="AH28" s="248"/>
      <c r="AI28" s="248"/>
      <c r="AJ28" s="248"/>
      <c r="AK28" s="248"/>
      <c r="AL28" s="248"/>
      <c r="AM28" s="248"/>
      <c r="AN28" s="248"/>
      <c r="AO28" s="248"/>
      <c r="AP28" s="248"/>
      <c r="AQ28" s="248"/>
      <c r="AR28" s="248"/>
      <c r="AS28" s="248"/>
      <c r="AT28" s="248"/>
      <c r="AU28" s="248"/>
      <c r="AV28" s="248"/>
      <c r="AW28" s="248"/>
      <c r="AX28" s="248"/>
      <c r="AY28" s="248"/>
      <c r="AZ28" s="247"/>
      <c r="BA28" s="249"/>
      <c r="BB28" s="249"/>
      <c r="BC28" s="249"/>
      <c r="BD28" s="249"/>
      <c r="BE28" s="122"/>
      <c r="BF28" s="122"/>
      <c r="BG28" s="122"/>
      <c r="BH28" s="122"/>
      <c r="BI28" s="122"/>
      <c r="BJ28" s="122"/>
      <c r="BK28" s="122"/>
      <c r="BL28" s="122"/>
      <c r="BM28" s="122"/>
      <c r="BN28" s="122"/>
    </row>
    <row r="29" spans="1:66" x14ac:dyDescent="0.2">
      <c r="A29" s="122"/>
      <c r="B29" s="423"/>
      <c r="C29" s="423"/>
      <c r="D29" s="1598"/>
      <c r="E29" s="1597" t="s">
        <v>4039</v>
      </c>
      <c r="F29" s="79"/>
      <c r="G29" s="247"/>
      <c r="H29" s="248"/>
      <c r="I29" s="248"/>
      <c r="J29" s="248"/>
      <c r="K29" s="248"/>
      <c r="L29" s="248"/>
      <c r="M29" s="248"/>
      <c r="N29" s="248"/>
      <c r="O29" s="248"/>
      <c r="P29" s="122"/>
      <c r="Q29" s="122"/>
      <c r="R29" s="122"/>
      <c r="S29" s="122"/>
      <c r="T29" s="122"/>
      <c r="U29" s="122"/>
      <c r="V29" s="122"/>
      <c r="W29" s="248"/>
      <c r="X29" s="248"/>
      <c r="Y29" s="248"/>
      <c r="Z29" s="248"/>
      <c r="AA29" s="248"/>
      <c r="AB29" s="248"/>
      <c r="AC29" s="248"/>
      <c r="AD29" s="248"/>
      <c r="AE29" s="248"/>
      <c r="AF29" s="248"/>
      <c r="AG29" s="248"/>
      <c r="AH29" s="248"/>
      <c r="AI29" s="248"/>
      <c r="AJ29" s="248"/>
      <c r="AK29" s="248"/>
      <c r="AL29" s="248"/>
      <c r="AM29" s="248"/>
      <c r="AN29" s="248"/>
      <c r="AO29" s="248"/>
      <c r="AP29" s="248"/>
      <c r="AQ29" s="248"/>
      <c r="AR29" s="248"/>
      <c r="AS29" s="248"/>
      <c r="AT29" s="248"/>
      <c r="AU29" s="248"/>
      <c r="AV29" s="248"/>
      <c r="AW29" s="248"/>
      <c r="AX29" s="248"/>
      <c r="AY29" s="248"/>
      <c r="AZ29" s="247"/>
      <c r="BA29" s="249"/>
      <c r="BB29" s="249"/>
      <c r="BC29" s="249"/>
      <c r="BD29" s="249"/>
      <c r="BE29" s="122"/>
      <c r="BF29" s="122"/>
      <c r="BG29" s="122"/>
      <c r="BH29" s="122"/>
      <c r="BI29" s="122"/>
      <c r="BJ29" s="122"/>
      <c r="BK29" s="122"/>
      <c r="BL29" s="122"/>
      <c r="BM29" s="122"/>
      <c r="BN29" s="122"/>
    </row>
    <row r="30" spans="1:66" x14ac:dyDescent="0.2">
      <c r="A30" s="122"/>
      <c r="B30" s="423"/>
      <c r="C30" s="423"/>
      <c r="D30" s="1598"/>
      <c r="E30" s="1597" t="s">
        <v>4040</v>
      </c>
      <c r="F30" s="79"/>
      <c r="G30" s="247"/>
      <c r="H30" s="248"/>
      <c r="I30" s="248"/>
      <c r="J30" s="248"/>
      <c r="K30" s="248"/>
      <c r="L30" s="248"/>
      <c r="M30" s="248"/>
      <c r="N30" s="248"/>
      <c r="O30" s="248"/>
      <c r="P30" s="122"/>
      <c r="Q30" s="122"/>
      <c r="R30" s="122"/>
      <c r="S30" s="122"/>
      <c r="T30" s="122"/>
      <c r="U30" s="122"/>
      <c r="V30" s="122"/>
      <c r="W30" s="248"/>
      <c r="X30" s="248"/>
      <c r="Y30" s="248"/>
      <c r="Z30" s="248"/>
      <c r="AA30" s="248"/>
      <c r="AB30" s="248"/>
      <c r="AC30" s="248"/>
      <c r="AD30" s="248"/>
      <c r="AE30" s="248"/>
      <c r="AF30" s="248"/>
      <c r="AG30" s="248"/>
      <c r="AH30" s="248"/>
      <c r="AI30" s="248"/>
      <c r="AJ30" s="248"/>
      <c r="AK30" s="248"/>
      <c r="AL30" s="248"/>
      <c r="AM30" s="248"/>
      <c r="AN30" s="248"/>
      <c r="AO30" s="248"/>
      <c r="AP30" s="248"/>
      <c r="AQ30" s="248"/>
      <c r="AR30" s="248"/>
      <c r="AS30" s="248"/>
      <c r="AT30" s="248"/>
      <c r="AU30" s="248"/>
      <c r="AV30" s="248"/>
      <c r="AW30" s="248"/>
      <c r="AX30" s="248"/>
      <c r="AY30" s="248"/>
      <c r="AZ30" s="247"/>
      <c r="BA30" s="249"/>
      <c r="BB30" s="249"/>
      <c r="BC30" s="249"/>
      <c r="BD30" s="249"/>
      <c r="BE30" s="122"/>
      <c r="BF30" s="122"/>
      <c r="BG30" s="122"/>
      <c r="BH30" s="122"/>
      <c r="BI30" s="122"/>
      <c r="BJ30" s="122"/>
      <c r="BK30" s="122"/>
      <c r="BL30" s="122"/>
      <c r="BM30" s="122"/>
      <c r="BN30" s="122"/>
    </row>
    <row r="31" spans="1:66" ht="30" x14ac:dyDescent="0.2">
      <c r="A31" s="122">
        <v>3</v>
      </c>
      <c r="B31" s="423" t="s">
        <v>254</v>
      </c>
      <c r="C31" s="423" t="s">
        <v>3887</v>
      </c>
      <c r="D31" s="1596" t="s">
        <v>3887</v>
      </c>
      <c r="E31" s="1597" t="s">
        <v>3888</v>
      </c>
      <c r="F31" s="79" t="s">
        <v>651</v>
      </c>
      <c r="G31" s="247">
        <v>118.8</v>
      </c>
      <c r="H31" s="248"/>
      <c r="I31" s="248"/>
      <c r="J31" s="248">
        <v>17298</v>
      </c>
      <c r="K31" s="248"/>
      <c r="L31" s="248">
        <f t="shared" ref="L31:O31" si="4" xml:space="preserve"> H31*$G31</f>
        <v>0</v>
      </c>
      <c r="M31" s="248">
        <f t="shared" si="4"/>
        <v>0</v>
      </c>
      <c r="N31" s="248">
        <f t="shared" si="4"/>
        <v>2055002.4</v>
      </c>
      <c r="O31" s="248">
        <f t="shared" si="4"/>
        <v>0</v>
      </c>
      <c r="P31" s="122"/>
      <c r="Q31" s="122"/>
      <c r="R31" s="122"/>
      <c r="S31" s="122"/>
      <c r="T31" s="122"/>
      <c r="U31" s="122"/>
      <c r="V31" s="122"/>
      <c r="W31" s="248">
        <f xml:space="preserve"> $H31</f>
        <v>0</v>
      </c>
      <c r="X31" s="248">
        <f xml:space="preserve"> $I31</f>
        <v>0</v>
      </c>
      <c r="Y31" s="248">
        <f xml:space="preserve"> $J31</f>
        <v>17298</v>
      </c>
      <c r="Z31" s="248">
        <f xml:space="preserve"> $K31</f>
        <v>0</v>
      </c>
      <c r="AA31" s="248">
        <f t="shared" ref="AA31:AD31" si="5" xml:space="preserve"> $V31*W31</f>
        <v>0</v>
      </c>
      <c r="AB31" s="248">
        <f t="shared" si="5"/>
        <v>0</v>
      </c>
      <c r="AC31" s="248">
        <f t="shared" si="5"/>
        <v>0</v>
      </c>
      <c r="AD31" s="248">
        <f t="shared" si="5"/>
        <v>0</v>
      </c>
      <c r="AE31" s="248"/>
      <c r="AF31" s="248"/>
      <c r="AG31" s="248"/>
      <c r="AH31" s="248"/>
      <c r="AI31" s="248"/>
      <c r="AJ31" s="248"/>
      <c r="AK31" s="248"/>
      <c r="AL31" s="248"/>
      <c r="AM31" s="248"/>
      <c r="AN31" s="248"/>
      <c r="AO31" s="248"/>
      <c r="AP31" s="248"/>
      <c r="AQ31" s="248"/>
      <c r="AR31" s="248">
        <f xml:space="preserve"> $H31</f>
        <v>0</v>
      </c>
      <c r="AS31" s="248">
        <f xml:space="preserve"> $I31</f>
        <v>0</v>
      </c>
      <c r="AT31" s="248">
        <f xml:space="preserve"> $J31</f>
        <v>17298</v>
      </c>
      <c r="AU31" s="248">
        <f xml:space="preserve"> $K31</f>
        <v>0</v>
      </c>
      <c r="AV31" s="248"/>
      <c r="AW31" s="248"/>
      <c r="AX31" s="248"/>
      <c r="AY31" s="248"/>
      <c r="AZ31" s="247">
        <f xml:space="preserve"> G31</f>
        <v>118.8</v>
      </c>
      <c r="BA31" s="249"/>
      <c r="BB31" s="249"/>
      <c r="BC31" s="249"/>
      <c r="BD31" s="249">
        <v>2</v>
      </c>
      <c r="BE31" s="122" t="s">
        <v>3920</v>
      </c>
      <c r="BF31" s="122"/>
      <c r="BG31" s="122" t="s">
        <v>651</v>
      </c>
      <c r="BH31" s="122"/>
      <c r="BI31" s="122" t="s">
        <v>3910</v>
      </c>
      <c r="BJ31" s="122" t="s">
        <v>66</v>
      </c>
      <c r="BK31" s="122"/>
      <c r="BL31" s="122"/>
      <c r="BM31" s="122"/>
      <c r="BN31" s="122"/>
    </row>
    <row r="32" spans="1:66" x14ac:dyDescent="0.2">
      <c r="A32" s="122"/>
      <c r="B32" s="423"/>
      <c r="C32" s="423"/>
      <c r="D32" s="1598"/>
      <c r="E32" s="1597" t="s">
        <v>4029</v>
      </c>
      <c r="F32" s="79"/>
      <c r="G32" s="247"/>
      <c r="H32" s="248"/>
      <c r="I32" s="248"/>
      <c r="J32" s="248"/>
      <c r="K32" s="248"/>
      <c r="L32" s="248"/>
      <c r="M32" s="248"/>
      <c r="N32" s="248"/>
      <c r="O32" s="248"/>
      <c r="P32" s="122"/>
      <c r="Q32" s="122"/>
      <c r="R32" s="122"/>
      <c r="S32" s="122"/>
      <c r="T32" s="122"/>
      <c r="U32" s="122"/>
      <c r="V32" s="122"/>
      <c r="W32" s="248"/>
      <c r="X32" s="248"/>
      <c r="Y32" s="248"/>
      <c r="Z32" s="248"/>
      <c r="AA32" s="248"/>
      <c r="AB32" s="248"/>
      <c r="AC32" s="248"/>
      <c r="AD32" s="248"/>
      <c r="AE32" s="248"/>
      <c r="AF32" s="248"/>
      <c r="AG32" s="248"/>
      <c r="AH32" s="248"/>
      <c r="AI32" s="248"/>
      <c r="AJ32" s="248"/>
      <c r="AK32" s="248"/>
      <c r="AL32" s="248"/>
      <c r="AM32" s="248"/>
      <c r="AN32" s="248"/>
      <c r="AO32" s="248"/>
      <c r="AP32" s="248"/>
      <c r="AQ32" s="248"/>
      <c r="AR32" s="248"/>
      <c r="AS32" s="248"/>
      <c r="AT32" s="248"/>
      <c r="AU32" s="248"/>
      <c r="AV32" s="248"/>
      <c r="AW32" s="248"/>
      <c r="AX32" s="248"/>
      <c r="AY32" s="248"/>
      <c r="AZ32" s="247"/>
      <c r="BA32" s="249"/>
      <c r="BB32" s="249"/>
      <c r="BC32" s="249"/>
      <c r="BD32" s="249"/>
      <c r="BE32" s="122"/>
      <c r="BF32" s="122"/>
      <c r="BG32" s="122"/>
      <c r="BH32" s="122"/>
      <c r="BI32" s="122"/>
      <c r="BJ32" s="122"/>
      <c r="BK32" s="122"/>
      <c r="BL32" s="122"/>
      <c r="BM32" s="122"/>
      <c r="BN32" s="122"/>
    </row>
    <row r="33" spans="1:66" x14ac:dyDescent="0.2">
      <c r="A33" s="122"/>
      <c r="B33" s="423"/>
      <c r="C33" s="423"/>
      <c r="D33" s="1598"/>
      <c r="E33" s="1597" t="s">
        <v>4041</v>
      </c>
      <c r="F33" s="79"/>
      <c r="G33" s="247"/>
      <c r="H33" s="248"/>
      <c r="I33" s="248"/>
      <c r="J33" s="248"/>
      <c r="K33" s="248"/>
      <c r="L33" s="248"/>
      <c r="M33" s="248"/>
      <c r="N33" s="248"/>
      <c r="O33" s="248"/>
      <c r="P33" s="122"/>
      <c r="Q33" s="122"/>
      <c r="R33" s="122"/>
      <c r="S33" s="122"/>
      <c r="T33" s="122"/>
      <c r="U33" s="122"/>
      <c r="V33" s="122"/>
      <c r="W33" s="248"/>
      <c r="X33" s="248"/>
      <c r="Y33" s="248"/>
      <c r="Z33" s="248"/>
      <c r="AA33" s="248"/>
      <c r="AB33" s="248"/>
      <c r="AC33" s="248"/>
      <c r="AD33" s="248"/>
      <c r="AE33" s="248"/>
      <c r="AF33" s="248"/>
      <c r="AG33" s="248"/>
      <c r="AH33" s="248"/>
      <c r="AI33" s="248"/>
      <c r="AJ33" s="248"/>
      <c r="AK33" s="248"/>
      <c r="AL33" s="248"/>
      <c r="AM33" s="248"/>
      <c r="AN33" s="248"/>
      <c r="AO33" s="248"/>
      <c r="AP33" s="248"/>
      <c r="AQ33" s="248"/>
      <c r="AR33" s="248"/>
      <c r="AS33" s="248"/>
      <c r="AT33" s="248"/>
      <c r="AU33" s="248"/>
      <c r="AV33" s="248"/>
      <c r="AW33" s="248"/>
      <c r="AX33" s="248"/>
      <c r="AY33" s="248"/>
      <c r="AZ33" s="247"/>
      <c r="BA33" s="249"/>
      <c r="BB33" s="249"/>
      <c r="BC33" s="249"/>
      <c r="BD33" s="249"/>
      <c r="BE33" s="122"/>
      <c r="BF33" s="122"/>
      <c r="BG33" s="122"/>
      <c r="BH33" s="122"/>
      <c r="BI33" s="122"/>
      <c r="BJ33" s="122"/>
      <c r="BK33" s="122"/>
      <c r="BL33" s="122"/>
      <c r="BM33" s="122"/>
      <c r="BN33" s="122"/>
    </row>
    <row r="34" spans="1:66" x14ac:dyDescent="0.2">
      <c r="A34" s="122"/>
      <c r="B34" s="423"/>
      <c r="C34" s="423"/>
      <c r="D34" s="1598"/>
      <c r="E34" s="1597" t="s">
        <v>4042</v>
      </c>
      <c r="F34" s="79"/>
      <c r="G34" s="247"/>
      <c r="H34" s="248"/>
      <c r="I34" s="248"/>
      <c r="J34" s="248"/>
      <c r="K34" s="248"/>
      <c r="L34" s="248"/>
      <c r="M34" s="248"/>
      <c r="N34" s="248"/>
      <c r="O34" s="248"/>
      <c r="P34" s="122"/>
      <c r="Q34" s="122"/>
      <c r="R34" s="122"/>
      <c r="S34" s="122"/>
      <c r="T34" s="122"/>
      <c r="U34" s="122"/>
      <c r="V34" s="122"/>
      <c r="W34" s="248"/>
      <c r="X34" s="248"/>
      <c r="Y34" s="248"/>
      <c r="Z34" s="248"/>
      <c r="AA34" s="248"/>
      <c r="AB34" s="248"/>
      <c r="AC34" s="248"/>
      <c r="AD34" s="248"/>
      <c r="AE34" s="248"/>
      <c r="AF34" s="248"/>
      <c r="AG34" s="248"/>
      <c r="AH34" s="248"/>
      <c r="AI34" s="248"/>
      <c r="AJ34" s="248"/>
      <c r="AK34" s="248"/>
      <c r="AL34" s="248"/>
      <c r="AM34" s="248"/>
      <c r="AN34" s="248"/>
      <c r="AO34" s="248"/>
      <c r="AP34" s="248"/>
      <c r="AQ34" s="248"/>
      <c r="AR34" s="248"/>
      <c r="AS34" s="248"/>
      <c r="AT34" s="248"/>
      <c r="AU34" s="248"/>
      <c r="AV34" s="248"/>
      <c r="AW34" s="248"/>
      <c r="AX34" s="248"/>
      <c r="AY34" s="248"/>
      <c r="AZ34" s="247"/>
      <c r="BA34" s="249"/>
      <c r="BB34" s="249"/>
      <c r="BC34" s="249"/>
      <c r="BD34" s="249"/>
      <c r="BE34" s="122"/>
      <c r="BF34" s="122"/>
      <c r="BG34" s="122"/>
      <c r="BH34" s="122"/>
      <c r="BI34" s="122"/>
      <c r="BJ34" s="122"/>
      <c r="BK34" s="122"/>
      <c r="BL34" s="122"/>
      <c r="BM34" s="122"/>
      <c r="BN34" s="122"/>
    </row>
    <row r="35" spans="1:66" x14ac:dyDescent="0.2">
      <c r="A35" s="122"/>
      <c r="B35" s="423"/>
      <c r="C35" s="423"/>
      <c r="D35" s="1598"/>
      <c r="E35" s="1597" t="s">
        <v>4043</v>
      </c>
      <c r="F35" s="79"/>
      <c r="G35" s="247"/>
      <c r="H35" s="248"/>
      <c r="I35" s="248"/>
      <c r="J35" s="248"/>
      <c r="K35" s="248"/>
      <c r="L35" s="248"/>
      <c r="M35" s="248"/>
      <c r="N35" s="248"/>
      <c r="O35" s="248"/>
      <c r="P35" s="122"/>
      <c r="Q35" s="122"/>
      <c r="R35" s="122"/>
      <c r="S35" s="122"/>
      <c r="T35" s="122"/>
      <c r="U35" s="122"/>
      <c r="V35" s="122"/>
      <c r="W35" s="248"/>
      <c r="X35" s="248"/>
      <c r="Y35" s="248"/>
      <c r="Z35" s="248"/>
      <c r="AA35" s="248"/>
      <c r="AB35" s="248"/>
      <c r="AC35" s="248"/>
      <c r="AD35" s="248"/>
      <c r="AE35" s="248"/>
      <c r="AF35" s="248"/>
      <c r="AG35" s="248"/>
      <c r="AH35" s="248"/>
      <c r="AI35" s="248"/>
      <c r="AJ35" s="248"/>
      <c r="AK35" s="248"/>
      <c r="AL35" s="248"/>
      <c r="AM35" s="248"/>
      <c r="AN35" s="248"/>
      <c r="AO35" s="248"/>
      <c r="AP35" s="248"/>
      <c r="AQ35" s="248"/>
      <c r="AR35" s="248"/>
      <c r="AS35" s="248"/>
      <c r="AT35" s="248"/>
      <c r="AU35" s="248"/>
      <c r="AV35" s="248"/>
      <c r="AW35" s="248"/>
      <c r="AX35" s="248"/>
      <c r="AY35" s="248"/>
      <c r="AZ35" s="247"/>
      <c r="BA35" s="249"/>
      <c r="BB35" s="249"/>
      <c r="BC35" s="249"/>
      <c r="BD35" s="249"/>
      <c r="BE35" s="122"/>
      <c r="BF35" s="122"/>
      <c r="BG35" s="122"/>
      <c r="BH35" s="122"/>
      <c r="BI35" s="122"/>
      <c r="BJ35" s="122"/>
      <c r="BK35" s="122"/>
      <c r="BL35" s="122"/>
      <c r="BM35" s="122"/>
      <c r="BN35" s="122"/>
    </row>
    <row r="36" spans="1:66" ht="30" x14ac:dyDescent="0.2">
      <c r="A36" s="122">
        <v>4</v>
      </c>
      <c r="B36" s="423" t="s">
        <v>254</v>
      </c>
      <c r="C36" s="423" t="s">
        <v>3889</v>
      </c>
      <c r="D36" s="1596" t="s">
        <v>3889</v>
      </c>
      <c r="E36" s="1597" t="s">
        <v>3890</v>
      </c>
      <c r="F36" s="79" t="s">
        <v>651</v>
      </c>
      <c r="G36" s="247">
        <v>6.4</v>
      </c>
      <c r="H36" s="248"/>
      <c r="I36" s="248"/>
      <c r="J36" s="248">
        <v>49422</v>
      </c>
      <c r="K36" s="248"/>
      <c r="L36" s="248">
        <f t="shared" ref="L36:O36" si="6" xml:space="preserve"> H36*$G36</f>
        <v>0</v>
      </c>
      <c r="M36" s="248">
        <f t="shared" si="6"/>
        <v>0</v>
      </c>
      <c r="N36" s="248">
        <f t="shared" si="6"/>
        <v>316300.80000000005</v>
      </c>
      <c r="O36" s="248">
        <f t="shared" si="6"/>
        <v>0</v>
      </c>
      <c r="P36" s="122"/>
      <c r="Q36" s="122"/>
      <c r="R36" s="122"/>
      <c r="S36" s="122"/>
      <c r="T36" s="122"/>
      <c r="U36" s="122"/>
      <c r="V36" s="122"/>
      <c r="W36" s="248">
        <f xml:space="preserve"> $H36</f>
        <v>0</v>
      </c>
      <c r="X36" s="248">
        <f xml:space="preserve"> $I36</f>
        <v>0</v>
      </c>
      <c r="Y36" s="248">
        <f xml:space="preserve"> $J36</f>
        <v>49422</v>
      </c>
      <c r="Z36" s="248">
        <f xml:space="preserve"> $K36</f>
        <v>0</v>
      </c>
      <c r="AA36" s="248">
        <f t="shared" ref="AA36:AD36" si="7" xml:space="preserve"> $V36*W36</f>
        <v>0</v>
      </c>
      <c r="AB36" s="248">
        <f t="shared" si="7"/>
        <v>0</v>
      </c>
      <c r="AC36" s="248">
        <f t="shared" si="7"/>
        <v>0</v>
      </c>
      <c r="AD36" s="248">
        <f t="shared" si="7"/>
        <v>0</v>
      </c>
      <c r="AE36" s="248"/>
      <c r="AF36" s="248"/>
      <c r="AG36" s="248"/>
      <c r="AH36" s="248"/>
      <c r="AI36" s="248"/>
      <c r="AJ36" s="248"/>
      <c r="AK36" s="248"/>
      <c r="AL36" s="248"/>
      <c r="AM36" s="248"/>
      <c r="AN36" s="248"/>
      <c r="AO36" s="248"/>
      <c r="AP36" s="248"/>
      <c r="AQ36" s="248"/>
      <c r="AR36" s="248">
        <f xml:space="preserve"> $H36</f>
        <v>0</v>
      </c>
      <c r="AS36" s="248">
        <f xml:space="preserve"> $I36</f>
        <v>0</v>
      </c>
      <c r="AT36" s="248">
        <f xml:space="preserve"> $J36</f>
        <v>49422</v>
      </c>
      <c r="AU36" s="248">
        <f xml:space="preserve"> $K36</f>
        <v>0</v>
      </c>
      <c r="AV36" s="248"/>
      <c r="AW36" s="248"/>
      <c r="AX36" s="248"/>
      <c r="AY36" s="248"/>
      <c r="AZ36" s="247">
        <f xml:space="preserve"> G36</f>
        <v>6.4</v>
      </c>
      <c r="BA36" s="249"/>
      <c r="BB36" s="249"/>
      <c r="BC36" s="249"/>
      <c r="BD36" s="249">
        <v>2</v>
      </c>
      <c r="BE36" s="122" t="s">
        <v>3920</v>
      </c>
      <c r="BF36" s="122"/>
      <c r="BG36" s="122" t="s">
        <v>651</v>
      </c>
      <c r="BH36" s="122"/>
      <c r="BI36" s="122" t="s">
        <v>3910</v>
      </c>
      <c r="BJ36" s="122" t="s">
        <v>66</v>
      </c>
      <c r="BK36" s="122"/>
      <c r="BL36" s="122"/>
      <c r="BM36" s="122"/>
      <c r="BN36" s="122"/>
    </row>
    <row r="37" spans="1:66" x14ac:dyDescent="0.2">
      <c r="A37" s="122"/>
      <c r="B37" s="423"/>
      <c r="C37" s="423"/>
      <c r="D37" s="1598"/>
      <c r="E37" s="1597" t="s">
        <v>3925</v>
      </c>
      <c r="F37" s="79"/>
      <c r="G37" s="247"/>
      <c r="H37" s="248"/>
      <c r="I37" s="248"/>
      <c r="J37" s="248"/>
      <c r="K37" s="248"/>
      <c r="L37" s="248"/>
      <c r="M37" s="248"/>
      <c r="N37" s="248"/>
      <c r="O37" s="248"/>
      <c r="P37" s="122"/>
      <c r="Q37" s="122"/>
      <c r="R37" s="122"/>
      <c r="S37" s="122"/>
      <c r="T37" s="122"/>
      <c r="U37" s="122"/>
      <c r="V37" s="122"/>
      <c r="W37" s="248"/>
      <c r="X37" s="248"/>
      <c r="Y37" s="248"/>
      <c r="Z37" s="248"/>
      <c r="AA37" s="248"/>
      <c r="AB37" s="248"/>
      <c r="AC37" s="248"/>
      <c r="AD37" s="248"/>
      <c r="AE37" s="248"/>
      <c r="AF37" s="248"/>
      <c r="AG37" s="248"/>
      <c r="AH37" s="248"/>
      <c r="AI37" s="248"/>
      <c r="AJ37" s="248"/>
      <c r="AK37" s="248"/>
      <c r="AL37" s="248"/>
      <c r="AM37" s="248"/>
      <c r="AN37" s="248"/>
      <c r="AO37" s="248"/>
      <c r="AP37" s="248"/>
      <c r="AQ37" s="248"/>
      <c r="AR37" s="248"/>
      <c r="AS37" s="248"/>
      <c r="AT37" s="248"/>
      <c r="AU37" s="248"/>
      <c r="AV37" s="248"/>
      <c r="AW37" s="248"/>
      <c r="AX37" s="248"/>
      <c r="AY37" s="248"/>
      <c r="AZ37" s="247"/>
      <c r="BA37" s="249"/>
      <c r="BB37" s="249"/>
      <c r="BC37" s="249"/>
      <c r="BD37" s="249"/>
      <c r="BE37" s="122"/>
      <c r="BF37" s="122"/>
      <c r="BG37" s="122"/>
      <c r="BH37" s="122"/>
      <c r="BI37" s="122"/>
      <c r="BJ37" s="122"/>
      <c r="BK37" s="122"/>
      <c r="BL37" s="122"/>
      <c r="BM37" s="122"/>
      <c r="BN37" s="122"/>
    </row>
    <row r="38" spans="1:66" x14ac:dyDescent="0.2">
      <c r="A38" s="122"/>
      <c r="B38" s="423"/>
      <c r="C38" s="423"/>
      <c r="D38" s="1598"/>
      <c r="E38" s="1599" t="s">
        <v>3891</v>
      </c>
      <c r="F38" s="79"/>
      <c r="G38" s="247"/>
      <c r="H38" s="248"/>
      <c r="I38" s="248"/>
      <c r="J38" s="248"/>
      <c r="K38" s="248"/>
      <c r="L38" s="248"/>
      <c r="M38" s="248"/>
      <c r="N38" s="248"/>
      <c r="O38" s="248"/>
      <c r="P38" s="122"/>
      <c r="Q38" s="122"/>
      <c r="R38" s="122"/>
      <c r="S38" s="122"/>
      <c r="T38" s="122"/>
      <c r="U38" s="122"/>
      <c r="V38" s="122"/>
      <c r="W38" s="248"/>
      <c r="X38" s="248"/>
      <c r="Y38" s="248"/>
      <c r="Z38" s="248"/>
      <c r="AA38" s="248"/>
      <c r="AB38" s="248"/>
      <c r="AC38" s="248"/>
      <c r="AD38" s="248"/>
      <c r="AE38" s="248"/>
      <c r="AF38" s="248"/>
      <c r="AG38" s="248"/>
      <c r="AH38" s="248"/>
      <c r="AI38" s="248"/>
      <c r="AJ38" s="248"/>
      <c r="AK38" s="248"/>
      <c r="AL38" s="248"/>
      <c r="AM38" s="248"/>
      <c r="AN38" s="248"/>
      <c r="AO38" s="248"/>
      <c r="AP38" s="248"/>
      <c r="AQ38" s="248"/>
      <c r="AR38" s="248"/>
      <c r="AS38" s="248"/>
      <c r="AT38" s="248"/>
      <c r="AU38" s="248"/>
      <c r="AV38" s="248"/>
      <c r="AW38" s="248"/>
      <c r="AX38" s="248"/>
      <c r="AY38" s="248"/>
      <c r="AZ38" s="247"/>
      <c r="BA38" s="249"/>
      <c r="BB38" s="249"/>
      <c r="BC38" s="249"/>
      <c r="BD38" s="249"/>
      <c r="BE38" s="122"/>
      <c r="BF38" s="122"/>
      <c r="BG38" s="122"/>
      <c r="BH38" s="122"/>
      <c r="BI38" s="122"/>
      <c r="BJ38" s="122"/>
      <c r="BK38" s="122"/>
      <c r="BL38" s="122"/>
      <c r="BM38" s="122"/>
      <c r="BN38" s="122"/>
    </row>
    <row r="39" spans="1:66" ht="30" x14ac:dyDescent="0.2">
      <c r="A39" s="122">
        <v>5</v>
      </c>
      <c r="B39" s="423" t="s">
        <v>3926</v>
      </c>
      <c r="C39" s="423" t="s">
        <v>3927</v>
      </c>
      <c r="D39" s="1596" t="s">
        <v>3892</v>
      </c>
      <c r="E39" s="1597" t="s">
        <v>3893</v>
      </c>
      <c r="F39" s="79" t="s">
        <v>647</v>
      </c>
      <c r="G39" s="247">
        <v>0.42000000000000004</v>
      </c>
      <c r="H39" s="248">
        <v>1644991</v>
      </c>
      <c r="I39" s="248"/>
      <c r="J39" s="248">
        <v>574711</v>
      </c>
      <c r="K39" s="248">
        <v>4660</v>
      </c>
      <c r="L39" s="248">
        <f t="shared" ref="L39:O39" si="8" xml:space="preserve"> H39*$G39</f>
        <v>690896.22000000009</v>
      </c>
      <c r="M39" s="248">
        <f t="shared" si="8"/>
        <v>0</v>
      </c>
      <c r="N39" s="248">
        <f t="shared" si="8"/>
        <v>241378.62000000002</v>
      </c>
      <c r="O39" s="248">
        <f t="shared" si="8"/>
        <v>1957.2000000000003</v>
      </c>
      <c r="P39" s="122"/>
      <c r="Q39" s="122"/>
      <c r="R39" s="122"/>
      <c r="S39" s="122"/>
      <c r="T39" s="122"/>
      <c r="U39" s="122"/>
      <c r="V39" s="122"/>
      <c r="W39" s="248">
        <f xml:space="preserve"> $H39</f>
        <v>1644991</v>
      </c>
      <c r="X39" s="248">
        <f xml:space="preserve"> $I39</f>
        <v>0</v>
      </c>
      <c r="Y39" s="248">
        <f xml:space="preserve"> $J39</f>
        <v>574711</v>
      </c>
      <c r="Z39" s="248">
        <f xml:space="preserve"> $K39</f>
        <v>4660</v>
      </c>
      <c r="AA39" s="248">
        <f t="shared" ref="AA39:AD39" si="9" xml:space="preserve"> $V39*W39</f>
        <v>0</v>
      </c>
      <c r="AB39" s="248">
        <f t="shared" si="9"/>
        <v>0</v>
      </c>
      <c r="AC39" s="248">
        <f t="shared" si="9"/>
        <v>0</v>
      </c>
      <c r="AD39" s="248">
        <f t="shared" si="9"/>
        <v>0</v>
      </c>
      <c r="AE39" s="248"/>
      <c r="AF39" s="248"/>
      <c r="AG39" s="248"/>
      <c r="AH39" s="248"/>
      <c r="AI39" s="248"/>
      <c r="AJ39" s="248"/>
      <c r="AK39" s="248"/>
      <c r="AL39" s="248"/>
      <c r="AM39" s="248"/>
      <c r="AN39" s="248"/>
      <c r="AO39" s="248"/>
      <c r="AP39" s="248"/>
      <c r="AQ39" s="248"/>
      <c r="AR39" s="248">
        <f xml:space="preserve"> $H39</f>
        <v>1644991</v>
      </c>
      <c r="AS39" s="248">
        <f xml:space="preserve"> $I39</f>
        <v>0</v>
      </c>
      <c r="AT39" s="248">
        <f xml:space="preserve"> $J39</f>
        <v>574711</v>
      </c>
      <c r="AU39" s="248">
        <f xml:space="preserve"> $K39</f>
        <v>4660</v>
      </c>
      <c r="AV39" s="248"/>
      <c r="AW39" s="248"/>
      <c r="AX39" s="248"/>
      <c r="AY39" s="248"/>
      <c r="AZ39" s="247">
        <f xml:space="preserve"> G39</f>
        <v>0.42000000000000004</v>
      </c>
      <c r="BA39" s="249"/>
      <c r="BB39" s="249"/>
      <c r="BC39" s="249"/>
      <c r="BD39" s="249">
        <v>1</v>
      </c>
      <c r="BE39" s="122" t="s">
        <v>3911</v>
      </c>
      <c r="BF39" s="122"/>
      <c r="BG39" s="122" t="s">
        <v>647</v>
      </c>
      <c r="BH39" s="122"/>
      <c r="BI39" s="122" t="s">
        <v>3910</v>
      </c>
      <c r="BJ39" s="122" t="s">
        <v>66</v>
      </c>
      <c r="BK39" s="122"/>
      <c r="BL39" s="122"/>
      <c r="BM39" s="122"/>
      <c r="BN39" s="122"/>
    </row>
    <row r="40" spans="1:66" x14ac:dyDescent="0.2">
      <c r="A40" s="122"/>
      <c r="B40" s="423"/>
      <c r="C40" s="423"/>
      <c r="D40" s="1598"/>
      <c r="E40" s="1597" t="s">
        <v>3894</v>
      </c>
      <c r="F40" s="79"/>
      <c r="G40" s="247"/>
      <c r="H40" s="248"/>
      <c r="I40" s="248"/>
      <c r="J40" s="248"/>
      <c r="K40" s="248"/>
      <c r="L40" s="248"/>
      <c r="M40" s="248"/>
      <c r="N40" s="248"/>
      <c r="O40" s="248"/>
      <c r="P40" s="122"/>
      <c r="Q40" s="122"/>
      <c r="R40" s="122"/>
      <c r="S40" s="122"/>
      <c r="T40" s="122"/>
      <c r="U40" s="122"/>
      <c r="V40" s="122"/>
      <c r="W40" s="248"/>
      <c r="X40" s="248"/>
      <c r="Y40" s="248"/>
      <c r="Z40" s="248"/>
      <c r="AA40" s="248"/>
      <c r="AB40" s="248"/>
      <c r="AC40" s="248"/>
      <c r="AD40" s="248"/>
      <c r="AE40" s="248"/>
      <c r="AF40" s="248"/>
      <c r="AG40" s="248"/>
      <c r="AH40" s="248"/>
      <c r="AI40" s="248"/>
      <c r="AJ40" s="248"/>
      <c r="AK40" s="248"/>
      <c r="AL40" s="248"/>
      <c r="AM40" s="248"/>
      <c r="AN40" s="248"/>
      <c r="AO40" s="248"/>
      <c r="AP40" s="248"/>
      <c r="AQ40" s="248"/>
      <c r="AR40" s="248"/>
      <c r="AS40" s="248"/>
      <c r="AT40" s="248"/>
      <c r="AU40" s="248"/>
      <c r="AV40" s="248"/>
      <c r="AW40" s="248"/>
      <c r="AX40" s="248"/>
      <c r="AY40" s="248"/>
      <c r="AZ40" s="247"/>
      <c r="BA40" s="249"/>
      <c r="BB40" s="249"/>
      <c r="BC40" s="249"/>
      <c r="BD40" s="249"/>
      <c r="BE40" s="122"/>
      <c r="BF40" s="122"/>
      <c r="BG40" s="122"/>
      <c r="BH40" s="122"/>
      <c r="BI40" s="122"/>
      <c r="BJ40" s="122"/>
      <c r="BK40" s="122"/>
      <c r="BL40" s="122"/>
      <c r="BM40" s="122"/>
      <c r="BN40" s="122"/>
    </row>
    <row r="41" spans="1:66" x14ac:dyDescent="0.2">
      <c r="A41" s="122"/>
      <c r="B41" s="423"/>
      <c r="C41" s="423"/>
      <c r="D41" s="1598"/>
      <c r="E41" s="1597" t="s">
        <v>3928</v>
      </c>
      <c r="F41" s="79"/>
      <c r="G41" s="247"/>
      <c r="H41" s="248"/>
      <c r="I41" s="248"/>
      <c r="J41" s="248"/>
      <c r="K41" s="248"/>
      <c r="L41" s="248"/>
      <c r="M41" s="248"/>
      <c r="N41" s="248"/>
      <c r="O41" s="248"/>
      <c r="P41" s="122"/>
      <c r="Q41" s="122"/>
      <c r="R41" s="122"/>
      <c r="S41" s="122"/>
      <c r="T41" s="122"/>
      <c r="U41" s="122"/>
      <c r="V41" s="122"/>
      <c r="W41" s="248"/>
      <c r="X41" s="248"/>
      <c r="Y41" s="248"/>
      <c r="Z41" s="248"/>
      <c r="AA41" s="248"/>
      <c r="AB41" s="248"/>
      <c r="AC41" s="248"/>
      <c r="AD41" s="248"/>
      <c r="AE41" s="248"/>
      <c r="AF41" s="248"/>
      <c r="AG41" s="248"/>
      <c r="AH41" s="248"/>
      <c r="AI41" s="248"/>
      <c r="AJ41" s="248"/>
      <c r="AK41" s="248"/>
      <c r="AL41" s="248"/>
      <c r="AM41" s="248"/>
      <c r="AN41" s="248"/>
      <c r="AO41" s="248"/>
      <c r="AP41" s="248"/>
      <c r="AQ41" s="248"/>
      <c r="AR41" s="248"/>
      <c r="AS41" s="248"/>
      <c r="AT41" s="248"/>
      <c r="AU41" s="248"/>
      <c r="AV41" s="248"/>
      <c r="AW41" s="248"/>
      <c r="AX41" s="248"/>
      <c r="AY41" s="248"/>
      <c r="AZ41" s="247"/>
      <c r="BA41" s="249"/>
      <c r="BB41" s="249"/>
      <c r="BC41" s="249"/>
      <c r="BD41" s="249"/>
      <c r="BE41" s="122"/>
      <c r="BF41" s="122"/>
      <c r="BG41" s="122"/>
      <c r="BH41" s="122"/>
      <c r="BI41" s="122"/>
      <c r="BJ41" s="122"/>
      <c r="BK41" s="122"/>
      <c r="BL41" s="122"/>
      <c r="BM41" s="122"/>
      <c r="BN41" s="122"/>
    </row>
    <row r="42" spans="1:66" x14ac:dyDescent="0.2">
      <c r="A42" s="122"/>
      <c r="B42" s="423"/>
      <c r="C42" s="423"/>
      <c r="D42" s="1598"/>
      <c r="E42" s="1597" t="s">
        <v>3929</v>
      </c>
      <c r="F42" s="79"/>
      <c r="G42" s="247"/>
      <c r="H42" s="248"/>
      <c r="I42" s="248"/>
      <c r="J42" s="248"/>
      <c r="K42" s="248"/>
      <c r="L42" s="248"/>
      <c r="M42" s="248"/>
      <c r="N42" s="248"/>
      <c r="O42" s="248"/>
      <c r="P42" s="122"/>
      <c r="Q42" s="122"/>
      <c r="R42" s="122"/>
      <c r="S42" s="122"/>
      <c r="T42" s="122"/>
      <c r="U42" s="122"/>
      <c r="V42" s="122"/>
      <c r="W42" s="248"/>
      <c r="X42" s="248"/>
      <c r="Y42" s="248"/>
      <c r="Z42" s="248"/>
      <c r="AA42" s="248"/>
      <c r="AB42" s="248"/>
      <c r="AC42" s="248"/>
      <c r="AD42" s="248"/>
      <c r="AE42" s="248"/>
      <c r="AF42" s="248"/>
      <c r="AG42" s="248"/>
      <c r="AH42" s="248"/>
      <c r="AI42" s="248"/>
      <c r="AJ42" s="248"/>
      <c r="AK42" s="248"/>
      <c r="AL42" s="248"/>
      <c r="AM42" s="248"/>
      <c r="AN42" s="248"/>
      <c r="AO42" s="248"/>
      <c r="AP42" s="248"/>
      <c r="AQ42" s="248"/>
      <c r="AR42" s="248"/>
      <c r="AS42" s="248"/>
      <c r="AT42" s="248"/>
      <c r="AU42" s="248"/>
      <c r="AV42" s="248"/>
      <c r="AW42" s="248"/>
      <c r="AX42" s="248"/>
      <c r="AY42" s="248"/>
      <c r="AZ42" s="247"/>
      <c r="BA42" s="249"/>
      <c r="BB42" s="249"/>
      <c r="BC42" s="249"/>
      <c r="BD42" s="249"/>
      <c r="BE42" s="122"/>
      <c r="BF42" s="122"/>
      <c r="BG42" s="122"/>
      <c r="BH42" s="122"/>
      <c r="BI42" s="122"/>
      <c r="BJ42" s="122"/>
      <c r="BK42" s="122"/>
      <c r="BL42" s="122"/>
      <c r="BM42" s="122"/>
      <c r="BN42" s="122"/>
    </row>
    <row r="43" spans="1:66" ht="30" x14ac:dyDescent="0.2">
      <c r="A43" s="122">
        <v>6</v>
      </c>
      <c r="B43" s="423" t="s">
        <v>3926</v>
      </c>
      <c r="C43" s="423" t="s">
        <v>3930</v>
      </c>
      <c r="D43" s="1596" t="s">
        <v>3895</v>
      </c>
      <c r="E43" s="1597" t="s">
        <v>3896</v>
      </c>
      <c r="F43" s="79" t="s">
        <v>647</v>
      </c>
      <c r="G43" s="247">
        <v>0.315</v>
      </c>
      <c r="H43" s="248">
        <v>1448177</v>
      </c>
      <c r="I43" s="248"/>
      <c r="J43" s="248">
        <v>996166</v>
      </c>
      <c r="K43" s="248">
        <v>6989</v>
      </c>
      <c r="L43" s="248">
        <f t="shared" ref="L43:O43" si="10" xml:space="preserve"> H43*$G43</f>
        <v>456175.755</v>
      </c>
      <c r="M43" s="248">
        <f t="shared" si="10"/>
        <v>0</v>
      </c>
      <c r="N43" s="248">
        <f t="shared" si="10"/>
        <v>313792.28999999998</v>
      </c>
      <c r="O43" s="248">
        <f t="shared" si="10"/>
        <v>2201.5349999999999</v>
      </c>
      <c r="P43" s="122"/>
      <c r="Q43" s="122"/>
      <c r="R43" s="122"/>
      <c r="S43" s="122"/>
      <c r="T43" s="122"/>
      <c r="U43" s="122"/>
      <c r="V43" s="122"/>
      <c r="W43" s="248">
        <f xml:space="preserve"> $H43</f>
        <v>1448177</v>
      </c>
      <c r="X43" s="248">
        <f xml:space="preserve"> $I43</f>
        <v>0</v>
      </c>
      <c r="Y43" s="248">
        <f xml:space="preserve"> $J43</f>
        <v>996166</v>
      </c>
      <c r="Z43" s="248">
        <f xml:space="preserve"> $K43</f>
        <v>6989</v>
      </c>
      <c r="AA43" s="248">
        <f t="shared" ref="AA43:AD43" si="11" xml:space="preserve"> $V43*W43</f>
        <v>0</v>
      </c>
      <c r="AB43" s="248">
        <f t="shared" si="11"/>
        <v>0</v>
      </c>
      <c r="AC43" s="248">
        <f t="shared" si="11"/>
        <v>0</v>
      </c>
      <c r="AD43" s="248">
        <f t="shared" si="11"/>
        <v>0</v>
      </c>
      <c r="AE43" s="248"/>
      <c r="AF43" s="248"/>
      <c r="AG43" s="248"/>
      <c r="AH43" s="248"/>
      <c r="AI43" s="248"/>
      <c r="AJ43" s="248"/>
      <c r="AK43" s="248"/>
      <c r="AL43" s="248"/>
      <c r="AM43" s="248"/>
      <c r="AN43" s="248"/>
      <c r="AO43" s="248"/>
      <c r="AP43" s="248"/>
      <c r="AQ43" s="248"/>
      <c r="AR43" s="248">
        <f xml:space="preserve"> $H43</f>
        <v>1448177</v>
      </c>
      <c r="AS43" s="248">
        <f xml:space="preserve"> $I43</f>
        <v>0</v>
      </c>
      <c r="AT43" s="248">
        <f xml:space="preserve"> $J43</f>
        <v>996166</v>
      </c>
      <c r="AU43" s="248">
        <f xml:space="preserve"> $K43</f>
        <v>6989</v>
      </c>
      <c r="AV43" s="248"/>
      <c r="AW43" s="248"/>
      <c r="AX43" s="248"/>
      <c r="AY43" s="248"/>
      <c r="AZ43" s="247">
        <f xml:space="preserve"> G43</f>
        <v>0.315</v>
      </c>
      <c r="BA43" s="249"/>
      <c r="BB43" s="249"/>
      <c r="BC43" s="249"/>
      <c r="BD43" s="249">
        <v>1</v>
      </c>
      <c r="BE43" s="122" t="s">
        <v>3911</v>
      </c>
      <c r="BF43" s="122"/>
      <c r="BG43" s="122" t="s">
        <v>647</v>
      </c>
      <c r="BH43" s="122"/>
      <c r="BI43" s="122" t="s">
        <v>3910</v>
      </c>
      <c r="BJ43" s="122" t="s">
        <v>66</v>
      </c>
      <c r="BK43" s="122"/>
      <c r="BL43" s="122"/>
      <c r="BM43" s="122"/>
      <c r="BN43" s="122"/>
    </row>
    <row r="44" spans="1:66" x14ac:dyDescent="0.2">
      <c r="A44" s="122"/>
      <c r="B44" s="423"/>
      <c r="C44" s="423"/>
      <c r="D44" s="1598"/>
      <c r="E44" s="1597" t="s">
        <v>3897</v>
      </c>
      <c r="F44" s="79"/>
      <c r="G44" s="247"/>
      <c r="H44" s="248"/>
      <c r="I44" s="248"/>
      <c r="J44" s="248"/>
      <c r="K44" s="248"/>
      <c r="L44" s="248"/>
      <c r="M44" s="248"/>
      <c r="N44" s="248"/>
      <c r="O44" s="248"/>
      <c r="P44" s="122"/>
      <c r="Q44" s="122"/>
      <c r="R44" s="122"/>
      <c r="S44" s="122"/>
      <c r="T44" s="122"/>
      <c r="U44" s="122"/>
      <c r="V44" s="122"/>
      <c r="W44" s="248"/>
      <c r="X44" s="248"/>
      <c r="Y44" s="248"/>
      <c r="Z44" s="248"/>
      <c r="AA44" s="248"/>
      <c r="AB44" s="248"/>
      <c r="AC44" s="248"/>
      <c r="AD44" s="248"/>
      <c r="AE44" s="248"/>
      <c r="AF44" s="248"/>
      <c r="AG44" s="248"/>
      <c r="AH44" s="248"/>
      <c r="AI44" s="248"/>
      <c r="AJ44" s="248"/>
      <c r="AK44" s="248"/>
      <c r="AL44" s="248"/>
      <c r="AM44" s="248"/>
      <c r="AN44" s="248"/>
      <c r="AO44" s="248"/>
      <c r="AP44" s="248"/>
      <c r="AQ44" s="248"/>
      <c r="AR44" s="248"/>
      <c r="AS44" s="248"/>
      <c r="AT44" s="248"/>
      <c r="AU44" s="248"/>
      <c r="AV44" s="248"/>
      <c r="AW44" s="248"/>
      <c r="AX44" s="248"/>
      <c r="AY44" s="248"/>
      <c r="AZ44" s="247"/>
      <c r="BA44" s="249"/>
      <c r="BB44" s="249"/>
      <c r="BC44" s="249"/>
      <c r="BD44" s="249"/>
      <c r="BE44" s="122"/>
      <c r="BF44" s="122"/>
      <c r="BG44" s="122"/>
      <c r="BH44" s="122"/>
      <c r="BI44" s="122"/>
      <c r="BJ44" s="122"/>
      <c r="BK44" s="122"/>
      <c r="BL44" s="122"/>
      <c r="BM44" s="122"/>
      <c r="BN44" s="122"/>
    </row>
    <row r="45" spans="1:66" x14ac:dyDescent="0.2">
      <c r="A45" s="122"/>
      <c r="B45" s="423"/>
      <c r="C45" s="423"/>
      <c r="D45" s="1598"/>
      <c r="E45" s="1597" t="s">
        <v>3931</v>
      </c>
      <c r="F45" s="79"/>
      <c r="G45" s="247"/>
      <c r="H45" s="248"/>
      <c r="I45" s="248"/>
      <c r="J45" s="248"/>
      <c r="K45" s="248"/>
      <c r="L45" s="248"/>
      <c r="M45" s="248"/>
      <c r="N45" s="248"/>
      <c r="O45" s="248"/>
      <c r="P45" s="122"/>
      <c r="Q45" s="122"/>
      <c r="R45" s="122"/>
      <c r="S45" s="122"/>
      <c r="T45" s="122"/>
      <c r="U45" s="122"/>
      <c r="V45" s="122"/>
      <c r="W45" s="248"/>
      <c r="X45" s="248"/>
      <c r="Y45" s="248"/>
      <c r="Z45" s="248"/>
      <c r="AA45" s="248"/>
      <c r="AB45" s="248"/>
      <c r="AC45" s="248"/>
      <c r="AD45" s="248"/>
      <c r="AE45" s="248"/>
      <c r="AF45" s="248"/>
      <c r="AG45" s="248"/>
      <c r="AH45" s="248"/>
      <c r="AI45" s="248"/>
      <c r="AJ45" s="248"/>
      <c r="AK45" s="248"/>
      <c r="AL45" s="248"/>
      <c r="AM45" s="248"/>
      <c r="AN45" s="248"/>
      <c r="AO45" s="248"/>
      <c r="AP45" s="248"/>
      <c r="AQ45" s="248"/>
      <c r="AR45" s="248"/>
      <c r="AS45" s="248"/>
      <c r="AT45" s="248"/>
      <c r="AU45" s="248"/>
      <c r="AV45" s="248"/>
      <c r="AW45" s="248"/>
      <c r="AX45" s="248"/>
      <c r="AY45" s="248"/>
      <c r="AZ45" s="247"/>
      <c r="BA45" s="249"/>
      <c r="BB45" s="249"/>
      <c r="BC45" s="249"/>
      <c r="BD45" s="249"/>
      <c r="BE45" s="122"/>
      <c r="BF45" s="122"/>
      <c r="BG45" s="122"/>
      <c r="BH45" s="122"/>
      <c r="BI45" s="122"/>
      <c r="BJ45" s="122"/>
      <c r="BK45" s="122"/>
      <c r="BL45" s="122"/>
      <c r="BM45" s="122"/>
      <c r="BN45" s="122"/>
    </row>
    <row r="46" spans="1:66" x14ac:dyDescent="0.2">
      <c r="A46" s="122"/>
      <c r="B46" s="423"/>
      <c r="C46" s="423"/>
      <c r="D46" s="1598"/>
      <c r="E46" s="1597" t="s">
        <v>3932</v>
      </c>
      <c r="F46" s="79"/>
      <c r="G46" s="247"/>
      <c r="H46" s="248"/>
      <c r="I46" s="248"/>
      <c r="J46" s="248"/>
      <c r="K46" s="248"/>
      <c r="L46" s="248"/>
      <c r="M46" s="248"/>
      <c r="N46" s="248"/>
      <c r="O46" s="248"/>
      <c r="P46" s="122"/>
      <c r="Q46" s="122"/>
      <c r="R46" s="122"/>
      <c r="S46" s="122"/>
      <c r="T46" s="122"/>
      <c r="U46" s="122"/>
      <c r="V46" s="122"/>
      <c r="W46" s="248"/>
      <c r="X46" s="248"/>
      <c r="Y46" s="248"/>
      <c r="Z46" s="248"/>
      <c r="AA46" s="248"/>
      <c r="AB46" s="248"/>
      <c r="AC46" s="248"/>
      <c r="AD46" s="248"/>
      <c r="AE46" s="248"/>
      <c r="AF46" s="248"/>
      <c r="AG46" s="248"/>
      <c r="AH46" s="248"/>
      <c r="AI46" s="248"/>
      <c r="AJ46" s="248"/>
      <c r="AK46" s="248"/>
      <c r="AL46" s="248"/>
      <c r="AM46" s="248"/>
      <c r="AN46" s="248"/>
      <c r="AO46" s="248"/>
      <c r="AP46" s="248"/>
      <c r="AQ46" s="248"/>
      <c r="AR46" s="248"/>
      <c r="AS46" s="248"/>
      <c r="AT46" s="248"/>
      <c r="AU46" s="248"/>
      <c r="AV46" s="248"/>
      <c r="AW46" s="248"/>
      <c r="AX46" s="248"/>
      <c r="AY46" s="248"/>
      <c r="AZ46" s="247"/>
      <c r="BA46" s="249"/>
      <c r="BB46" s="249"/>
      <c r="BC46" s="249"/>
      <c r="BD46" s="249"/>
      <c r="BE46" s="122"/>
      <c r="BF46" s="122"/>
      <c r="BG46" s="122"/>
      <c r="BH46" s="122"/>
      <c r="BI46" s="122"/>
      <c r="BJ46" s="122"/>
      <c r="BK46" s="122"/>
      <c r="BL46" s="122"/>
      <c r="BM46" s="122"/>
      <c r="BN46" s="122"/>
    </row>
    <row r="47" spans="1:66" ht="30" x14ac:dyDescent="0.2">
      <c r="A47" s="122">
        <v>7</v>
      </c>
      <c r="B47" s="423" t="s">
        <v>254</v>
      </c>
      <c r="C47" s="423" t="s">
        <v>3898</v>
      </c>
      <c r="D47" s="1596" t="s">
        <v>3898</v>
      </c>
      <c r="E47" s="1597" t="s">
        <v>3899</v>
      </c>
      <c r="F47" s="79" t="s">
        <v>3933</v>
      </c>
      <c r="G47" s="247">
        <v>0.59399999999999997</v>
      </c>
      <c r="H47" s="248">
        <v>17080000</v>
      </c>
      <c r="I47" s="248"/>
      <c r="J47" s="248">
        <v>905872</v>
      </c>
      <c r="K47" s="248">
        <v>746919</v>
      </c>
      <c r="L47" s="248">
        <f t="shared" ref="L47:O47" si="12" xml:space="preserve"> H47*$G47</f>
        <v>10145520</v>
      </c>
      <c r="M47" s="248">
        <f t="shared" si="12"/>
        <v>0</v>
      </c>
      <c r="N47" s="248">
        <f t="shared" si="12"/>
        <v>538087.96799999999</v>
      </c>
      <c r="O47" s="248">
        <f t="shared" si="12"/>
        <v>443669.886</v>
      </c>
      <c r="P47" s="122"/>
      <c r="Q47" s="122"/>
      <c r="R47" s="122"/>
      <c r="S47" s="122"/>
      <c r="T47" s="122"/>
      <c r="U47" s="122"/>
      <c r="V47" s="122"/>
      <c r="W47" s="248">
        <f xml:space="preserve"> $H47</f>
        <v>17080000</v>
      </c>
      <c r="X47" s="248">
        <f xml:space="preserve"> $I47</f>
        <v>0</v>
      </c>
      <c r="Y47" s="248">
        <f xml:space="preserve"> $J47</f>
        <v>905872</v>
      </c>
      <c r="Z47" s="248">
        <f xml:space="preserve"> $K47</f>
        <v>746919</v>
      </c>
      <c r="AA47" s="248">
        <f t="shared" ref="AA47:AD47" si="13" xml:space="preserve"> $V47*W47</f>
        <v>0</v>
      </c>
      <c r="AB47" s="248">
        <f t="shared" si="13"/>
        <v>0</v>
      </c>
      <c r="AC47" s="248">
        <f t="shared" si="13"/>
        <v>0</v>
      </c>
      <c r="AD47" s="248">
        <f t="shared" si="13"/>
        <v>0</v>
      </c>
      <c r="AE47" s="248"/>
      <c r="AF47" s="248"/>
      <c r="AG47" s="248"/>
      <c r="AH47" s="248"/>
      <c r="AI47" s="248"/>
      <c r="AJ47" s="248"/>
      <c r="AK47" s="248"/>
      <c r="AL47" s="248"/>
      <c r="AM47" s="248"/>
      <c r="AN47" s="248"/>
      <c r="AO47" s="248"/>
      <c r="AP47" s="248"/>
      <c r="AQ47" s="248"/>
      <c r="AR47" s="248">
        <f xml:space="preserve"> $H47</f>
        <v>17080000</v>
      </c>
      <c r="AS47" s="248">
        <f xml:space="preserve"> $I47</f>
        <v>0</v>
      </c>
      <c r="AT47" s="248">
        <f xml:space="preserve"> $J47</f>
        <v>905872</v>
      </c>
      <c r="AU47" s="248">
        <f xml:space="preserve"> $K47</f>
        <v>746919</v>
      </c>
      <c r="AV47" s="248"/>
      <c r="AW47" s="248"/>
      <c r="AX47" s="248"/>
      <c r="AY47" s="248"/>
      <c r="AZ47" s="247">
        <f xml:space="preserve"> G47</f>
        <v>0.59399999999999997</v>
      </c>
      <c r="BA47" s="249"/>
      <c r="BB47" s="249"/>
      <c r="BC47" s="249"/>
      <c r="BD47" s="249">
        <v>1</v>
      </c>
      <c r="BE47" s="122" t="s">
        <v>3911</v>
      </c>
      <c r="BF47" s="122"/>
      <c r="BG47" s="122" t="s">
        <v>3933</v>
      </c>
      <c r="BH47" s="122"/>
      <c r="BI47" s="122" t="s">
        <v>3910</v>
      </c>
      <c r="BJ47" s="122" t="s">
        <v>66</v>
      </c>
      <c r="BK47" s="122"/>
      <c r="BL47" s="122"/>
      <c r="BM47" s="122"/>
      <c r="BN47" s="122"/>
    </row>
    <row r="48" spans="1:66" x14ac:dyDescent="0.2">
      <c r="A48" s="122"/>
      <c r="B48" s="423"/>
      <c r="C48" s="423"/>
      <c r="D48" s="1598"/>
      <c r="E48" s="1597" t="s">
        <v>4022</v>
      </c>
      <c r="F48" s="79"/>
      <c r="G48" s="247"/>
      <c r="H48" s="248"/>
      <c r="I48" s="248"/>
      <c r="J48" s="248"/>
      <c r="K48" s="248"/>
      <c r="L48" s="248"/>
      <c r="M48" s="248"/>
      <c r="N48" s="248"/>
      <c r="O48" s="248"/>
      <c r="P48" s="122"/>
      <c r="Q48" s="122"/>
      <c r="R48" s="122"/>
      <c r="S48" s="122"/>
      <c r="T48" s="122"/>
      <c r="U48" s="122"/>
      <c r="V48" s="122"/>
      <c r="W48" s="248"/>
      <c r="X48" s="248"/>
      <c r="Y48" s="248"/>
      <c r="Z48" s="248"/>
      <c r="AA48" s="248"/>
      <c r="AB48" s="248"/>
      <c r="AC48" s="248"/>
      <c r="AD48" s="248"/>
      <c r="AE48" s="248"/>
      <c r="AF48" s="248"/>
      <c r="AG48" s="248"/>
      <c r="AH48" s="248"/>
      <c r="AI48" s="248"/>
      <c r="AJ48" s="248"/>
      <c r="AK48" s="248"/>
      <c r="AL48" s="248"/>
      <c r="AM48" s="248"/>
      <c r="AN48" s="248"/>
      <c r="AO48" s="248"/>
      <c r="AP48" s="248"/>
      <c r="AQ48" s="248"/>
      <c r="AR48" s="248"/>
      <c r="AS48" s="248"/>
      <c r="AT48" s="248"/>
      <c r="AU48" s="248"/>
      <c r="AV48" s="248"/>
      <c r="AW48" s="248"/>
      <c r="AX48" s="248"/>
      <c r="AY48" s="248"/>
      <c r="AZ48" s="247"/>
      <c r="BA48" s="249"/>
      <c r="BB48" s="249"/>
      <c r="BC48" s="249"/>
      <c r="BD48" s="249"/>
      <c r="BE48" s="122"/>
      <c r="BF48" s="122"/>
      <c r="BG48" s="122"/>
      <c r="BH48" s="122"/>
      <c r="BI48" s="122"/>
      <c r="BJ48" s="122"/>
      <c r="BK48" s="122"/>
      <c r="BL48" s="122"/>
      <c r="BM48" s="122"/>
      <c r="BN48" s="122"/>
    </row>
    <row r="49" spans="1:66" x14ac:dyDescent="0.2">
      <c r="A49" s="122"/>
      <c r="B49" s="423"/>
      <c r="C49" s="423"/>
      <c r="D49" s="1598"/>
      <c r="E49" s="1597" t="s">
        <v>4023</v>
      </c>
      <c r="F49" s="79"/>
      <c r="G49" s="247"/>
      <c r="H49" s="248"/>
      <c r="I49" s="248"/>
      <c r="J49" s="248"/>
      <c r="K49" s="248"/>
      <c r="L49" s="248"/>
      <c r="M49" s="248"/>
      <c r="N49" s="248"/>
      <c r="O49" s="248"/>
      <c r="P49" s="122"/>
      <c r="Q49" s="122"/>
      <c r="R49" s="122"/>
      <c r="S49" s="122"/>
      <c r="T49" s="122"/>
      <c r="U49" s="122"/>
      <c r="V49" s="122"/>
      <c r="W49" s="248"/>
      <c r="X49" s="248"/>
      <c r="Y49" s="248"/>
      <c r="Z49" s="248"/>
      <c r="AA49" s="248"/>
      <c r="AB49" s="248"/>
      <c r="AC49" s="248"/>
      <c r="AD49" s="248"/>
      <c r="AE49" s="248"/>
      <c r="AF49" s="248"/>
      <c r="AG49" s="248"/>
      <c r="AH49" s="248"/>
      <c r="AI49" s="248"/>
      <c r="AJ49" s="248"/>
      <c r="AK49" s="248"/>
      <c r="AL49" s="248"/>
      <c r="AM49" s="248"/>
      <c r="AN49" s="248"/>
      <c r="AO49" s="248"/>
      <c r="AP49" s="248"/>
      <c r="AQ49" s="248"/>
      <c r="AR49" s="248"/>
      <c r="AS49" s="248"/>
      <c r="AT49" s="248"/>
      <c r="AU49" s="248"/>
      <c r="AV49" s="248"/>
      <c r="AW49" s="248"/>
      <c r="AX49" s="248"/>
      <c r="AY49" s="248"/>
      <c r="AZ49" s="247"/>
      <c r="BA49" s="249"/>
      <c r="BB49" s="249"/>
      <c r="BC49" s="249"/>
      <c r="BD49" s="249"/>
      <c r="BE49" s="122"/>
      <c r="BF49" s="122"/>
      <c r="BG49" s="122"/>
      <c r="BH49" s="122"/>
      <c r="BI49" s="122"/>
      <c r="BJ49" s="122"/>
      <c r="BK49" s="122"/>
      <c r="BL49" s="122"/>
      <c r="BM49" s="122"/>
      <c r="BN49" s="122"/>
    </row>
    <row r="50" spans="1:66" x14ac:dyDescent="0.2">
      <c r="A50" s="122"/>
      <c r="B50" s="423"/>
      <c r="C50" s="423"/>
      <c r="D50" s="1598"/>
      <c r="E50" s="1597" t="s">
        <v>4024</v>
      </c>
      <c r="F50" s="79"/>
      <c r="G50" s="247"/>
      <c r="H50" s="248"/>
      <c r="I50" s="248"/>
      <c r="J50" s="248"/>
      <c r="K50" s="248"/>
      <c r="L50" s="248"/>
      <c r="M50" s="248"/>
      <c r="N50" s="248"/>
      <c r="O50" s="248"/>
      <c r="P50" s="122"/>
      <c r="Q50" s="122"/>
      <c r="R50" s="122"/>
      <c r="S50" s="122"/>
      <c r="T50" s="122"/>
      <c r="U50" s="122"/>
      <c r="V50" s="122"/>
      <c r="W50" s="248"/>
      <c r="X50" s="248"/>
      <c r="Y50" s="248"/>
      <c r="Z50" s="248"/>
      <c r="AA50" s="248"/>
      <c r="AB50" s="248"/>
      <c r="AC50" s="248"/>
      <c r="AD50" s="248"/>
      <c r="AE50" s="248"/>
      <c r="AF50" s="248"/>
      <c r="AG50" s="248"/>
      <c r="AH50" s="248"/>
      <c r="AI50" s="248"/>
      <c r="AJ50" s="248"/>
      <c r="AK50" s="248"/>
      <c r="AL50" s="248"/>
      <c r="AM50" s="248"/>
      <c r="AN50" s="248"/>
      <c r="AO50" s="248"/>
      <c r="AP50" s="248"/>
      <c r="AQ50" s="248"/>
      <c r="AR50" s="248"/>
      <c r="AS50" s="248"/>
      <c r="AT50" s="248"/>
      <c r="AU50" s="248"/>
      <c r="AV50" s="248"/>
      <c r="AW50" s="248"/>
      <c r="AX50" s="248"/>
      <c r="AY50" s="248"/>
      <c r="AZ50" s="247"/>
      <c r="BA50" s="249"/>
      <c r="BB50" s="249"/>
      <c r="BC50" s="249"/>
      <c r="BD50" s="249"/>
      <c r="BE50" s="122"/>
      <c r="BF50" s="122"/>
      <c r="BG50" s="122"/>
      <c r="BH50" s="122"/>
      <c r="BI50" s="122"/>
      <c r="BJ50" s="122"/>
      <c r="BK50" s="122"/>
      <c r="BL50" s="122"/>
      <c r="BM50" s="122"/>
      <c r="BN50" s="122"/>
    </row>
    <row r="51" spans="1:66" x14ac:dyDescent="0.2">
      <c r="A51" s="122"/>
      <c r="B51" s="423"/>
      <c r="C51" s="423"/>
      <c r="D51" s="1598"/>
      <c r="E51" s="1597" t="s">
        <v>4025</v>
      </c>
      <c r="F51" s="79"/>
      <c r="G51" s="247"/>
      <c r="H51" s="248"/>
      <c r="I51" s="248"/>
      <c r="J51" s="248"/>
      <c r="K51" s="248"/>
      <c r="L51" s="248"/>
      <c r="M51" s="248"/>
      <c r="N51" s="248"/>
      <c r="O51" s="248"/>
      <c r="P51" s="122"/>
      <c r="Q51" s="122"/>
      <c r="R51" s="122"/>
      <c r="S51" s="122"/>
      <c r="T51" s="122"/>
      <c r="U51" s="122"/>
      <c r="V51" s="122"/>
      <c r="W51" s="248"/>
      <c r="X51" s="248"/>
      <c r="Y51" s="248"/>
      <c r="Z51" s="248"/>
      <c r="AA51" s="248"/>
      <c r="AB51" s="248"/>
      <c r="AC51" s="248"/>
      <c r="AD51" s="248"/>
      <c r="AE51" s="248"/>
      <c r="AF51" s="248"/>
      <c r="AG51" s="248"/>
      <c r="AH51" s="248"/>
      <c r="AI51" s="248"/>
      <c r="AJ51" s="248"/>
      <c r="AK51" s="248"/>
      <c r="AL51" s="248"/>
      <c r="AM51" s="248"/>
      <c r="AN51" s="248"/>
      <c r="AO51" s="248"/>
      <c r="AP51" s="248"/>
      <c r="AQ51" s="248"/>
      <c r="AR51" s="248"/>
      <c r="AS51" s="248"/>
      <c r="AT51" s="248"/>
      <c r="AU51" s="248"/>
      <c r="AV51" s="248"/>
      <c r="AW51" s="248"/>
      <c r="AX51" s="248"/>
      <c r="AY51" s="248"/>
      <c r="AZ51" s="247"/>
      <c r="BA51" s="249"/>
      <c r="BB51" s="249"/>
      <c r="BC51" s="249"/>
      <c r="BD51" s="249"/>
      <c r="BE51" s="122"/>
      <c r="BF51" s="122"/>
      <c r="BG51" s="122"/>
      <c r="BH51" s="122"/>
      <c r="BI51" s="122"/>
      <c r="BJ51" s="122"/>
      <c r="BK51" s="122"/>
      <c r="BL51" s="122"/>
      <c r="BM51" s="122"/>
      <c r="BN51" s="122"/>
    </row>
    <row r="52" spans="1:66" ht="30" x14ac:dyDescent="0.2">
      <c r="A52" s="122">
        <v>8</v>
      </c>
      <c r="B52" s="423" t="s">
        <v>254</v>
      </c>
      <c r="C52" s="423" t="s">
        <v>3900</v>
      </c>
      <c r="D52" s="1596" t="s">
        <v>3900</v>
      </c>
      <c r="E52" s="1597" t="s">
        <v>3901</v>
      </c>
      <c r="F52" s="79" t="s">
        <v>644</v>
      </c>
      <c r="G52" s="247">
        <v>1</v>
      </c>
      <c r="H52" s="248">
        <v>14967450</v>
      </c>
      <c r="I52" s="248"/>
      <c r="J52" s="248">
        <v>3114083</v>
      </c>
      <c r="K52" s="248">
        <v>93042</v>
      </c>
      <c r="L52" s="248">
        <f t="shared" ref="L52:O52" si="14" xml:space="preserve"> H52*$G52</f>
        <v>14967450</v>
      </c>
      <c r="M52" s="248">
        <f t="shared" si="14"/>
        <v>0</v>
      </c>
      <c r="N52" s="248">
        <f t="shared" si="14"/>
        <v>3114083</v>
      </c>
      <c r="O52" s="248">
        <f t="shared" si="14"/>
        <v>93042</v>
      </c>
      <c r="P52" s="122"/>
      <c r="Q52" s="122"/>
      <c r="R52" s="122"/>
      <c r="S52" s="122"/>
      <c r="T52" s="122"/>
      <c r="U52" s="122"/>
      <c r="V52" s="122"/>
      <c r="W52" s="248">
        <f xml:space="preserve"> $H52</f>
        <v>14967450</v>
      </c>
      <c r="X52" s="248">
        <f xml:space="preserve"> $I52</f>
        <v>0</v>
      </c>
      <c r="Y52" s="248">
        <f xml:space="preserve"> $J52</f>
        <v>3114083</v>
      </c>
      <c r="Z52" s="248">
        <f xml:space="preserve"> $K52</f>
        <v>93042</v>
      </c>
      <c r="AA52" s="248">
        <f t="shared" ref="AA52:AD52" si="15" xml:space="preserve"> $V52*W52</f>
        <v>0</v>
      </c>
      <c r="AB52" s="248">
        <f t="shared" si="15"/>
        <v>0</v>
      </c>
      <c r="AC52" s="248">
        <f t="shared" si="15"/>
        <v>0</v>
      </c>
      <c r="AD52" s="248">
        <f t="shared" si="15"/>
        <v>0</v>
      </c>
      <c r="AE52" s="248"/>
      <c r="AF52" s="248"/>
      <c r="AG52" s="248"/>
      <c r="AH52" s="248"/>
      <c r="AI52" s="248"/>
      <c r="AJ52" s="248"/>
      <c r="AK52" s="248"/>
      <c r="AL52" s="248"/>
      <c r="AM52" s="248"/>
      <c r="AN52" s="248"/>
      <c r="AO52" s="248"/>
      <c r="AP52" s="248"/>
      <c r="AQ52" s="248"/>
      <c r="AR52" s="248">
        <f xml:space="preserve"> $H52</f>
        <v>14967450</v>
      </c>
      <c r="AS52" s="248">
        <f xml:space="preserve"> $I52</f>
        <v>0</v>
      </c>
      <c r="AT52" s="248">
        <f xml:space="preserve"> $J52</f>
        <v>3114083</v>
      </c>
      <c r="AU52" s="248">
        <f xml:space="preserve"> $K52</f>
        <v>93042</v>
      </c>
      <c r="AV52" s="248"/>
      <c r="AW52" s="248"/>
      <c r="AX52" s="248"/>
      <c r="AY52" s="248"/>
      <c r="AZ52" s="247">
        <f xml:space="preserve"> G52</f>
        <v>1</v>
      </c>
      <c r="BA52" s="249"/>
      <c r="BB52" s="249" t="s">
        <v>95</v>
      </c>
      <c r="BC52" s="249"/>
      <c r="BD52" s="249">
        <v>1</v>
      </c>
      <c r="BE52" s="122" t="s">
        <v>3911</v>
      </c>
      <c r="BF52" s="122"/>
      <c r="BG52" s="122" t="s">
        <v>644</v>
      </c>
      <c r="BH52" s="122"/>
      <c r="BI52" s="122" t="s">
        <v>3910</v>
      </c>
      <c r="BJ52" s="122" t="s">
        <v>66</v>
      </c>
      <c r="BK52" s="122"/>
      <c r="BL52" s="122"/>
      <c r="BM52" s="122"/>
      <c r="BN52" s="122"/>
    </row>
    <row r="53" spans="1:66" x14ac:dyDescent="0.2">
      <c r="A53" s="122"/>
      <c r="B53" s="423"/>
      <c r="C53" s="423"/>
      <c r="D53" s="1598"/>
      <c r="E53" s="1597" t="s">
        <v>3934</v>
      </c>
      <c r="F53" s="79"/>
      <c r="G53" s="247"/>
      <c r="H53" s="248"/>
      <c r="I53" s="248"/>
      <c r="J53" s="248"/>
      <c r="K53" s="248"/>
      <c r="L53" s="248"/>
      <c r="M53" s="248"/>
      <c r="N53" s="248"/>
      <c r="O53" s="248"/>
      <c r="P53" s="122"/>
      <c r="Q53" s="122"/>
      <c r="R53" s="122"/>
      <c r="S53" s="122"/>
      <c r="T53" s="122"/>
      <c r="U53" s="122"/>
      <c r="V53" s="122"/>
      <c r="W53" s="248"/>
      <c r="X53" s="248"/>
      <c r="Y53" s="248"/>
      <c r="Z53" s="248"/>
      <c r="AA53" s="248"/>
      <c r="AB53" s="248"/>
      <c r="AC53" s="248"/>
      <c r="AD53" s="248"/>
      <c r="AE53" s="248"/>
      <c r="AF53" s="248"/>
      <c r="AG53" s="248"/>
      <c r="AH53" s="248"/>
      <c r="AI53" s="248"/>
      <c r="AJ53" s="248"/>
      <c r="AK53" s="248"/>
      <c r="AL53" s="248"/>
      <c r="AM53" s="248"/>
      <c r="AN53" s="248"/>
      <c r="AO53" s="248"/>
      <c r="AP53" s="248"/>
      <c r="AQ53" s="248"/>
      <c r="AR53" s="248"/>
      <c r="AS53" s="248"/>
      <c r="AT53" s="248"/>
      <c r="AU53" s="248"/>
      <c r="AV53" s="248"/>
      <c r="AW53" s="248"/>
      <c r="AX53" s="248"/>
      <c r="AY53" s="248"/>
      <c r="AZ53" s="247"/>
      <c r="BA53" s="249"/>
      <c r="BB53" s="249"/>
      <c r="BC53" s="249"/>
      <c r="BD53" s="249"/>
      <c r="BE53" s="122"/>
      <c r="BF53" s="122"/>
      <c r="BG53" s="122"/>
      <c r="BH53" s="122"/>
      <c r="BI53" s="122"/>
      <c r="BJ53" s="122"/>
      <c r="BK53" s="122"/>
      <c r="BL53" s="122"/>
      <c r="BM53" s="122"/>
      <c r="BN53" s="122"/>
    </row>
    <row r="54" spans="1:66" ht="30" x14ac:dyDescent="0.2">
      <c r="A54" s="122">
        <v>9</v>
      </c>
      <c r="B54" s="423" t="s">
        <v>3935</v>
      </c>
      <c r="C54" s="423" t="s">
        <v>3936</v>
      </c>
      <c r="D54" s="1596" t="s">
        <v>3902</v>
      </c>
      <c r="E54" s="1597" t="s">
        <v>3903</v>
      </c>
      <c r="F54" s="79" t="s">
        <v>647</v>
      </c>
      <c r="G54" s="247">
        <v>59.4</v>
      </c>
      <c r="H54" s="248">
        <v>897215</v>
      </c>
      <c r="I54" s="248"/>
      <c r="J54" s="248">
        <v>308465</v>
      </c>
      <c r="K54" s="248">
        <v>47209</v>
      </c>
      <c r="L54" s="248">
        <f t="shared" ref="L54:O54" si="16" xml:space="preserve"> H54*$G54</f>
        <v>53294571</v>
      </c>
      <c r="M54" s="248">
        <f t="shared" si="16"/>
        <v>0</v>
      </c>
      <c r="N54" s="248">
        <f t="shared" si="16"/>
        <v>18322821</v>
      </c>
      <c r="O54" s="248">
        <f t="shared" si="16"/>
        <v>2804214.6</v>
      </c>
      <c r="P54" s="122"/>
      <c r="Q54" s="122"/>
      <c r="R54" s="122"/>
      <c r="S54" s="122"/>
      <c r="T54" s="122"/>
      <c r="U54" s="122"/>
      <c r="V54" s="122"/>
      <c r="W54" s="248">
        <f xml:space="preserve"> $H54</f>
        <v>897215</v>
      </c>
      <c r="X54" s="248">
        <f xml:space="preserve"> $I54</f>
        <v>0</v>
      </c>
      <c r="Y54" s="248">
        <f xml:space="preserve"> $J54</f>
        <v>308465</v>
      </c>
      <c r="Z54" s="248">
        <f xml:space="preserve"> $K54</f>
        <v>47209</v>
      </c>
      <c r="AA54" s="248">
        <f t="shared" ref="AA54:AD54" si="17" xml:space="preserve"> $V54*W54</f>
        <v>0</v>
      </c>
      <c r="AB54" s="248">
        <f t="shared" si="17"/>
        <v>0</v>
      </c>
      <c r="AC54" s="248">
        <f t="shared" si="17"/>
        <v>0</v>
      </c>
      <c r="AD54" s="248">
        <f t="shared" si="17"/>
        <v>0</v>
      </c>
      <c r="AE54" s="248"/>
      <c r="AF54" s="248"/>
      <c r="AG54" s="248"/>
      <c r="AH54" s="248"/>
      <c r="AI54" s="248"/>
      <c r="AJ54" s="248"/>
      <c r="AK54" s="248"/>
      <c r="AL54" s="248"/>
      <c r="AM54" s="248"/>
      <c r="AN54" s="248"/>
      <c r="AO54" s="248"/>
      <c r="AP54" s="248"/>
      <c r="AQ54" s="248"/>
      <c r="AR54" s="248">
        <f xml:space="preserve"> $H54</f>
        <v>897215</v>
      </c>
      <c r="AS54" s="248">
        <f xml:space="preserve"> $I54</f>
        <v>0</v>
      </c>
      <c r="AT54" s="248">
        <f xml:space="preserve"> $J54</f>
        <v>308465</v>
      </c>
      <c r="AU54" s="248">
        <f xml:space="preserve"> $K54</f>
        <v>47209</v>
      </c>
      <c r="AV54" s="248"/>
      <c r="AW54" s="248"/>
      <c r="AX54" s="248"/>
      <c r="AY54" s="248"/>
      <c r="AZ54" s="247">
        <f xml:space="preserve"> G54</f>
        <v>59.4</v>
      </c>
      <c r="BA54" s="249"/>
      <c r="BB54" s="249"/>
      <c r="BC54" s="249"/>
      <c r="BD54" s="249">
        <v>1</v>
      </c>
      <c r="BE54" s="122" t="s">
        <v>3911</v>
      </c>
      <c r="BF54" s="122"/>
      <c r="BG54" s="122" t="s">
        <v>647</v>
      </c>
      <c r="BH54" s="122"/>
      <c r="BI54" s="122" t="s">
        <v>3910</v>
      </c>
      <c r="BJ54" s="122" t="s">
        <v>66</v>
      </c>
      <c r="BK54" s="122"/>
      <c r="BL54" s="122"/>
      <c r="BM54" s="122"/>
      <c r="BN54" s="122"/>
    </row>
    <row r="55" spans="1:66" x14ac:dyDescent="0.2">
      <c r="A55" s="122"/>
      <c r="B55" s="423"/>
      <c r="C55" s="423"/>
      <c r="D55" s="1598"/>
      <c r="E55" s="1597" t="s">
        <v>3937</v>
      </c>
      <c r="F55" s="79"/>
      <c r="G55" s="247"/>
      <c r="H55" s="248"/>
      <c r="I55" s="248"/>
      <c r="J55" s="248"/>
      <c r="K55" s="248"/>
      <c r="L55" s="248"/>
      <c r="M55" s="248"/>
      <c r="N55" s="248"/>
      <c r="O55" s="248"/>
      <c r="P55" s="122"/>
      <c r="Q55" s="122"/>
      <c r="R55" s="122"/>
      <c r="S55" s="122"/>
      <c r="T55" s="122"/>
      <c r="U55" s="122"/>
      <c r="V55" s="122"/>
      <c r="W55" s="248"/>
      <c r="X55" s="248"/>
      <c r="Y55" s="248"/>
      <c r="Z55" s="248"/>
      <c r="AA55" s="248"/>
      <c r="AB55" s="248"/>
      <c r="AC55" s="248"/>
      <c r="AD55" s="248"/>
      <c r="AE55" s="248"/>
      <c r="AF55" s="248"/>
      <c r="AG55" s="248"/>
      <c r="AH55" s="248"/>
      <c r="AI55" s="248"/>
      <c r="AJ55" s="248"/>
      <c r="AK55" s="248"/>
      <c r="AL55" s="248"/>
      <c r="AM55" s="248"/>
      <c r="AN55" s="248"/>
      <c r="AO55" s="248"/>
      <c r="AP55" s="248"/>
      <c r="AQ55" s="248"/>
      <c r="AR55" s="248"/>
      <c r="AS55" s="248"/>
      <c r="AT55" s="248"/>
      <c r="AU55" s="248"/>
      <c r="AV55" s="248"/>
      <c r="AW55" s="248"/>
      <c r="AX55" s="248"/>
      <c r="AY55" s="248"/>
      <c r="AZ55" s="247"/>
      <c r="BA55" s="249"/>
      <c r="BB55" s="249"/>
      <c r="BC55" s="249"/>
      <c r="BD55" s="249"/>
      <c r="BE55" s="122"/>
      <c r="BF55" s="122"/>
      <c r="BG55" s="122"/>
      <c r="BH55" s="122"/>
      <c r="BI55" s="122"/>
      <c r="BJ55" s="122"/>
      <c r="BK55" s="122"/>
      <c r="BL55" s="122"/>
      <c r="BM55" s="122"/>
      <c r="BN55" s="122"/>
    </row>
    <row r="56" spans="1:66" x14ac:dyDescent="0.2">
      <c r="A56" s="122"/>
      <c r="B56" s="423"/>
      <c r="C56" s="423"/>
      <c r="D56" s="1598"/>
      <c r="E56" s="1597" t="s">
        <v>3938</v>
      </c>
      <c r="F56" s="79"/>
      <c r="G56" s="247"/>
      <c r="H56" s="248"/>
      <c r="I56" s="248"/>
      <c r="J56" s="248"/>
      <c r="K56" s="248"/>
      <c r="L56" s="248"/>
      <c r="M56" s="248"/>
      <c r="N56" s="248"/>
      <c r="O56" s="248"/>
      <c r="P56" s="122"/>
      <c r="Q56" s="122"/>
      <c r="R56" s="122"/>
      <c r="S56" s="122"/>
      <c r="T56" s="122"/>
      <c r="U56" s="122"/>
      <c r="V56" s="122"/>
      <c r="W56" s="248"/>
      <c r="X56" s="248"/>
      <c r="Y56" s="248"/>
      <c r="Z56" s="248"/>
      <c r="AA56" s="248"/>
      <c r="AB56" s="248"/>
      <c r="AC56" s="248"/>
      <c r="AD56" s="248"/>
      <c r="AE56" s="248"/>
      <c r="AF56" s="248"/>
      <c r="AG56" s="248"/>
      <c r="AH56" s="248"/>
      <c r="AI56" s="248"/>
      <c r="AJ56" s="248"/>
      <c r="AK56" s="248"/>
      <c r="AL56" s="248"/>
      <c r="AM56" s="248"/>
      <c r="AN56" s="248"/>
      <c r="AO56" s="248"/>
      <c r="AP56" s="248"/>
      <c r="AQ56" s="248"/>
      <c r="AR56" s="248"/>
      <c r="AS56" s="248"/>
      <c r="AT56" s="248"/>
      <c r="AU56" s="248"/>
      <c r="AV56" s="248"/>
      <c r="AW56" s="248"/>
      <c r="AX56" s="248"/>
      <c r="AY56" s="248"/>
      <c r="AZ56" s="247"/>
      <c r="BA56" s="249"/>
      <c r="BB56" s="249"/>
      <c r="BC56" s="249"/>
      <c r="BD56" s="249"/>
      <c r="BE56" s="122"/>
      <c r="BF56" s="122"/>
      <c r="BG56" s="122"/>
      <c r="BH56" s="122"/>
      <c r="BI56" s="122"/>
      <c r="BJ56" s="122"/>
      <c r="BK56" s="122"/>
      <c r="BL56" s="122"/>
      <c r="BM56" s="122"/>
      <c r="BN56" s="122"/>
    </row>
    <row r="57" spans="1:66" x14ac:dyDescent="0.2">
      <c r="A57" s="122"/>
      <c r="B57" s="423"/>
      <c r="C57" s="423"/>
      <c r="D57" s="1598"/>
      <c r="E57" s="1597" t="s">
        <v>3939</v>
      </c>
      <c r="F57" s="79"/>
      <c r="G57" s="247"/>
      <c r="H57" s="248"/>
      <c r="I57" s="248"/>
      <c r="J57" s="248"/>
      <c r="K57" s="248"/>
      <c r="L57" s="248"/>
      <c r="M57" s="248"/>
      <c r="N57" s="248"/>
      <c r="O57" s="248"/>
      <c r="P57" s="122"/>
      <c r="Q57" s="122"/>
      <c r="R57" s="122"/>
      <c r="S57" s="122"/>
      <c r="T57" s="122"/>
      <c r="U57" s="122"/>
      <c r="V57" s="122"/>
      <c r="W57" s="248"/>
      <c r="X57" s="248"/>
      <c r="Y57" s="248"/>
      <c r="Z57" s="248"/>
      <c r="AA57" s="248"/>
      <c r="AB57" s="248"/>
      <c r="AC57" s="248"/>
      <c r="AD57" s="248"/>
      <c r="AE57" s="248"/>
      <c r="AF57" s="248"/>
      <c r="AG57" s="248"/>
      <c r="AH57" s="248"/>
      <c r="AI57" s="248"/>
      <c r="AJ57" s="248"/>
      <c r="AK57" s="248"/>
      <c r="AL57" s="248"/>
      <c r="AM57" s="248"/>
      <c r="AN57" s="248"/>
      <c r="AO57" s="248"/>
      <c r="AP57" s="248"/>
      <c r="AQ57" s="248"/>
      <c r="AR57" s="248"/>
      <c r="AS57" s="248"/>
      <c r="AT57" s="248"/>
      <c r="AU57" s="248"/>
      <c r="AV57" s="248"/>
      <c r="AW57" s="248"/>
      <c r="AX57" s="248"/>
      <c r="AY57" s="248"/>
      <c r="AZ57" s="247"/>
      <c r="BA57" s="249"/>
      <c r="BB57" s="249"/>
      <c r="BC57" s="249"/>
      <c r="BD57" s="249"/>
      <c r="BE57" s="122"/>
      <c r="BF57" s="122"/>
      <c r="BG57" s="122"/>
      <c r="BH57" s="122"/>
      <c r="BI57" s="122"/>
      <c r="BJ57" s="122"/>
      <c r="BK57" s="122"/>
      <c r="BL57" s="122"/>
      <c r="BM57" s="122"/>
      <c r="BN57" s="122"/>
    </row>
    <row r="58" spans="1:66" x14ac:dyDescent="0.2">
      <c r="A58" s="122"/>
      <c r="B58" s="423"/>
      <c r="C58" s="423"/>
      <c r="D58" s="1598"/>
      <c r="E58" s="1597" t="s">
        <v>3940</v>
      </c>
      <c r="F58" s="79"/>
      <c r="G58" s="247"/>
      <c r="H58" s="248"/>
      <c r="I58" s="248"/>
      <c r="J58" s="248"/>
      <c r="K58" s="248"/>
      <c r="L58" s="248"/>
      <c r="M58" s="248"/>
      <c r="N58" s="248"/>
      <c r="O58" s="248"/>
      <c r="P58" s="122"/>
      <c r="Q58" s="122"/>
      <c r="R58" s="122"/>
      <c r="S58" s="122"/>
      <c r="T58" s="122"/>
      <c r="U58" s="122"/>
      <c r="V58" s="122"/>
      <c r="W58" s="248"/>
      <c r="X58" s="248"/>
      <c r="Y58" s="248"/>
      <c r="Z58" s="248"/>
      <c r="AA58" s="248"/>
      <c r="AB58" s="248"/>
      <c r="AC58" s="248"/>
      <c r="AD58" s="248"/>
      <c r="AE58" s="248"/>
      <c r="AF58" s="248"/>
      <c r="AG58" s="248"/>
      <c r="AH58" s="248"/>
      <c r="AI58" s="248"/>
      <c r="AJ58" s="248"/>
      <c r="AK58" s="248"/>
      <c r="AL58" s="248"/>
      <c r="AM58" s="248"/>
      <c r="AN58" s="248"/>
      <c r="AO58" s="248"/>
      <c r="AP58" s="248"/>
      <c r="AQ58" s="248"/>
      <c r="AR58" s="248"/>
      <c r="AS58" s="248"/>
      <c r="AT58" s="248"/>
      <c r="AU58" s="248"/>
      <c r="AV58" s="248"/>
      <c r="AW58" s="248"/>
      <c r="AX58" s="248"/>
      <c r="AY58" s="248"/>
      <c r="AZ58" s="247"/>
      <c r="BA58" s="249"/>
      <c r="BB58" s="249"/>
      <c r="BC58" s="249"/>
      <c r="BD58" s="249"/>
      <c r="BE58" s="122"/>
      <c r="BF58" s="122"/>
      <c r="BG58" s="122"/>
      <c r="BH58" s="122"/>
      <c r="BI58" s="122"/>
      <c r="BJ58" s="122"/>
      <c r="BK58" s="122"/>
      <c r="BL58" s="122"/>
      <c r="BM58" s="122"/>
      <c r="BN58" s="122"/>
    </row>
    <row r="59" spans="1:66" x14ac:dyDescent="0.2">
      <c r="A59" s="122">
        <v>10</v>
      </c>
      <c r="B59" s="423"/>
      <c r="C59" s="423"/>
      <c r="D59" s="1596" t="s">
        <v>93</v>
      </c>
      <c r="E59" s="1597" t="s">
        <v>3904</v>
      </c>
      <c r="F59" s="79" t="s">
        <v>3994</v>
      </c>
      <c r="G59" s="247">
        <v>594</v>
      </c>
      <c r="H59" s="248"/>
      <c r="I59" s="248"/>
      <c r="J59" s="248"/>
      <c r="K59" s="248"/>
      <c r="L59" s="248">
        <f t="shared" ref="L59:O59" si="18" xml:space="preserve"> H59*$G59</f>
        <v>0</v>
      </c>
      <c r="M59" s="248">
        <f t="shared" si="18"/>
        <v>0</v>
      </c>
      <c r="N59" s="248">
        <f t="shared" si="18"/>
        <v>0</v>
      </c>
      <c r="O59" s="248">
        <f t="shared" si="18"/>
        <v>0</v>
      </c>
      <c r="P59" s="122"/>
      <c r="Q59" s="122"/>
      <c r="R59" s="122"/>
      <c r="S59" s="122"/>
      <c r="T59" s="122"/>
      <c r="U59" s="122"/>
      <c r="V59" s="122"/>
      <c r="W59" s="248">
        <f xml:space="preserve"> $H59</f>
        <v>0</v>
      </c>
      <c r="X59" s="248">
        <f xml:space="preserve"> $I59</f>
        <v>0</v>
      </c>
      <c r="Y59" s="248">
        <f xml:space="preserve"> $J59</f>
        <v>0</v>
      </c>
      <c r="Z59" s="248">
        <f xml:space="preserve"> $K59</f>
        <v>0</v>
      </c>
      <c r="AA59" s="248">
        <f t="shared" ref="AA59:AD59" si="19" xml:space="preserve"> $V59*W59</f>
        <v>0</v>
      </c>
      <c r="AB59" s="248">
        <f t="shared" si="19"/>
        <v>0</v>
      </c>
      <c r="AC59" s="248">
        <f t="shared" si="19"/>
        <v>0</v>
      </c>
      <c r="AD59" s="248">
        <f t="shared" si="19"/>
        <v>0</v>
      </c>
      <c r="AE59" s="248"/>
      <c r="AF59" s="248"/>
      <c r="AG59" s="248"/>
      <c r="AH59" s="248"/>
      <c r="AI59" s="248"/>
      <c r="AJ59" s="248"/>
      <c r="AK59" s="248"/>
      <c r="AL59" s="248"/>
      <c r="AM59" s="248"/>
      <c r="AN59" s="248"/>
      <c r="AO59" s="248"/>
      <c r="AP59" s="248"/>
      <c r="AQ59" s="248"/>
      <c r="AR59" s="248">
        <f xml:space="preserve"> $H59</f>
        <v>0</v>
      </c>
      <c r="AS59" s="248">
        <f xml:space="preserve"> $I59</f>
        <v>0</v>
      </c>
      <c r="AT59" s="248">
        <f xml:space="preserve"> $J59</f>
        <v>0</v>
      </c>
      <c r="AU59" s="248">
        <f xml:space="preserve"> $K59</f>
        <v>0</v>
      </c>
      <c r="AV59" s="248"/>
      <c r="AW59" s="248"/>
      <c r="AX59" s="248"/>
      <c r="AY59" s="248"/>
      <c r="AZ59" s="247">
        <f xml:space="preserve"> $G59</f>
        <v>594</v>
      </c>
      <c r="BA59" s="249"/>
      <c r="BB59" s="249"/>
      <c r="BC59" s="249"/>
      <c r="BD59" s="249">
        <v>1</v>
      </c>
      <c r="BE59" s="122"/>
      <c r="BF59" s="122"/>
      <c r="BG59" s="122"/>
      <c r="BH59" s="122"/>
      <c r="BI59" s="122"/>
      <c r="BJ59" s="122" t="s">
        <v>66</v>
      </c>
      <c r="BK59" s="122"/>
      <c r="BL59" s="122"/>
      <c r="BM59" s="122"/>
      <c r="BN59" s="122"/>
    </row>
    <row r="60" spans="1:66" x14ac:dyDescent="0.2">
      <c r="A60" s="122"/>
      <c r="B60" s="423"/>
      <c r="C60" s="423"/>
      <c r="D60" s="1598"/>
      <c r="E60" s="1597" t="s">
        <v>3923</v>
      </c>
      <c r="F60" s="79"/>
      <c r="G60" s="247"/>
      <c r="H60" s="248"/>
      <c r="I60" s="248"/>
      <c r="J60" s="248"/>
      <c r="K60" s="248"/>
      <c r="L60" s="248"/>
      <c r="M60" s="248"/>
      <c r="N60" s="248"/>
      <c r="O60" s="248"/>
      <c r="P60" s="122"/>
      <c r="Q60" s="122"/>
      <c r="R60" s="122"/>
      <c r="S60" s="122"/>
      <c r="T60" s="122"/>
      <c r="U60" s="122"/>
      <c r="V60" s="122"/>
      <c r="W60" s="248"/>
      <c r="X60" s="248"/>
      <c r="Y60" s="248"/>
      <c r="Z60" s="248"/>
      <c r="AA60" s="248"/>
      <c r="AB60" s="248"/>
      <c r="AC60" s="248"/>
      <c r="AD60" s="248"/>
      <c r="AE60" s="248"/>
      <c r="AF60" s="248"/>
      <c r="AG60" s="248"/>
      <c r="AH60" s="248"/>
      <c r="AI60" s="248"/>
      <c r="AJ60" s="248"/>
      <c r="AK60" s="248"/>
      <c r="AL60" s="248"/>
      <c r="AM60" s="248"/>
      <c r="AN60" s="248"/>
      <c r="AO60" s="248"/>
      <c r="AP60" s="248"/>
      <c r="AQ60" s="248"/>
      <c r="AR60" s="248"/>
      <c r="AS60" s="248"/>
      <c r="AT60" s="248"/>
      <c r="AU60" s="248"/>
      <c r="AV60" s="248"/>
      <c r="AW60" s="248"/>
      <c r="AX60" s="248"/>
      <c r="AY60" s="248"/>
      <c r="AZ60" s="247"/>
      <c r="BA60" s="249"/>
      <c r="BB60" s="249"/>
      <c r="BC60" s="249"/>
      <c r="BD60" s="249"/>
      <c r="BE60" s="122"/>
      <c r="BF60" s="122"/>
      <c r="BG60" s="122"/>
      <c r="BH60" s="122"/>
      <c r="BI60" s="122"/>
      <c r="BJ60" s="122"/>
      <c r="BK60" s="122"/>
      <c r="BL60" s="122"/>
      <c r="BM60" s="122"/>
      <c r="BN60" s="122"/>
    </row>
    <row r="61" spans="1:66" x14ac:dyDescent="0.2">
      <c r="A61" s="122"/>
      <c r="B61" s="423"/>
      <c r="C61" s="423"/>
      <c r="D61" s="1598"/>
      <c r="E61" s="1597" t="s">
        <v>3924</v>
      </c>
      <c r="F61" s="79"/>
      <c r="G61" s="247"/>
      <c r="H61" s="248"/>
      <c r="I61" s="248"/>
      <c r="J61" s="248"/>
      <c r="K61" s="248"/>
      <c r="L61" s="248"/>
      <c r="M61" s="248"/>
      <c r="N61" s="248"/>
      <c r="O61" s="248"/>
      <c r="P61" s="122"/>
      <c r="Q61" s="122"/>
      <c r="R61" s="122"/>
      <c r="S61" s="122"/>
      <c r="T61" s="122"/>
      <c r="U61" s="122"/>
      <c r="V61" s="122"/>
      <c r="W61" s="248"/>
      <c r="X61" s="248"/>
      <c r="Y61" s="248"/>
      <c r="Z61" s="248"/>
      <c r="AA61" s="248"/>
      <c r="AB61" s="248"/>
      <c r="AC61" s="248"/>
      <c r="AD61" s="248"/>
      <c r="AE61" s="248"/>
      <c r="AF61" s="248"/>
      <c r="AG61" s="248"/>
      <c r="AH61" s="248"/>
      <c r="AI61" s="248"/>
      <c r="AJ61" s="248"/>
      <c r="AK61" s="248"/>
      <c r="AL61" s="248"/>
      <c r="AM61" s="248"/>
      <c r="AN61" s="248"/>
      <c r="AO61" s="248"/>
      <c r="AP61" s="248"/>
      <c r="AQ61" s="248"/>
      <c r="AR61" s="248"/>
      <c r="AS61" s="248"/>
      <c r="AT61" s="248"/>
      <c r="AU61" s="248"/>
      <c r="AV61" s="248"/>
      <c r="AW61" s="248"/>
      <c r="AX61" s="248"/>
      <c r="AY61" s="248"/>
      <c r="AZ61" s="247"/>
      <c r="BA61" s="249"/>
      <c r="BB61" s="249"/>
      <c r="BC61" s="249"/>
      <c r="BD61" s="249"/>
      <c r="BE61" s="122"/>
      <c r="BF61" s="122"/>
      <c r="BG61" s="122"/>
      <c r="BH61" s="122"/>
      <c r="BI61" s="122"/>
      <c r="BJ61" s="122"/>
      <c r="BK61" s="122"/>
      <c r="BL61" s="122"/>
      <c r="BM61" s="122"/>
      <c r="BN61" s="122"/>
    </row>
    <row r="62" spans="1:66" x14ac:dyDescent="0.2">
      <c r="A62" s="122"/>
      <c r="B62" s="423"/>
      <c r="C62" s="423"/>
      <c r="D62" s="1598"/>
      <c r="E62" s="1597" t="s">
        <v>3921</v>
      </c>
      <c r="F62" s="79"/>
      <c r="G62" s="247"/>
      <c r="H62" s="248"/>
      <c r="I62" s="248"/>
      <c r="J62" s="248"/>
      <c r="K62" s="248"/>
      <c r="L62" s="248"/>
      <c r="M62" s="248"/>
      <c r="N62" s="248"/>
      <c r="O62" s="248"/>
      <c r="P62" s="122"/>
      <c r="Q62" s="122"/>
      <c r="R62" s="122"/>
      <c r="S62" s="122"/>
      <c r="T62" s="122"/>
      <c r="U62" s="122"/>
      <c r="V62" s="122"/>
      <c r="W62" s="248"/>
      <c r="X62" s="248"/>
      <c r="Y62" s="248"/>
      <c r="Z62" s="248"/>
      <c r="AA62" s="248"/>
      <c r="AB62" s="248"/>
      <c r="AC62" s="248"/>
      <c r="AD62" s="248"/>
      <c r="AE62" s="248"/>
      <c r="AF62" s="248"/>
      <c r="AG62" s="248"/>
      <c r="AH62" s="248"/>
      <c r="AI62" s="248"/>
      <c r="AJ62" s="248"/>
      <c r="AK62" s="248"/>
      <c r="AL62" s="248"/>
      <c r="AM62" s="248"/>
      <c r="AN62" s="248"/>
      <c r="AO62" s="248"/>
      <c r="AP62" s="248"/>
      <c r="AQ62" s="248"/>
      <c r="AR62" s="248"/>
      <c r="AS62" s="248"/>
      <c r="AT62" s="248"/>
      <c r="AU62" s="248"/>
      <c r="AV62" s="248"/>
      <c r="AW62" s="248"/>
      <c r="AX62" s="248"/>
      <c r="AY62" s="248"/>
      <c r="AZ62" s="247"/>
      <c r="BA62" s="249"/>
      <c r="BB62" s="249"/>
      <c r="BC62" s="249"/>
      <c r="BD62" s="249"/>
      <c r="BE62" s="122"/>
      <c r="BF62" s="122"/>
      <c r="BG62" s="122"/>
      <c r="BH62" s="122"/>
      <c r="BI62" s="122"/>
      <c r="BJ62" s="122"/>
      <c r="BK62" s="122"/>
      <c r="BL62" s="122"/>
      <c r="BM62" s="122"/>
      <c r="BN62" s="122"/>
    </row>
    <row r="63" spans="1:66" x14ac:dyDescent="0.2">
      <c r="A63" s="122"/>
      <c r="B63" s="423"/>
      <c r="C63" s="423"/>
      <c r="D63" s="1598"/>
      <c r="E63" s="1597" t="s">
        <v>3922</v>
      </c>
      <c r="F63" s="79"/>
      <c r="G63" s="247"/>
      <c r="H63" s="248"/>
      <c r="I63" s="248"/>
      <c r="J63" s="248"/>
      <c r="K63" s="248"/>
      <c r="L63" s="248"/>
      <c r="M63" s="248"/>
      <c r="N63" s="248"/>
      <c r="O63" s="248"/>
      <c r="P63" s="122"/>
      <c r="Q63" s="122"/>
      <c r="R63" s="122"/>
      <c r="S63" s="122"/>
      <c r="T63" s="122"/>
      <c r="U63" s="122"/>
      <c r="V63" s="122"/>
      <c r="W63" s="248"/>
      <c r="X63" s="248"/>
      <c r="Y63" s="248"/>
      <c r="Z63" s="248"/>
      <c r="AA63" s="248"/>
      <c r="AB63" s="248"/>
      <c r="AC63" s="248"/>
      <c r="AD63" s="248"/>
      <c r="AE63" s="248"/>
      <c r="AF63" s="248"/>
      <c r="AG63" s="248"/>
      <c r="AH63" s="248"/>
      <c r="AI63" s="248"/>
      <c r="AJ63" s="248"/>
      <c r="AK63" s="248"/>
      <c r="AL63" s="248"/>
      <c r="AM63" s="248"/>
      <c r="AN63" s="248"/>
      <c r="AO63" s="248"/>
      <c r="AP63" s="248"/>
      <c r="AQ63" s="248"/>
      <c r="AR63" s="248"/>
      <c r="AS63" s="248"/>
      <c r="AT63" s="248"/>
      <c r="AU63" s="248"/>
      <c r="AV63" s="248"/>
      <c r="AW63" s="248"/>
      <c r="AX63" s="248"/>
      <c r="AY63" s="248"/>
      <c r="AZ63" s="247"/>
      <c r="BA63" s="249"/>
      <c r="BB63" s="249"/>
      <c r="BC63" s="249"/>
      <c r="BD63" s="249"/>
      <c r="BE63" s="122"/>
      <c r="BF63" s="122"/>
      <c r="BG63" s="122"/>
      <c r="BH63" s="122"/>
      <c r="BI63" s="122"/>
      <c r="BJ63" s="122"/>
      <c r="BK63" s="122"/>
      <c r="BL63" s="122"/>
      <c r="BM63" s="122"/>
      <c r="BN63" s="122"/>
    </row>
    <row r="64" spans="1:66" s="1699" customFormat="1" ht="30" x14ac:dyDescent="0.2">
      <c r="A64" s="1689">
        <v>11</v>
      </c>
      <c r="B64" s="1690" t="s">
        <v>3926</v>
      </c>
      <c r="C64" s="1690" t="s">
        <v>4050</v>
      </c>
      <c r="D64" s="1691" t="s">
        <v>4049</v>
      </c>
      <c r="E64" s="1692" t="s">
        <v>4051</v>
      </c>
      <c r="F64" s="1693" t="s">
        <v>651</v>
      </c>
      <c r="G64" s="1694">
        <v>594</v>
      </c>
      <c r="H64" s="1695">
        <v>115319</v>
      </c>
      <c r="I64" s="1695"/>
      <c r="J64" s="1695">
        <v>29041</v>
      </c>
      <c r="K64" s="1695">
        <v>7867</v>
      </c>
      <c r="L64" s="1695">
        <f t="shared" ref="L64:O64" si="20" xml:space="preserve"> H64*$G64</f>
        <v>68499486</v>
      </c>
      <c r="M64" s="1695">
        <f t="shared" si="20"/>
        <v>0</v>
      </c>
      <c r="N64" s="1695">
        <f t="shared" si="20"/>
        <v>17250354</v>
      </c>
      <c r="O64" s="1695">
        <f t="shared" si="20"/>
        <v>4672998</v>
      </c>
      <c r="P64" s="1696"/>
      <c r="Q64" s="1696"/>
      <c r="R64" s="1696"/>
      <c r="S64" s="1696"/>
      <c r="T64" s="1696"/>
      <c r="U64" s="1696"/>
      <c r="V64" s="1696"/>
      <c r="W64" s="1695">
        <f t="shared" ref="W64:Z64" si="21" xml:space="preserve"> H64</f>
        <v>115319</v>
      </c>
      <c r="X64" s="1695">
        <f t="shared" si="21"/>
        <v>0</v>
      </c>
      <c r="Y64" s="1695">
        <f t="shared" si="21"/>
        <v>29041</v>
      </c>
      <c r="Z64" s="1695">
        <f t="shared" si="21"/>
        <v>7867</v>
      </c>
      <c r="AA64" s="1695">
        <f t="shared" ref="AA64:AD64" si="22" xml:space="preserve"> W64*$V64</f>
        <v>0</v>
      </c>
      <c r="AB64" s="1695">
        <f t="shared" si="22"/>
        <v>0</v>
      </c>
      <c r="AC64" s="1695">
        <f t="shared" si="22"/>
        <v>0</v>
      </c>
      <c r="AD64" s="1695">
        <f t="shared" si="22"/>
        <v>0</v>
      </c>
      <c r="AE64" s="1695"/>
      <c r="AF64" s="1695"/>
      <c r="AG64" s="1695"/>
      <c r="AH64" s="1695"/>
      <c r="AI64" s="1695"/>
      <c r="AJ64" s="1695"/>
      <c r="AK64" s="1695"/>
      <c r="AL64" s="1695"/>
      <c r="AM64" s="1695"/>
      <c r="AN64" s="1695"/>
      <c r="AO64" s="1695"/>
      <c r="AP64" s="1695"/>
      <c r="AQ64" s="1695"/>
      <c r="AR64" s="1695">
        <f t="shared" ref="AR64:AU64" si="23" xml:space="preserve"> H64</f>
        <v>115319</v>
      </c>
      <c r="AS64" s="1695">
        <f t="shared" si="23"/>
        <v>0</v>
      </c>
      <c r="AT64" s="1695">
        <f t="shared" si="23"/>
        <v>29041</v>
      </c>
      <c r="AU64" s="1695">
        <f t="shared" si="23"/>
        <v>7867</v>
      </c>
      <c r="AV64" s="1695">
        <f t="shared" ref="AV64:AY64" si="24" xml:space="preserve"> AR64*$G64</f>
        <v>68499486</v>
      </c>
      <c r="AW64" s="1695">
        <f t="shared" si="24"/>
        <v>0</v>
      </c>
      <c r="AX64" s="1695">
        <f t="shared" si="24"/>
        <v>17250354</v>
      </c>
      <c r="AY64" s="1695">
        <f t="shared" si="24"/>
        <v>4672998</v>
      </c>
      <c r="AZ64" s="1694">
        <f xml:space="preserve"> $G64</f>
        <v>594</v>
      </c>
      <c r="BA64" s="1697"/>
      <c r="BB64" s="1697"/>
      <c r="BC64" s="1698"/>
      <c r="BD64" s="1698">
        <v>1</v>
      </c>
      <c r="BE64" s="1689" t="s">
        <v>3941</v>
      </c>
      <c r="BF64" s="1689"/>
      <c r="BG64" s="1689" t="s">
        <v>651</v>
      </c>
      <c r="BH64" s="1689"/>
      <c r="BI64" s="1689" t="s">
        <v>3910</v>
      </c>
      <c r="BJ64" s="1689" t="s">
        <v>66</v>
      </c>
      <c r="BK64" s="1689"/>
      <c r="BL64" s="1689"/>
      <c r="BM64" s="1689"/>
      <c r="BN64" s="1689"/>
    </row>
    <row r="65" spans="1:66" x14ac:dyDescent="0.2">
      <c r="A65" s="122"/>
      <c r="B65" s="1618"/>
      <c r="C65" s="1618"/>
      <c r="D65" s="1619"/>
      <c r="E65" s="1620" t="s">
        <v>3923</v>
      </c>
      <c r="F65" s="1621"/>
      <c r="G65" s="1622"/>
      <c r="H65" s="1623"/>
      <c r="I65" s="1623"/>
      <c r="J65" s="1623"/>
      <c r="K65" s="1623"/>
      <c r="L65" s="1623"/>
      <c r="M65" s="1623"/>
      <c r="N65" s="1623"/>
      <c r="O65" s="1623"/>
      <c r="P65" s="1624"/>
      <c r="Q65" s="1624"/>
      <c r="R65" s="1624"/>
      <c r="S65" s="1624"/>
      <c r="T65" s="1624"/>
      <c r="U65" s="1624"/>
      <c r="V65" s="1624"/>
      <c r="W65" s="1623"/>
      <c r="X65" s="1623"/>
      <c r="Y65" s="1623"/>
      <c r="Z65" s="1623"/>
      <c r="AA65" s="1623"/>
      <c r="AB65" s="1623"/>
      <c r="AC65" s="1623"/>
      <c r="AD65" s="1623"/>
      <c r="AE65" s="1623"/>
      <c r="AF65" s="1623"/>
      <c r="AG65" s="1623"/>
      <c r="AH65" s="1623"/>
      <c r="AI65" s="1623"/>
      <c r="AJ65" s="1623"/>
      <c r="AK65" s="1623"/>
      <c r="AL65" s="1623"/>
      <c r="AM65" s="1623"/>
      <c r="AN65" s="1623"/>
      <c r="AO65" s="1623"/>
      <c r="AP65" s="1623"/>
      <c r="AQ65" s="1623"/>
      <c r="AR65" s="1623"/>
      <c r="AS65" s="1623"/>
      <c r="AT65" s="1623"/>
      <c r="AU65" s="1623"/>
      <c r="AV65" s="1623"/>
      <c r="AW65" s="1623"/>
      <c r="AX65" s="1623"/>
      <c r="AY65" s="1623"/>
      <c r="AZ65" s="1622"/>
      <c r="BA65" s="1625"/>
      <c r="BB65" s="1625"/>
      <c r="BC65" s="249"/>
      <c r="BD65" s="249"/>
      <c r="BE65" s="122"/>
      <c r="BF65" s="122"/>
      <c r="BG65" s="122"/>
      <c r="BH65" s="122"/>
      <c r="BI65" s="122"/>
      <c r="BJ65" s="122"/>
      <c r="BK65" s="122"/>
      <c r="BL65" s="122"/>
      <c r="BM65" s="122"/>
      <c r="BN65" s="122"/>
    </row>
    <row r="66" spans="1:66" x14ac:dyDescent="0.2">
      <c r="A66" s="122"/>
      <c r="B66" s="423"/>
      <c r="C66" s="423"/>
      <c r="D66" s="1598"/>
      <c r="E66" s="1597" t="s">
        <v>3924</v>
      </c>
      <c r="F66" s="79"/>
      <c r="G66" s="247"/>
      <c r="H66" s="248"/>
      <c r="I66" s="248"/>
      <c r="J66" s="248"/>
      <c r="K66" s="248"/>
      <c r="L66" s="248"/>
      <c r="M66" s="248"/>
      <c r="N66" s="248"/>
      <c r="O66" s="248"/>
      <c r="P66" s="122"/>
      <c r="Q66" s="122"/>
      <c r="R66" s="122"/>
      <c r="S66" s="122"/>
      <c r="T66" s="122"/>
      <c r="U66" s="122"/>
      <c r="V66" s="122"/>
      <c r="W66" s="248"/>
      <c r="X66" s="248"/>
      <c r="Y66" s="248"/>
      <c r="Z66" s="248"/>
      <c r="AA66" s="248"/>
      <c r="AB66" s="248"/>
      <c r="AC66" s="248"/>
      <c r="AD66" s="248"/>
      <c r="AE66" s="248"/>
      <c r="AF66" s="248"/>
      <c r="AG66" s="248"/>
      <c r="AH66" s="248"/>
      <c r="AI66" s="248"/>
      <c r="AJ66" s="248"/>
      <c r="AK66" s="248"/>
      <c r="AL66" s="248"/>
      <c r="AM66" s="248"/>
      <c r="AN66" s="248"/>
      <c r="AO66" s="248"/>
      <c r="AP66" s="248"/>
      <c r="AQ66" s="248"/>
      <c r="AR66" s="248"/>
      <c r="AS66" s="248"/>
      <c r="AT66" s="248"/>
      <c r="AU66" s="248"/>
      <c r="AV66" s="248"/>
      <c r="AW66" s="248"/>
      <c r="AX66" s="248"/>
      <c r="AY66" s="248"/>
      <c r="AZ66" s="247"/>
      <c r="BA66" s="249"/>
      <c r="BB66" s="249"/>
      <c r="BC66" s="249"/>
      <c r="BD66" s="249"/>
      <c r="BE66" s="122"/>
      <c r="BF66" s="122"/>
      <c r="BG66" s="122"/>
      <c r="BH66" s="122"/>
      <c r="BI66" s="122"/>
      <c r="BJ66" s="122"/>
      <c r="BK66" s="122"/>
      <c r="BL66" s="122"/>
      <c r="BM66" s="122"/>
      <c r="BN66" s="122"/>
    </row>
    <row r="67" spans="1:66" x14ac:dyDescent="0.2">
      <c r="A67" s="122"/>
      <c r="B67" s="423"/>
      <c r="C67" s="423"/>
      <c r="D67" s="1598"/>
      <c r="E67" s="1597" t="s">
        <v>3921</v>
      </c>
      <c r="F67" s="79"/>
      <c r="G67" s="247"/>
      <c r="H67" s="248"/>
      <c r="I67" s="248"/>
      <c r="J67" s="248"/>
      <c r="K67" s="248"/>
      <c r="L67" s="248"/>
      <c r="M67" s="248"/>
      <c r="N67" s="248"/>
      <c r="O67" s="248"/>
      <c r="P67" s="122"/>
      <c r="Q67" s="122"/>
      <c r="R67" s="122"/>
      <c r="S67" s="122"/>
      <c r="T67" s="122"/>
      <c r="U67" s="122"/>
      <c r="V67" s="122"/>
      <c r="W67" s="248"/>
      <c r="X67" s="248"/>
      <c r="Y67" s="248"/>
      <c r="Z67" s="248"/>
      <c r="AA67" s="248"/>
      <c r="AB67" s="248"/>
      <c r="AC67" s="248"/>
      <c r="AD67" s="248"/>
      <c r="AE67" s="248"/>
      <c r="AF67" s="248"/>
      <c r="AG67" s="248"/>
      <c r="AH67" s="248"/>
      <c r="AI67" s="248"/>
      <c r="AJ67" s="248"/>
      <c r="AK67" s="248"/>
      <c r="AL67" s="248"/>
      <c r="AM67" s="248"/>
      <c r="AN67" s="248"/>
      <c r="AO67" s="248"/>
      <c r="AP67" s="248"/>
      <c r="AQ67" s="248"/>
      <c r="AR67" s="248"/>
      <c r="AS67" s="248"/>
      <c r="AT67" s="248"/>
      <c r="AU67" s="248"/>
      <c r="AV67" s="248"/>
      <c r="AW67" s="248"/>
      <c r="AX67" s="248"/>
      <c r="AY67" s="248"/>
      <c r="AZ67" s="247"/>
      <c r="BA67" s="249"/>
      <c r="BB67" s="249"/>
      <c r="BC67" s="249"/>
      <c r="BD67" s="249"/>
      <c r="BE67" s="122"/>
      <c r="BF67" s="122"/>
      <c r="BG67" s="122"/>
      <c r="BH67" s="122"/>
      <c r="BI67" s="122"/>
      <c r="BJ67" s="122"/>
      <c r="BK67" s="122"/>
      <c r="BL67" s="122"/>
      <c r="BM67" s="122"/>
      <c r="BN67" s="122"/>
    </row>
    <row r="68" spans="1:66" x14ac:dyDescent="0.2">
      <c r="A68" s="122"/>
      <c r="B68" s="423"/>
      <c r="C68" s="423"/>
      <c r="D68" s="1598"/>
      <c r="E68" s="1597" t="s">
        <v>3922</v>
      </c>
      <c r="F68" s="79"/>
      <c r="G68" s="247"/>
      <c r="H68" s="248"/>
      <c r="I68" s="248"/>
      <c r="J68" s="248"/>
      <c r="K68" s="248"/>
      <c r="L68" s="248"/>
      <c r="M68" s="248"/>
      <c r="N68" s="248"/>
      <c r="O68" s="248"/>
      <c r="P68" s="122"/>
      <c r="Q68" s="122"/>
      <c r="R68" s="122"/>
      <c r="S68" s="122"/>
      <c r="T68" s="122"/>
      <c r="U68" s="122"/>
      <c r="V68" s="122"/>
      <c r="W68" s="248"/>
      <c r="X68" s="248"/>
      <c r="Y68" s="248"/>
      <c r="Z68" s="248"/>
      <c r="AA68" s="248"/>
      <c r="AB68" s="248"/>
      <c r="AC68" s="248"/>
      <c r="AD68" s="248"/>
      <c r="AE68" s="248"/>
      <c r="AF68" s="248"/>
      <c r="AG68" s="248"/>
      <c r="AH68" s="248"/>
      <c r="AI68" s="248"/>
      <c r="AJ68" s="248"/>
      <c r="AK68" s="248"/>
      <c r="AL68" s="248"/>
      <c r="AM68" s="248"/>
      <c r="AN68" s="248"/>
      <c r="AO68" s="248"/>
      <c r="AP68" s="248"/>
      <c r="AQ68" s="248"/>
      <c r="AR68" s="248"/>
      <c r="AS68" s="248"/>
      <c r="AT68" s="248"/>
      <c r="AU68" s="248"/>
      <c r="AV68" s="248"/>
      <c r="AW68" s="248"/>
      <c r="AX68" s="248"/>
      <c r="AY68" s="248"/>
      <c r="AZ68" s="247"/>
      <c r="BA68" s="249"/>
      <c r="BB68" s="249"/>
      <c r="BC68" s="249"/>
      <c r="BD68" s="249"/>
      <c r="BE68" s="122"/>
      <c r="BF68" s="122"/>
      <c r="BG68" s="122"/>
      <c r="BH68" s="122"/>
      <c r="BI68" s="122"/>
      <c r="BJ68" s="122"/>
      <c r="BK68" s="122"/>
      <c r="BL68" s="122"/>
      <c r="BM68" s="122"/>
      <c r="BN68" s="122"/>
    </row>
    <row r="69" spans="1:66" ht="30" x14ac:dyDescent="0.2">
      <c r="A69" s="122">
        <v>12</v>
      </c>
      <c r="B69" s="423" t="s">
        <v>254</v>
      </c>
      <c r="C69" s="423" t="s">
        <v>3905</v>
      </c>
      <c r="D69" s="1596" t="s">
        <v>3905</v>
      </c>
      <c r="E69" s="1597" t="s">
        <v>3906</v>
      </c>
      <c r="F69" s="79" t="s">
        <v>651</v>
      </c>
      <c r="G69" s="247">
        <v>830.12</v>
      </c>
      <c r="H69" s="248">
        <v>14853</v>
      </c>
      <c r="I69" s="248"/>
      <c r="J69" s="248">
        <v>12771</v>
      </c>
      <c r="K69" s="248"/>
      <c r="L69" s="248">
        <f t="shared" ref="L69:O69" si="25" xml:space="preserve"> H69*$G69</f>
        <v>12329772.359999999</v>
      </c>
      <c r="M69" s="248">
        <f t="shared" si="25"/>
        <v>0</v>
      </c>
      <c r="N69" s="248">
        <f t="shared" si="25"/>
        <v>10601462.52</v>
      </c>
      <c r="O69" s="248">
        <f t="shared" si="25"/>
        <v>0</v>
      </c>
      <c r="P69" s="122"/>
      <c r="Q69" s="122"/>
      <c r="R69" s="122"/>
      <c r="S69" s="122"/>
      <c r="T69" s="122"/>
      <c r="U69" s="122"/>
      <c r="V69" s="122"/>
      <c r="W69" s="248">
        <f xml:space="preserve"> $H69</f>
        <v>14853</v>
      </c>
      <c r="X69" s="248">
        <f xml:space="preserve"> $I69</f>
        <v>0</v>
      </c>
      <c r="Y69" s="248">
        <f xml:space="preserve"> $J69</f>
        <v>12771</v>
      </c>
      <c r="Z69" s="248">
        <f xml:space="preserve"> $K69</f>
        <v>0</v>
      </c>
      <c r="AA69" s="248">
        <f t="shared" ref="AA69:AD69" si="26" xml:space="preserve"> $V69*W69</f>
        <v>0</v>
      </c>
      <c r="AB69" s="248">
        <f t="shared" si="26"/>
        <v>0</v>
      </c>
      <c r="AC69" s="248">
        <f t="shared" si="26"/>
        <v>0</v>
      </c>
      <c r="AD69" s="248">
        <f t="shared" si="26"/>
        <v>0</v>
      </c>
      <c r="AE69" s="248"/>
      <c r="AF69" s="248"/>
      <c r="AG69" s="248"/>
      <c r="AH69" s="248"/>
      <c r="AI69" s="248"/>
      <c r="AJ69" s="248"/>
      <c r="AK69" s="248"/>
      <c r="AL69" s="248"/>
      <c r="AM69" s="248"/>
      <c r="AN69" s="248"/>
      <c r="AO69" s="248"/>
      <c r="AP69" s="248"/>
      <c r="AQ69" s="248"/>
      <c r="AR69" s="248">
        <f xml:space="preserve"> $H69</f>
        <v>14853</v>
      </c>
      <c r="AS69" s="248">
        <f xml:space="preserve"> $I69</f>
        <v>0</v>
      </c>
      <c r="AT69" s="248">
        <f xml:space="preserve"> $J69</f>
        <v>12771</v>
      </c>
      <c r="AU69" s="248">
        <f xml:space="preserve"> $K69</f>
        <v>0</v>
      </c>
      <c r="AV69" s="248"/>
      <c r="AW69" s="248"/>
      <c r="AX69" s="248"/>
      <c r="AY69" s="248"/>
      <c r="AZ69" s="247">
        <f xml:space="preserve"> G69</f>
        <v>830.12</v>
      </c>
      <c r="BA69" s="249"/>
      <c r="BB69" s="249"/>
      <c r="BC69" s="249"/>
      <c r="BD69" s="249">
        <v>1</v>
      </c>
      <c r="BE69" s="122" t="s">
        <v>3911</v>
      </c>
      <c r="BF69" s="122"/>
      <c r="BG69" s="122" t="s">
        <v>651</v>
      </c>
      <c r="BH69" s="122"/>
      <c r="BI69" s="122" t="s">
        <v>3910</v>
      </c>
      <c r="BJ69" s="122" t="s">
        <v>66</v>
      </c>
      <c r="BK69" s="122"/>
      <c r="BL69" s="122"/>
      <c r="BM69" s="122"/>
      <c r="BN69" s="122"/>
    </row>
    <row r="70" spans="1:66" x14ac:dyDescent="0.2">
      <c r="A70" s="122"/>
      <c r="B70" s="423"/>
      <c r="C70" s="423"/>
      <c r="D70" s="1598"/>
      <c r="E70" s="1597" t="s">
        <v>3942</v>
      </c>
      <c r="F70" s="79"/>
      <c r="G70" s="247"/>
      <c r="H70" s="248"/>
      <c r="I70" s="248"/>
      <c r="J70" s="248"/>
      <c r="K70" s="248"/>
      <c r="L70" s="248"/>
      <c r="M70" s="248"/>
      <c r="N70" s="248"/>
      <c r="O70" s="248"/>
      <c r="P70" s="122"/>
      <c r="Q70" s="122"/>
      <c r="R70" s="122"/>
      <c r="S70" s="122"/>
      <c r="T70" s="122"/>
      <c r="U70" s="122"/>
      <c r="V70" s="122"/>
      <c r="W70" s="248"/>
      <c r="X70" s="248"/>
      <c r="Y70" s="248"/>
      <c r="Z70" s="248"/>
      <c r="AA70" s="248"/>
      <c r="AB70" s="248"/>
      <c r="AC70" s="248"/>
      <c r="AD70" s="248"/>
      <c r="AE70" s="248"/>
      <c r="AF70" s="248"/>
      <c r="AG70" s="248"/>
      <c r="AH70" s="248"/>
      <c r="AI70" s="248"/>
      <c r="AJ70" s="248"/>
      <c r="AK70" s="248"/>
      <c r="AL70" s="248"/>
      <c r="AM70" s="248"/>
      <c r="AN70" s="248"/>
      <c r="AO70" s="248"/>
      <c r="AP70" s="248"/>
      <c r="AQ70" s="248"/>
      <c r="AR70" s="248"/>
      <c r="AS70" s="248"/>
      <c r="AT70" s="248"/>
      <c r="AU70" s="248"/>
      <c r="AV70" s="248"/>
      <c r="AW70" s="248"/>
      <c r="AX70" s="248"/>
      <c r="AY70" s="248"/>
      <c r="AZ70" s="247"/>
      <c r="BA70" s="249"/>
      <c r="BB70" s="249"/>
      <c r="BC70" s="249"/>
      <c r="BD70" s="249"/>
      <c r="BE70" s="122"/>
      <c r="BF70" s="122"/>
      <c r="BG70" s="122"/>
      <c r="BH70" s="122"/>
      <c r="BI70" s="122"/>
      <c r="BJ70" s="122"/>
      <c r="BK70" s="122"/>
      <c r="BL70" s="122"/>
      <c r="BM70" s="122"/>
      <c r="BN70" s="122"/>
    </row>
    <row r="71" spans="1:66" x14ac:dyDescent="0.2">
      <c r="A71" s="122"/>
      <c r="B71" s="423"/>
      <c r="C71" s="423"/>
      <c r="D71" s="1598"/>
      <c r="E71" s="1597" t="s">
        <v>3943</v>
      </c>
      <c r="F71" s="79"/>
      <c r="G71" s="247"/>
      <c r="H71" s="248"/>
      <c r="I71" s="248"/>
      <c r="J71" s="248"/>
      <c r="K71" s="248"/>
      <c r="L71" s="248"/>
      <c r="M71" s="248"/>
      <c r="N71" s="248"/>
      <c r="O71" s="248"/>
      <c r="P71" s="122"/>
      <c r="Q71" s="122"/>
      <c r="R71" s="122"/>
      <c r="S71" s="122"/>
      <c r="T71" s="122"/>
      <c r="U71" s="122"/>
      <c r="V71" s="122"/>
      <c r="W71" s="248"/>
      <c r="X71" s="248"/>
      <c r="Y71" s="248"/>
      <c r="Z71" s="248"/>
      <c r="AA71" s="248"/>
      <c r="AB71" s="248"/>
      <c r="AC71" s="248"/>
      <c r="AD71" s="248"/>
      <c r="AE71" s="248"/>
      <c r="AF71" s="248"/>
      <c r="AG71" s="248"/>
      <c r="AH71" s="248"/>
      <c r="AI71" s="248"/>
      <c r="AJ71" s="248"/>
      <c r="AK71" s="248"/>
      <c r="AL71" s="248"/>
      <c r="AM71" s="248"/>
      <c r="AN71" s="248"/>
      <c r="AO71" s="248"/>
      <c r="AP71" s="248"/>
      <c r="AQ71" s="248"/>
      <c r="AR71" s="248"/>
      <c r="AS71" s="248"/>
      <c r="AT71" s="248"/>
      <c r="AU71" s="248"/>
      <c r="AV71" s="248"/>
      <c r="AW71" s="248"/>
      <c r="AX71" s="248"/>
      <c r="AY71" s="248"/>
      <c r="AZ71" s="247"/>
      <c r="BA71" s="249"/>
      <c r="BB71" s="249"/>
      <c r="BC71" s="249"/>
      <c r="BD71" s="249"/>
      <c r="BE71" s="122"/>
      <c r="BF71" s="122"/>
      <c r="BG71" s="122"/>
      <c r="BH71" s="122"/>
      <c r="BI71" s="122"/>
      <c r="BJ71" s="122"/>
      <c r="BK71" s="122"/>
      <c r="BL71" s="122"/>
      <c r="BM71" s="122"/>
      <c r="BN71" s="122"/>
    </row>
    <row r="72" spans="1:66" ht="30" x14ac:dyDescent="0.2">
      <c r="A72" s="122">
        <v>13</v>
      </c>
      <c r="B72" s="423" t="s">
        <v>254</v>
      </c>
      <c r="C72" s="423" t="s">
        <v>3907</v>
      </c>
      <c r="D72" s="1596" t="s">
        <v>3907</v>
      </c>
      <c r="E72" s="1597" t="s">
        <v>3908</v>
      </c>
      <c r="F72" s="79" t="s">
        <v>651</v>
      </c>
      <c r="G72" s="247">
        <v>15.24</v>
      </c>
      <c r="H72" s="248">
        <v>4805</v>
      </c>
      <c r="I72" s="248"/>
      <c r="J72" s="248">
        <v>69144</v>
      </c>
      <c r="K72" s="248"/>
      <c r="L72" s="248">
        <f t="shared" ref="L72:O72" si="27" xml:space="preserve"> H72*$G72</f>
        <v>73228.2</v>
      </c>
      <c r="M72" s="248">
        <f t="shared" si="27"/>
        <v>0</v>
      </c>
      <c r="N72" s="248">
        <f t="shared" si="27"/>
        <v>1053754.56</v>
      </c>
      <c r="O72" s="248">
        <f t="shared" si="27"/>
        <v>0</v>
      </c>
      <c r="P72" s="122"/>
      <c r="Q72" s="122"/>
      <c r="R72" s="122"/>
      <c r="S72" s="122"/>
      <c r="T72" s="122"/>
      <c r="U72" s="122"/>
      <c r="V72" s="122"/>
      <c r="W72" s="248">
        <f xml:space="preserve"> $H72</f>
        <v>4805</v>
      </c>
      <c r="X72" s="248">
        <f xml:space="preserve"> $I72</f>
        <v>0</v>
      </c>
      <c r="Y72" s="248">
        <f xml:space="preserve"> $J72</f>
        <v>69144</v>
      </c>
      <c r="Z72" s="248">
        <f xml:space="preserve"> $K72</f>
        <v>0</v>
      </c>
      <c r="AA72" s="248">
        <f t="shared" ref="AA72:AD72" si="28" xml:space="preserve"> $V72*W72</f>
        <v>0</v>
      </c>
      <c r="AB72" s="248">
        <f t="shared" si="28"/>
        <v>0</v>
      </c>
      <c r="AC72" s="248">
        <f t="shared" si="28"/>
        <v>0</v>
      </c>
      <c r="AD72" s="248">
        <f t="shared" si="28"/>
        <v>0</v>
      </c>
      <c r="AE72" s="248"/>
      <c r="AF72" s="248"/>
      <c r="AG72" s="248"/>
      <c r="AH72" s="248"/>
      <c r="AI72" s="248"/>
      <c r="AJ72" s="248"/>
      <c r="AK72" s="248"/>
      <c r="AL72" s="248"/>
      <c r="AM72" s="248"/>
      <c r="AN72" s="248"/>
      <c r="AO72" s="248"/>
      <c r="AP72" s="248"/>
      <c r="AQ72" s="248"/>
      <c r="AR72" s="248">
        <f xml:space="preserve"> $H72</f>
        <v>4805</v>
      </c>
      <c r="AS72" s="248">
        <f xml:space="preserve"> $I72</f>
        <v>0</v>
      </c>
      <c r="AT72" s="248">
        <f xml:space="preserve"> $J72</f>
        <v>69144</v>
      </c>
      <c r="AU72" s="248">
        <f xml:space="preserve"> $K72</f>
        <v>0</v>
      </c>
      <c r="AV72" s="248"/>
      <c r="AW72" s="248"/>
      <c r="AX72" s="248"/>
      <c r="AY72" s="248"/>
      <c r="AZ72" s="247">
        <f xml:space="preserve"> G72</f>
        <v>15.24</v>
      </c>
      <c r="BA72" s="249"/>
      <c r="BB72" s="249"/>
      <c r="BC72" s="249"/>
      <c r="BD72" s="249">
        <v>1</v>
      </c>
      <c r="BE72" s="122" t="s">
        <v>3911</v>
      </c>
      <c r="BF72" s="122"/>
      <c r="BG72" s="122" t="s">
        <v>651</v>
      </c>
      <c r="BH72" s="122"/>
      <c r="BI72" s="122" t="s">
        <v>3910</v>
      </c>
      <c r="BJ72" s="122" t="s">
        <v>66</v>
      </c>
      <c r="BK72" s="122"/>
      <c r="BL72" s="122"/>
      <c r="BM72" s="122"/>
      <c r="BN72" s="122"/>
    </row>
    <row r="73" spans="1:66" x14ac:dyDescent="0.2">
      <c r="A73" s="122"/>
      <c r="B73" s="423"/>
      <c r="C73" s="423"/>
      <c r="D73" s="1598"/>
      <c r="E73" s="1597" t="s">
        <v>4026</v>
      </c>
      <c r="F73" s="79"/>
      <c r="G73" s="247"/>
      <c r="H73" s="248"/>
      <c r="I73" s="248"/>
      <c r="J73" s="248"/>
      <c r="K73" s="248"/>
      <c r="L73" s="248"/>
      <c r="M73" s="248"/>
      <c r="N73" s="248"/>
      <c r="O73" s="248"/>
      <c r="P73" s="122"/>
      <c r="Q73" s="122"/>
      <c r="R73" s="122"/>
      <c r="S73" s="122"/>
      <c r="T73" s="122"/>
      <c r="U73" s="122"/>
      <c r="V73" s="122"/>
      <c r="W73" s="248"/>
      <c r="X73" s="248"/>
      <c r="Y73" s="248"/>
      <c r="Z73" s="248"/>
      <c r="AA73" s="248"/>
      <c r="AB73" s="248"/>
      <c r="AC73" s="248"/>
      <c r="AD73" s="248"/>
      <c r="AE73" s="248"/>
      <c r="AF73" s="248"/>
      <c r="AG73" s="248"/>
      <c r="AH73" s="248"/>
      <c r="AI73" s="248"/>
      <c r="AJ73" s="248"/>
      <c r="AK73" s="248"/>
      <c r="AL73" s="248"/>
      <c r="AM73" s="248"/>
      <c r="AN73" s="248"/>
      <c r="AO73" s="248"/>
      <c r="AP73" s="248"/>
      <c r="AQ73" s="248"/>
      <c r="AR73" s="248"/>
      <c r="AS73" s="248"/>
      <c r="AT73" s="248"/>
      <c r="AU73" s="248"/>
      <c r="AV73" s="248"/>
      <c r="AW73" s="248"/>
      <c r="AX73" s="248"/>
      <c r="AY73" s="248"/>
      <c r="AZ73" s="247"/>
      <c r="BA73" s="249"/>
      <c r="BB73" s="249"/>
      <c r="BC73" s="249"/>
      <c r="BD73" s="249"/>
      <c r="BE73" s="122"/>
      <c r="BF73" s="122"/>
      <c r="BG73" s="122"/>
      <c r="BH73" s="122"/>
      <c r="BI73" s="122"/>
      <c r="BJ73" s="122"/>
      <c r="BK73" s="122"/>
      <c r="BL73" s="122"/>
      <c r="BM73" s="122"/>
      <c r="BN73" s="122"/>
    </row>
    <row r="74" spans="1:66" x14ac:dyDescent="0.2">
      <c r="A74" s="122"/>
      <c r="B74" s="423"/>
      <c r="C74" s="423"/>
      <c r="D74" s="1598"/>
      <c r="E74" s="1597" t="s">
        <v>4027</v>
      </c>
      <c r="F74" s="79"/>
      <c r="G74" s="247"/>
      <c r="H74" s="248"/>
      <c r="I74" s="248"/>
      <c r="J74" s="248"/>
      <c r="K74" s="248"/>
      <c r="L74" s="248"/>
      <c r="M74" s="248"/>
      <c r="N74" s="248"/>
      <c r="O74" s="248"/>
      <c r="P74" s="122"/>
      <c r="Q74" s="122"/>
      <c r="R74" s="122"/>
      <c r="S74" s="122"/>
      <c r="T74" s="122"/>
      <c r="U74" s="122"/>
      <c r="V74" s="122"/>
      <c r="W74" s="248"/>
      <c r="X74" s="248"/>
      <c r="Y74" s="248"/>
      <c r="Z74" s="248"/>
      <c r="AA74" s="248"/>
      <c r="AB74" s="248"/>
      <c r="AC74" s="248"/>
      <c r="AD74" s="248"/>
      <c r="AE74" s="248"/>
      <c r="AF74" s="248"/>
      <c r="AG74" s="248"/>
      <c r="AH74" s="248"/>
      <c r="AI74" s="248"/>
      <c r="AJ74" s="248"/>
      <c r="AK74" s="248"/>
      <c r="AL74" s="248"/>
      <c r="AM74" s="248"/>
      <c r="AN74" s="248"/>
      <c r="AO74" s="248"/>
      <c r="AP74" s="248"/>
      <c r="AQ74" s="248"/>
      <c r="AR74" s="248"/>
      <c r="AS74" s="248"/>
      <c r="AT74" s="248"/>
      <c r="AU74" s="248"/>
      <c r="AV74" s="248"/>
      <c r="AW74" s="248"/>
      <c r="AX74" s="248"/>
      <c r="AY74" s="248"/>
      <c r="AZ74" s="247"/>
      <c r="BA74" s="249"/>
      <c r="BB74" s="249"/>
      <c r="BC74" s="249"/>
      <c r="BD74" s="249"/>
      <c r="BE74" s="122"/>
      <c r="BF74" s="122"/>
      <c r="BG74" s="122"/>
      <c r="BH74" s="122"/>
      <c r="BI74" s="122"/>
      <c r="BJ74" s="122"/>
      <c r="BK74" s="122"/>
      <c r="BL74" s="122"/>
      <c r="BM74" s="122"/>
      <c r="BN74" s="122"/>
    </row>
    <row r="75" spans="1:66" ht="30" x14ac:dyDescent="0.2">
      <c r="A75" s="122">
        <v>14</v>
      </c>
      <c r="B75" s="423" t="s">
        <v>254</v>
      </c>
      <c r="C75" s="423" t="s">
        <v>3907</v>
      </c>
      <c r="D75" s="1596" t="s">
        <v>3907</v>
      </c>
      <c r="E75" s="1597" t="s">
        <v>3909</v>
      </c>
      <c r="F75" s="79" t="s">
        <v>651</v>
      </c>
      <c r="G75" s="247">
        <v>10.07</v>
      </c>
      <c r="H75" s="248">
        <v>4805</v>
      </c>
      <c r="I75" s="248"/>
      <c r="J75" s="248">
        <v>69144</v>
      </c>
      <c r="K75" s="248"/>
      <c r="L75" s="248">
        <f t="shared" ref="L75:O75" si="29" xml:space="preserve"> H75*$G75</f>
        <v>48386.35</v>
      </c>
      <c r="M75" s="248">
        <f t="shared" si="29"/>
        <v>0</v>
      </c>
      <c r="N75" s="248">
        <f t="shared" si="29"/>
        <v>696280.08000000007</v>
      </c>
      <c r="O75" s="248">
        <f t="shared" si="29"/>
        <v>0</v>
      </c>
      <c r="P75" s="122"/>
      <c r="Q75" s="122"/>
      <c r="R75" s="122"/>
      <c r="S75" s="122"/>
      <c r="T75" s="122"/>
      <c r="U75" s="122"/>
      <c r="V75" s="122"/>
      <c r="W75" s="248">
        <f xml:space="preserve"> $H75</f>
        <v>4805</v>
      </c>
      <c r="X75" s="248">
        <f xml:space="preserve"> $I75</f>
        <v>0</v>
      </c>
      <c r="Y75" s="248">
        <f xml:space="preserve"> $J75</f>
        <v>69144</v>
      </c>
      <c r="Z75" s="248">
        <f xml:space="preserve"> $K75</f>
        <v>0</v>
      </c>
      <c r="AA75" s="248">
        <f t="shared" ref="AA75:AD75" si="30" xml:space="preserve"> $V75*W75</f>
        <v>0</v>
      </c>
      <c r="AB75" s="248">
        <f t="shared" si="30"/>
        <v>0</v>
      </c>
      <c r="AC75" s="248">
        <f t="shared" si="30"/>
        <v>0</v>
      </c>
      <c r="AD75" s="248">
        <f t="shared" si="30"/>
        <v>0</v>
      </c>
      <c r="AE75" s="248"/>
      <c r="AF75" s="248"/>
      <c r="AG75" s="248"/>
      <c r="AH75" s="248"/>
      <c r="AI75" s="248"/>
      <c r="AJ75" s="248"/>
      <c r="AK75" s="248"/>
      <c r="AL75" s="248"/>
      <c r="AM75" s="248"/>
      <c r="AN75" s="248"/>
      <c r="AO75" s="248"/>
      <c r="AP75" s="248"/>
      <c r="AQ75" s="248"/>
      <c r="AR75" s="248">
        <f xml:space="preserve"> $H75</f>
        <v>4805</v>
      </c>
      <c r="AS75" s="248">
        <f xml:space="preserve"> $I75</f>
        <v>0</v>
      </c>
      <c r="AT75" s="248">
        <f xml:space="preserve"> $J75</f>
        <v>69144</v>
      </c>
      <c r="AU75" s="248">
        <f xml:space="preserve"> $K75</f>
        <v>0</v>
      </c>
      <c r="AV75" s="248"/>
      <c r="AW75" s="248"/>
      <c r="AX75" s="248"/>
      <c r="AY75" s="248"/>
      <c r="AZ75" s="247">
        <f xml:space="preserve"> G75</f>
        <v>10.07</v>
      </c>
      <c r="BA75" s="249"/>
      <c r="BB75" s="249"/>
      <c r="BC75" s="249"/>
      <c r="BD75" s="249">
        <v>1</v>
      </c>
      <c r="BE75" s="122" t="s">
        <v>3911</v>
      </c>
      <c r="BF75" s="122"/>
      <c r="BG75" s="122" t="s">
        <v>651</v>
      </c>
      <c r="BH75" s="122"/>
      <c r="BI75" s="122" t="s">
        <v>3910</v>
      </c>
      <c r="BJ75" s="122" t="s">
        <v>66</v>
      </c>
      <c r="BK75" s="122"/>
      <c r="BL75" s="122"/>
      <c r="BM75" s="122"/>
      <c r="BN75" s="122"/>
    </row>
    <row r="76" spans="1:66" x14ac:dyDescent="0.2">
      <c r="A76" s="122"/>
      <c r="B76" s="423"/>
      <c r="C76" s="423"/>
      <c r="D76" s="1598"/>
      <c r="E76" s="1597" t="s">
        <v>3944</v>
      </c>
      <c r="F76" s="79"/>
      <c r="G76" s="247"/>
      <c r="H76" s="248"/>
      <c r="I76" s="248"/>
      <c r="J76" s="248"/>
      <c r="K76" s="248"/>
      <c r="L76" s="248"/>
      <c r="M76" s="248"/>
      <c r="N76" s="248"/>
      <c r="O76" s="248"/>
      <c r="P76" s="122"/>
      <c r="Q76" s="122"/>
      <c r="R76" s="122"/>
      <c r="S76" s="122"/>
      <c r="T76" s="122"/>
      <c r="U76" s="122"/>
      <c r="V76" s="122"/>
      <c r="W76" s="248"/>
      <c r="X76" s="248"/>
      <c r="Y76" s="248"/>
      <c r="Z76" s="248"/>
      <c r="AA76" s="248"/>
      <c r="AB76" s="248"/>
      <c r="AC76" s="248"/>
      <c r="AD76" s="248"/>
      <c r="AE76" s="248"/>
      <c r="AF76" s="248"/>
      <c r="AG76" s="248"/>
      <c r="AH76" s="248"/>
      <c r="AI76" s="248"/>
      <c r="AJ76" s="248"/>
      <c r="AK76" s="248"/>
      <c r="AL76" s="248"/>
      <c r="AM76" s="248"/>
      <c r="AN76" s="248"/>
      <c r="AO76" s="248"/>
      <c r="AP76" s="248"/>
      <c r="AQ76" s="248"/>
      <c r="AR76" s="248"/>
      <c r="AS76" s="248"/>
      <c r="AT76" s="248"/>
      <c r="AU76" s="248"/>
      <c r="AV76" s="248"/>
      <c r="AW76" s="248"/>
      <c r="AX76" s="248"/>
      <c r="AY76" s="248"/>
      <c r="AZ76" s="247"/>
      <c r="BA76" s="249"/>
      <c r="BB76" s="249"/>
      <c r="BC76" s="249"/>
      <c r="BD76" s="249"/>
      <c r="BE76" s="122"/>
      <c r="BF76" s="122"/>
      <c r="BG76" s="122"/>
      <c r="BH76" s="122"/>
      <c r="BI76" s="122"/>
      <c r="BJ76" s="122"/>
      <c r="BK76" s="122"/>
      <c r="BL76" s="122"/>
      <c r="BM76" s="122"/>
      <c r="BN76" s="122"/>
    </row>
    <row r="77" spans="1:66" x14ac:dyDescent="0.2">
      <c r="A77" s="123"/>
      <c r="B77" s="123"/>
      <c r="C77" s="123"/>
      <c r="D77" s="123"/>
      <c r="E77" s="123"/>
      <c r="F77" s="83"/>
      <c r="G77" s="250"/>
      <c r="H77" s="251"/>
      <c r="I77" s="251"/>
      <c r="J77" s="251"/>
      <c r="K77" s="251"/>
      <c r="L77" s="251"/>
      <c r="M77" s="251"/>
      <c r="N77" s="251"/>
      <c r="O77" s="251"/>
      <c r="P77" s="123"/>
      <c r="Q77" s="123"/>
      <c r="R77" s="123"/>
      <c r="S77" s="123"/>
      <c r="T77" s="123"/>
      <c r="U77" s="123"/>
      <c r="V77" s="123"/>
      <c r="W77" s="251"/>
      <c r="X77" s="251"/>
      <c r="Y77" s="251"/>
      <c r="Z77" s="251"/>
      <c r="AA77" s="251"/>
      <c r="AB77" s="251"/>
      <c r="AC77" s="251"/>
      <c r="AD77" s="251"/>
      <c r="AE77" s="251"/>
      <c r="AF77" s="251"/>
      <c r="AG77" s="251"/>
      <c r="AH77" s="251"/>
      <c r="AI77" s="251"/>
      <c r="AJ77" s="251"/>
      <c r="AK77" s="251"/>
      <c r="AL77" s="251"/>
      <c r="AM77" s="251"/>
      <c r="AN77" s="251"/>
      <c r="AO77" s="251"/>
      <c r="AP77" s="251"/>
      <c r="AQ77" s="251"/>
      <c r="AR77" s="251"/>
      <c r="AS77" s="251"/>
      <c r="AT77" s="251"/>
      <c r="AU77" s="251"/>
      <c r="AV77" s="251"/>
      <c r="AW77" s="251"/>
      <c r="AX77" s="251"/>
      <c r="AY77" s="251"/>
      <c r="AZ77" s="123"/>
      <c r="BA77" s="252"/>
      <c r="BB77" s="252"/>
      <c r="BC77" s="249"/>
      <c r="BD77" s="249"/>
      <c r="BE77" s="122"/>
      <c r="BF77" s="122"/>
      <c r="BG77" s="122"/>
      <c r="BH77" s="122"/>
      <c r="BI77" s="122"/>
      <c r="BJ77" s="122"/>
      <c r="BK77" s="122"/>
      <c r="BL77" s="122"/>
      <c r="BM77" s="122"/>
      <c r="BN77" s="122"/>
    </row>
    <row r="78" spans="1:66" ht="15.75" x14ac:dyDescent="0.2">
      <c r="A78" s="158"/>
      <c r="B78" s="156" t="s">
        <v>254</v>
      </c>
      <c r="C78" s="156" t="s">
        <v>254</v>
      </c>
      <c r="D78" s="253" t="s">
        <v>255</v>
      </c>
      <c r="E78" s="157" t="s">
        <v>105</v>
      </c>
      <c r="F78" s="158"/>
      <c r="G78" s="254"/>
      <c r="H78" s="255"/>
      <c r="I78" s="255"/>
      <c r="J78" s="255"/>
      <c r="K78" s="255"/>
      <c r="L78" s="255">
        <f t="shared" ref="L78:O78" si="31" xml:space="preserve"> SUM(L7:L77)</f>
        <v>160505485.88499996</v>
      </c>
      <c r="M78" s="255">
        <f t="shared" si="31"/>
        <v>0</v>
      </c>
      <c r="N78" s="255">
        <f t="shared" si="31"/>
        <v>56397347.990999997</v>
      </c>
      <c r="O78" s="255">
        <f t="shared" si="31"/>
        <v>8018083.2209999999</v>
      </c>
      <c r="P78" s="256"/>
      <c r="Q78" s="256"/>
      <c r="R78" s="256"/>
      <c r="S78" s="256"/>
      <c r="T78" s="256"/>
      <c r="U78" s="256"/>
      <c r="V78" s="256"/>
      <c r="W78" s="255"/>
      <c r="X78" s="255"/>
      <c r="Y78" s="255"/>
      <c r="Z78" s="255"/>
      <c r="AA78" s="255">
        <f t="shared" ref="AA78:AD78" si="32" xml:space="preserve"> SUM(AA7:AA77)</f>
        <v>0</v>
      </c>
      <c r="AB78" s="255">
        <f t="shared" si="32"/>
        <v>0</v>
      </c>
      <c r="AC78" s="255">
        <f t="shared" si="32"/>
        <v>0</v>
      </c>
      <c r="AD78" s="255">
        <f t="shared" si="32"/>
        <v>0</v>
      </c>
      <c r="AE78" s="255"/>
      <c r="AF78" s="255"/>
      <c r="AG78" s="255"/>
      <c r="AH78" s="255"/>
      <c r="AI78" s="255"/>
      <c r="AJ78" s="255"/>
      <c r="AK78" s="255"/>
      <c r="AL78" s="255"/>
      <c r="AM78" s="255"/>
      <c r="AN78" s="255"/>
      <c r="AO78" s="255"/>
      <c r="AP78" s="255"/>
      <c r="AQ78" s="255"/>
      <c r="AR78" s="255"/>
      <c r="AS78" s="255"/>
      <c r="AT78" s="255"/>
      <c r="AU78" s="255"/>
      <c r="AV78" s="255">
        <f t="shared" ref="AV78:AY78" si="33" xml:space="preserve"> SUM(AV7:AV77)</f>
        <v>68499486</v>
      </c>
      <c r="AW78" s="255">
        <f t="shared" si="33"/>
        <v>0</v>
      </c>
      <c r="AX78" s="255">
        <f t="shared" si="33"/>
        <v>17250354</v>
      </c>
      <c r="AY78" s="255">
        <f t="shared" si="33"/>
        <v>4672998</v>
      </c>
      <c r="AZ78" s="256"/>
      <c r="BA78" s="257"/>
      <c r="BB78" s="257"/>
      <c r="BC78" s="576"/>
      <c r="BD78" s="576"/>
      <c r="BE78" s="576"/>
      <c r="BF78" s="576"/>
      <c r="BG78" s="576"/>
      <c r="BH78" s="576"/>
      <c r="BI78" s="576"/>
      <c r="BJ78" s="576"/>
      <c r="BK78" s="123"/>
      <c r="BL78" s="123"/>
      <c r="BM78" s="123"/>
      <c r="BN78" s="123"/>
    </row>
    <row r="93" spans="14:14" x14ac:dyDescent="0.2">
      <c r="N93" s="550"/>
    </row>
  </sheetData>
  <mergeCells count="30">
    <mergeCell ref="BL5:BN5"/>
    <mergeCell ref="W5:Z5"/>
    <mergeCell ref="AO5:AQ5"/>
    <mergeCell ref="AI5:AJ5"/>
    <mergeCell ref="AK5:AK6"/>
    <mergeCell ref="AZ5:AZ6"/>
    <mergeCell ref="BI5:BI6"/>
    <mergeCell ref="AA5:AD5"/>
    <mergeCell ref="AE5:AH5"/>
    <mergeCell ref="BK5:BK6"/>
    <mergeCell ref="BC5:BC6"/>
    <mergeCell ref="BD5:BD6"/>
    <mergeCell ref="BJ5:BJ6"/>
    <mergeCell ref="AV5:AY5"/>
    <mergeCell ref="AL5:AN5"/>
    <mergeCell ref="BE5:BE6"/>
    <mergeCell ref="A5:A6"/>
    <mergeCell ref="B5:B6"/>
    <mergeCell ref="C5:C6"/>
    <mergeCell ref="D5:D6"/>
    <mergeCell ref="BF5:BH5"/>
    <mergeCell ref="BB5:BB6"/>
    <mergeCell ref="BA5:BA6"/>
    <mergeCell ref="V5:V6"/>
    <mergeCell ref="E5:E6"/>
    <mergeCell ref="F5:F6"/>
    <mergeCell ref="G5:G6"/>
    <mergeCell ref="P5:P6"/>
    <mergeCell ref="U5:U6"/>
    <mergeCell ref="T5:T6"/>
  </mergeCells>
  <phoneticPr fontId="2" type="noConversion"/>
  <pageMargins left="0.55118110236220497" right="0.196850393700787" top="0.43307086614173201" bottom="0.59055118110236204" header="0.15748031496063" footer="0.23622047244094499"/>
  <pageSetup paperSize="9" scale="90" orientation="landscape" r:id="rId1"/>
  <headerFooter alignWithMargins="0">
    <oddHeader>&amp;L&amp;"Times New Roman,Bold Italic"&amp;9Dự toán Bắc Nam  - ÐT: 0966.966.455</oddHeader>
    <oddFooter>&amp;R&amp;9Trang &amp;P/&amp;N</oddFoot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PTVT"/>
  <dimension ref="A1:AX102"/>
  <sheetViews>
    <sheetView topLeftCell="A67" zoomScale="115" zoomScaleNormal="115" workbookViewId="0"/>
  </sheetViews>
  <sheetFormatPr defaultRowHeight="15" outlineLevelCol="1" x14ac:dyDescent="0.2"/>
  <cols>
    <col min="1" max="1" width="4.42578125" style="1652" bestFit="1" customWidth="1"/>
    <col min="2" max="2" width="12.140625" style="1652" customWidth="1"/>
    <col min="3" max="3" width="18.28515625" style="1670" hidden="1" customWidth="1" outlineLevel="1"/>
    <col min="4" max="4" width="41.7109375" style="1652" customWidth="1" collapsed="1"/>
    <col min="5" max="5" width="9.7109375" style="1671" customWidth="1"/>
    <col min="6" max="6" width="12.85546875" style="1672" customWidth="1"/>
    <col min="7" max="7" width="12.5703125" style="1672" customWidth="1"/>
    <col min="8" max="8" width="9.85546875" style="1672" hidden="1" customWidth="1"/>
    <col min="9" max="9" width="15" style="1672" customWidth="1"/>
    <col min="10" max="10" width="10.7109375" style="1672" hidden="1" customWidth="1"/>
    <col min="11" max="11" width="12" style="1652" hidden="1" customWidth="1" outlineLevel="1"/>
    <col min="12" max="12" width="9.85546875" style="1673" hidden="1" customWidth="1" outlineLevel="1"/>
    <col min="13" max="13" width="11.42578125" style="1670" hidden="1" customWidth="1"/>
    <col min="14" max="14" width="11.5703125" style="1670" hidden="1" customWidth="1"/>
    <col min="15" max="15" width="13.42578125" style="1652" hidden="1" customWidth="1" outlineLevel="1"/>
    <col min="16" max="16" width="9.140625" style="1652" hidden="1" customWidth="1" outlineLevel="1"/>
    <col min="17" max="18" width="10.85546875" style="1652" hidden="1" customWidth="1" outlineLevel="1"/>
    <col min="19" max="20" width="10.42578125" style="1652" hidden="1" customWidth="1" outlineLevel="1"/>
    <col min="21" max="21" width="8.28515625" style="1652" hidden="1" customWidth="1" outlineLevel="1"/>
    <col min="22" max="22" width="9.5703125" style="1652" hidden="1" customWidth="1" outlineLevel="1"/>
    <col min="23" max="36" width="9.140625" style="1652" hidden="1" customWidth="1" outlineLevel="1"/>
    <col min="37" max="39" width="0" style="1652" hidden="1" customWidth="1" outlineLevel="1"/>
    <col min="40" max="40" width="12.28515625" style="1652" hidden="1" customWidth="1"/>
    <col min="41" max="41" width="9.140625" style="1652" hidden="1" customWidth="1" outlineLevel="1"/>
    <col min="42" max="49" width="9.140625" style="1653" hidden="1" customWidth="1" outlineLevel="1"/>
    <col min="50" max="50" width="9.140625" style="1652" collapsed="1"/>
    <col min="51" max="16384" width="9.140625" style="1652"/>
  </cols>
  <sheetData>
    <row r="1" spans="1:50" s="103" customFormat="1" ht="20.25" x14ac:dyDescent="0.3">
      <c r="A1" s="1626" t="s">
        <v>268</v>
      </c>
      <c r="B1" s="1627"/>
      <c r="C1" s="1628"/>
      <c r="D1" s="1627"/>
      <c r="E1" s="1627"/>
      <c r="F1" s="1629"/>
      <c r="G1" s="1629"/>
      <c r="H1" s="1629"/>
      <c r="I1" s="1629"/>
      <c r="J1" s="1629"/>
      <c r="K1" s="1627"/>
      <c r="L1" s="1630"/>
      <c r="M1" s="1628"/>
      <c r="N1" s="1628"/>
      <c r="O1" s="1631"/>
      <c r="P1" s="1631"/>
      <c r="Q1" s="1631"/>
      <c r="R1" s="1631"/>
      <c r="S1" s="1631"/>
      <c r="T1" s="1631"/>
      <c r="U1" s="1631"/>
      <c r="V1" s="1631"/>
      <c r="W1" s="1631"/>
      <c r="X1" s="1631"/>
      <c r="Y1" s="1631"/>
      <c r="Z1" s="1631"/>
      <c r="AA1" s="1631"/>
      <c r="AB1" s="1631"/>
      <c r="AC1" s="1631"/>
      <c r="AD1" s="1631"/>
      <c r="AE1" s="1631"/>
      <c r="AF1" s="1631"/>
      <c r="AG1" s="1631"/>
      <c r="AH1" s="1631"/>
      <c r="AI1" s="1631"/>
      <c r="AJ1" s="1631"/>
      <c r="AK1" s="1631"/>
      <c r="AL1" s="1631"/>
      <c r="AM1" s="1631"/>
      <c r="AN1" s="1631"/>
      <c r="AO1" s="1631"/>
      <c r="AP1" s="1632"/>
      <c r="AQ1" s="1632"/>
      <c r="AR1" s="1632"/>
      <c r="AS1" s="1632"/>
      <c r="AT1" s="1632"/>
      <c r="AU1" s="1632"/>
      <c r="AV1" s="1632"/>
      <c r="AW1" s="1632"/>
      <c r="AX1" s="1631"/>
    </row>
    <row r="2" spans="1:50" s="103" customFormat="1" ht="15.75" x14ac:dyDescent="0.25">
      <c r="A2" s="1633" t="str">
        <f>"CÔNG TRÌNH : "&amp;'Bia du toan'!$G$12</f>
        <v>CÔNG TRÌNH : TRƯỜNG CAO ĐẲNG LÝ TỰ TRỌNG</v>
      </c>
      <c r="B2" s="1627"/>
      <c r="C2" s="1628"/>
      <c r="D2" s="1627"/>
      <c r="E2" s="1627"/>
      <c r="F2" s="1629"/>
      <c r="G2" s="1629"/>
      <c r="H2" s="1629"/>
      <c r="I2" s="1629"/>
      <c r="J2" s="1629"/>
      <c r="K2" s="1627"/>
      <c r="L2" s="1630"/>
      <c r="M2" s="1628"/>
      <c r="N2" s="1628"/>
      <c r="O2" s="1631"/>
      <c r="P2" s="1631"/>
      <c r="Q2" s="1631"/>
      <c r="R2" s="1631"/>
      <c r="S2" s="1631"/>
      <c r="T2" s="1631"/>
      <c r="U2" s="1631"/>
      <c r="V2" s="1631"/>
      <c r="W2" s="1631"/>
      <c r="X2" s="1631"/>
      <c r="Y2" s="1631"/>
      <c r="Z2" s="1631"/>
      <c r="AA2" s="1631"/>
      <c r="AB2" s="1631"/>
      <c r="AC2" s="1631"/>
      <c r="AD2" s="1631"/>
      <c r="AE2" s="1631"/>
      <c r="AF2" s="1631"/>
      <c r="AG2" s="1631"/>
      <c r="AH2" s="1631"/>
      <c r="AI2" s="1631"/>
      <c r="AJ2" s="1631"/>
      <c r="AK2" s="1631"/>
      <c r="AL2" s="1631"/>
      <c r="AM2" s="1631"/>
      <c r="AN2" s="1631"/>
      <c r="AO2" s="1631"/>
      <c r="AP2" s="1632"/>
      <c r="AQ2" s="1632"/>
      <c r="AR2" s="1632"/>
      <c r="AS2" s="1632"/>
      <c r="AT2" s="1632"/>
      <c r="AU2" s="1632"/>
      <c r="AV2" s="1632"/>
      <c r="AW2" s="1632"/>
      <c r="AX2" s="1631"/>
    </row>
    <row r="3" spans="1:50" s="103" customFormat="1" ht="15.75" x14ac:dyDescent="0.25">
      <c r="A3" s="1633" t="str">
        <f>"HẠNG MỤC : "&amp; 'Bia du toan'!$G$13</f>
        <v>HẠNG MỤC : CẢI TẠO THƯ VIỆN GIAI ĐOẠN 2 - NĂM 2019</v>
      </c>
      <c r="B3" s="1627"/>
      <c r="C3" s="1628"/>
      <c r="D3" s="1627"/>
      <c r="E3" s="1627"/>
      <c r="F3" s="1629"/>
      <c r="G3" s="1629"/>
      <c r="H3" s="1629"/>
      <c r="I3" s="1629"/>
      <c r="J3" s="1629"/>
      <c r="K3" s="1627"/>
      <c r="L3" s="1630"/>
      <c r="M3" s="1628"/>
      <c r="N3" s="1628"/>
      <c r="O3" s="1631"/>
      <c r="P3" s="1631"/>
      <c r="Q3" s="1631"/>
      <c r="R3" s="1631"/>
      <c r="S3" s="1631"/>
      <c r="T3" s="1631"/>
      <c r="U3" s="1631"/>
      <c r="V3" s="1631"/>
      <c r="W3" s="1631"/>
      <c r="X3" s="1631"/>
      <c r="Y3" s="1631"/>
      <c r="Z3" s="1631"/>
      <c r="AA3" s="1631"/>
      <c r="AB3" s="1631"/>
      <c r="AC3" s="1631"/>
      <c r="AD3" s="1631"/>
      <c r="AE3" s="1631"/>
      <c r="AF3" s="1631"/>
      <c r="AG3" s="1631"/>
      <c r="AH3" s="1631"/>
      <c r="AI3" s="1631"/>
      <c r="AJ3" s="1631"/>
      <c r="AK3" s="1631"/>
      <c r="AL3" s="1631"/>
      <c r="AM3" s="1631"/>
      <c r="AN3" s="1631"/>
      <c r="AO3" s="1631"/>
      <c r="AP3" s="1632"/>
      <c r="AQ3" s="1632"/>
      <c r="AR3" s="1632"/>
      <c r="AS3" s="1632"/>
      <c r="AT3" s="1632"/>
      <c r="AU3" s="1632"/>
      <c r="AV3" s="1632"/>
      <c r="AW3" s="1632"/>
      <c r="AX3" s="1631"/>
    </row>
    <row r="4" spans="1:50" s="103" customFormat="1" x14ac:dyDescent="0.25">
      <c r="A4" s="1627"/>
      <c r="B4" s="1627"/>
      <c r="C4" s="1628"/>
      <c r="D4" s="1627"/>
      <c r="E4" s="1627"/>
      <c r="F4" s="1629"/>
      <c r="G4" s="1629"/>
      <c r="H4" s="1629"/>
      <c r="I4" s="1629"/>
      <c r="J4" s="1629"/>
      <c r="K4" s="1627"/>
      <c r="L4" s="1630"/>
      <c r="M4" s="1628"/>
      <c r="N4" s="1628"/>
      <c r="O4" s="1631"/>
      <c r="P4" s="1631"/>
      <c r="Q4" s="1631"/>
      <c r="R4" s="1631"/>
      <c r="S4" s="1631"/>
      <c r="T4" s="1631"/>
      <c r="U4" s="1631"/>
      <c r="V4" s="1631"/>
      <c r="W4" s="1631"/>
      <c r="X4" s="1631"/>
      <c r="Y4" s="1631"/>
      <c r="Z4" s="1631"/>
      <c r="AA4" s="1631"/>
      <c r="AB4" s="1631"/>
      <c r="AC4" s="1631"/>
      <c r="AD4" s="1631"/>
      <c r="AE4" s="1631"/>
      <c r="AF4" s="1631"/>
      <c r="AG4" s="1631"/>
      <c r="AH4" s="1631"/>
      <c r="AI4" s="1631"/>
      <c r="AJ4" s="1631"/>
      <c r="AK4" s="1631"/>
      <c r="AL4" s="1631"/>
      <c r="AM4" s="1631"/>
      <c r="AN4" s="1631"/>
      <c r="AO4" s="1631"/>
      <c r="AP4" s="1632"/>
      <c r="AQ4" s="1632"/>
      <c r="AR4" s="1632"/>
      <c r="AS4" s="1632"/>
      <c r="AT4" s="1632"/>
      <c r="AU4" s="1632"/>
      <c r="AV4" s="1632"/>
      <c r="AW4" s="1632"/>
      <c r="AX4" s="1631"/>
    </row>
    <row r="5" spans="1:50" s="103" customFormat="1" ht="15.75" x14ac:dyDescent="0.25">
      <c r="A5" s="1773" t="s">
        <v>15</v>
      </c>
      <c r="B5" s="1779" t="s">
        <v>234</v>
      </c>
      <c r="C5" s="1777" t="s">
        <v>256</v>
      </c>
      <c r="D5" s="1773" t="s">
        <v>257</v>
      </c>
      <c r="E5" s="1773" t="s">
        <v>236</v>
      </c>
      <c r="F5" s="1634" t="s">
        <v>237</v>
      </c>
      <c r="G5" s="1634"/>
      <c r="H5" s="1634"/>
      <c r="I5" s="1634"/>
      <c r="J5" s="1737"/>
      <c r="K5" s="1635" t="s">
        <v>258</v>
      </c>
      <c r="L5" s="1636" t="s">
        <v>259</v>
      </c>
      <c r="M5" s="1775" t="s">
        <v>260</v>
      </c>
      <c r="N5" s="1775"/>
      <c r="O5" s="1773" t="s">
        <v>590</v>
      </c>
      <c r="P5" s="1773"/>
      <c r="Q5" s="1773"/>
      <c r="R5" s="1773"/>
      <c r="S5" s="1774" t="s">
        <v>620</v>
      </c>
      <c r="T5" s="1774"/>
      <c r="U5" s="1774"/>
      <c r="V5" s="1774"/>
      <c r="W5" s="1774" t="s">
        <v>621</v>
      </c>
      <c r="X5" s="1774"/>
      <c r="Y5" s="1774"/>
      <c r="Z5" s="1774"/>
      <c r="AA5" s="1774" t="s">
        <v>622</v>
      </c>
      <c r="AB5" s="1774"/>
      <c r="AC5" s="1774"/>
      <c r="AD5" s="1774"/>
      <c r="AE5" s="1774" t="s">
        <v>1151</v>
      </c>
      <c r="AF5" s="1774"/>
      <c r="AG5" s="1774"/>
      <c r="AH5" s="1774" t="s">
        <v>241</v>
      </c>
      <c r="AI5" s="1774"/>
      <c r="AJ5" s="1774"/>
      <c r="AK5" s="1774" t="s">
        <v>1152</v>
      </c>
      <c r="AL5" s="1774"/>
      <c r="AM5" s="1774"/>
      <c r="AN5" s="1773" t="s">
        <v>3052</v>
      </c>
      <c r="AO5" s="1634" t="s">
        <v>3639</v>
      </c>
      <c r="AP5" s="1772" t="s">
        <v>238</v>
      </c>
      <c r="AQ5" s="1772"/>
      <c r="AR5" s="1772"/>
      <c r="AS5" s="1772"/>
      <c r="AT5" s="1772" t="s">
        <v>239</v>
      </c>
      <c r="AU5" s="1772"/>
      <c r="AV5" s="1772"/>
      <c r="AW5" s="1772"/>
      <c r="AX5" s="1631"/>
    </row>
    <row r="6" spans="1:50" s="103" customFormat="1" ht="21" x14ac:dyDescent="0.25">
      <c r="A6" s="1776"/>
      <c r="B6" s="1780"/>
      <c r="C6" s="1778"/>
      <c r="D6" s="1776"/>
      <c r="E6" s="1776"/>
      <c r="F6" s="1637" t="s">
        <v>261</v>
      </c>
      <c r="G6" s="1637" t="s">
        <v>233</v>
      </c>
      <c r="H6" s="1637" t="s">
        <v>241</v>
      </c>
      <c r="I6" s="1637" t="s">
        <v>483</v>
      </c>
      <c r="J6" s="1638" t="s">
        <v>262</v>
      </c>
      <c r="K6" s="1638" t="s">
        <v>263</v>
      </c>
      <c r="L6" s="1639" t="s">
        <v>232</v>
      </c>
      <c r="M6" s="1640" t="s">
        <v>264</v>
      </c>
      <c r="N6" s="1640" t="s">
        <v>265</v>
      </c>
      <c r="O6" s="1634" t="s">
        <v>267</v>
      </c>
      <c r="P6" s="1641" t="s">
        <v>236</v>
      </c>
      <c r="Q6" s="1634" t="s">
        <v>714</v>
      </c>
      <c r="R6" s="1634" t="s">
        <v>715</v>
      </c>
      <c r="S6" s="1634" t="s">
        <v>368</v>
      </c>
      <c r="T6" s="1634" t="s">
        <v>267</v>
      </c>
      <c r="U6" s="1641" t="s">
        <v>236</v>
      </c>
      <c r="V6" s="1634" t="s">
        <v>233</v>
      </c>
      <c r="W6" s="1634" t="s">
        <v>368</v>
      </c>
      <c r="X6" s="1634" t="s">
        <v>267</v>
      </c>
      <c r="Y6" s="1641" t="s">
        <v>236</v>
      </c>
      <c r="Z6" s="1634" t="s">
        <v>233</v>
      </c>
      <c r="AA6" s="1634" t="s">
        <v>368</v>
      </c>
      <c r="AB6" s="1634" t="s">
        <v>267</v>
      </c>
      <c r="AC6" s="1641" t="s">
        <v>236</v>
      </c>
      <c r="AD6" s="1634" t="s">
        <v>233</v>
      </c>
      <c r="AE6" s="1634" t="s">
        <v>245</v>
      </c>
      <c r="AF6" s="1634" t="s">
        <v>247</v>
      </c>
      <c r="AG6" s="1641" t="s">
        <v>248</v>
      </c>
      <c r="AH6" s="1634" t="s">
        <v>245</v>
      </c>
      <c r="AI6" s="1634" t="s">
        <v>247</v>
      </c>
      <c r="AJ6" s="1641" t="s">
        <v>248</v>
      </c>
      <c r="AK6" s="1634" t="s">
        <v>245</v>
      </c>
      <c r="AL6" s="1634" t="s">
        <v>247</v>
      </c>
      <c r="AM6" s="1641" t="s">
        <v>248</v>
      </c>
      <c r="AN6" s="1773"/>
      <c r="AO6" s="1642" t="s">
        <v>3640</v>
      </c>
      <c r="AP6" s="1643" t="s">
        <v>3641</v>
      </c>
      <c r="AQ6" s="1643" t="s">
        <v>3642</v>
      </c>
      <c r="AR6" s="1643" t="s">
        <v>247</v>
      </c>
      <c r="AS6" s="1643" t="s">
        <v>3643</v>
      </c>
      <c r="AT6" s="1643" t="s">
        <v>3641</v>
      </c>
      <c r="AU6" s="1643" t="s">
        <v>3642</v>
      </c>
      <c r="AV6" s="1643" t="s">
        <v>247</v>
      </c>
      <c r="AW6" s="1643" t="s">
        <v>3643</v>
      </c>
      <c r="AX6" s="1631"/>
    </row>
    <row r="7" spans="1:50" x14ac:dyDescent="0.2">
      <c r="A7" s="1644">
        <v>1</v>
      </c>
      <c r="B7" s="1645" t="s">
        <v>3882</v>
      </c>
      <c r="C7" s="1646"/>
      <c r="D7" s="1645" t="str">
        <f xml:space="preserve"> 'Du toan'!$E$8</f>
        <v>Tháo dỡ cửa</v>
      </c>
      <c r="E7" s="1647" t="str">
        <f xml:space="preserve"> 'Du toan'!$F$8</f>
        <v>m2</v>
      </c>
      <c r="F7" s="1648">
        <f xml:space="preserve"> 'Du toan'!$AZ$8</f>
        <v>124.60500000000002</v>
      </c>
      <c r="G7" s="1648"/>
      <c r="H7" s="1648" t="s">
        <v>66</v>
      </c>
      <c r="I7" s="1648"/>
      <c r="J7" s="1648"/>
      <c r="K7" s="1649" t="s">
        <v>3882</v>
      </c>
      <c r="L7" s="1650" t="s">
        <v>254</v>
      </c>
      <c r="M7" s="1651">
        <v>2</v>
      </c>
      <c r="N7" s="1651"/>
    </row>
    <row r="8" spans="1:50" x14ac:dyDescent="0.2">
      <c r="A8" s="1654"/>
      <c r="B8" s="1654"/>
      <c r="C8" s="1655"/>
      <c r="D8" s="1656" t="s">
        <v>3946</v>
      </c>
      <c r="E8" s="1657"/>
      <c r="F8" s="1658"/>
      <c r="G8" s="1658"/>
      <c r="H8" s="1658"/>
      <c r="I8" s="1658"/>
      <c r="J8" s="1658"/>
      <c r="K8" s="1659"/>
      <c r="L8" s="1660"/>
      <c r="M8" s="1661"/>
      <c r="N8" s="1661"/>
    </row>
    <row r="9" spans="1:50" x14ac:dyDescent="0.2">
      <c r="A9" s="1674"/>
      <c r="B9" s="1674"/>
      <c r="C9" s="1675" t="s">
        <v>776</v>
      </c>
      <c r="D9" s="1674" t="s">
        <v>3945</v>
      </c>
      <c r="E9" s="1676" t="s">
        <v>2259</v>
      </c>
      <c r="F9" s="1677"/>
      <c r="G9" s="1677">
        <v>0.04</v>
      </c>
      <c r="H9" s="1677">
        <f xml:space="preserve"> 'Du toan'!$AG$8</f>
        <v>0</v>
      </c>
      <c r="I9" s="1677">
        <f xml:space="preserve"> IF(H9&gt;0,H9*G9*$F$7,G9*$F$7)</f>
        <v>4.9842000000000004</v>
      </c>
      <c r="J9" s="1677"/>
      <c r="K9" s="1678"/>
      <c r="L9" s="1679" t="str">
        <f xml:space="preserve"> $H$7</f>
        <v>B</v>
      </c>
      <c r="M9" s="1680" t="s">
        <v>776</v>
      </c>
      <c r="N9" s="1680" t="s">
        <v>3945</v>
      </c>
    </row>
    <row r="10" spans="1:50" x14ac:dyDescent="0.2">
      <c r="A10" s="1644">
        <v>2</v>
      </c>
      <c r="B10" s="1645" t="s">
        <v>3884</v>
      </c>
      <c r="C10" s="1646"/>
      <c r="D10" s="1645" t="str">
        <f xml:space="preserve"> 'Du toan'!$E$17</f>
        <v>Cạo bỏ lớp sơn cũ trên tường, cột, trụ</v>
      </c>
      <c r="E10" s="1647" t="str">
        <f xml:space="preserve"> 'Du toan'!$F$17</f>
        <v>m2</v>
      </c>
      <c r="F10" s="1648">
        <f xml:space="preserve"> 'Du toan'!$AZ$17</f>
        <v>47.223999999999997</v>
      </c>
      <c r="G10" s="1648"/>
      <c r="H10" s="1648" t="s">
        <v>66</v>
      </c>
      <c r="I10" s="1648"/>
      <c r="J10" s="1648"/>
      <c r="K10" s="1649" t="s">
        <v>3884</v>
      </c>
      <c r="L10" s="1650" t="s">
        <v>254</v>
      </c>
      <c r="M10" s="1651">
        <v>2</v>
      </c>
      <c r="N10" s="1651"/>
    </row>
    <row r="11" spans="1:50" x14ac:dyDescent="0.2">
      <c r="A11" s="1654"/>
      <c r="B11" s="1654"/>
      <c r="C11" s="1655"/>
      <c r="D11" s="1656" t="s">
        <v>3946</v>
      </c>
      <c r="E11" s="1657"/>
      <c r="F11" s="1658"/>
      <c r="G11" s="1658"/>
      <c r="H11" s="1658"/>
      <c r="I11" s="1658"/>
      <c r="J11" s="1658"/>
      <c r="K11" s="1659"/>
      <c r="L11" s="1660"/>
      <c r="M11" s="1661"/>
      <c r="N11" s="1661"/>
    </row>
    <row r="12" spans="1:50" x14ac:dyDescent="0.2">
      <c r="A12" s="1674"/>
      <c r="B12" s="1674"/>
      <c r="C12" s="1675" t="s">
        <v>778</v>
      </c>
      <c r="D12" s="1674" t="s">
        <v>3947</v>
      </c>
      <c r="E12" s="1676" t="s">
        <v>2259</v>
      </c>
      <c r="F12" s="1677"/>
      <c r="G12" s="1677">
        <v>0.06</v>
      </c>
      <c r="H12" s="1677">
        <f xml:space="preserve"> 'Du toan'!$AG$17</f>
        <v>0</v>
      </c>
      <c r="I12" s="1677">
        <f xml:space="preserve"> IF(H12&gt;0,H12*G12*$F$10,G12*$F$10)</f>
        <v>2.8334399999999995</v>
      </c>
      <c r="J12" s="1677"/>
      <c r="K12" s="1678"/>
      <c r="L12" s="1679" t="str">
        <f xml:space="preserve"> $H$10</f>
        <v>B</v>
      </c>
      <c r="M12" s="1680" t="s">
        <v>778</v>
      </c>
      <c r="N12" s="1680" t="s">
        <v>3947</v>
      </c>
    </row>
    <row r="13" spans="1:50" x14ac:dyDescent="0.2">
      <c r="A13" s="1644">
        <v>3</v>
      </c>
      <c r="B13" s="1645" t="s">
        <v>3887</v>
      </c>
      <c r="C13" s="1646"/>
      <c r="D13" s="1645" t="str">
        <f xml:space="preserve"> 'Du toan'!$E$31</f>
        <v>Cạo bỏ lớp sơn cũ trên trần</v>
      </c>
      <c r="E13" s="1647" t="str">
        <f xml:space="preserve"> 'Du toan'!$F$31</f>
        <v>m2</v>
      </c>
      <c r="F13" s="1648">
        <f xml:space="preserve"> 'Du toan'!$AZ$31</f>
        <v>118.8</v>
      </c>
      <c r="G13" s="1648"/>
      <c r="H13" s="1648" t="s">
        <v>66</v>
      </c>
      <c r="I13" s="1648"/>
      <c r="J13" s="1648"/>
      <c r="K13" s="1649" t="s">
        <v>3887</v>
      </c>
      <c r="L13" s="1650" t="s">
        <v>254</v>
      </c>
      <c r="M13" s="1651">
        <v>2</v>
      </c>
      <c r="N13" s="1651"/>
    </row>
    <row r="14" spans="1:50" x14ac:dyDescent="0.2">
      <c r="A14" s="1654"/>
      <c r="B14" s="1654"/>
      <c r="C14" s="1655"/>
      <c r="D14" s="1656" t="s">
        <v>3946</v>
      </c>
      <c r="E14" s="1657"/>
      <c r="F14" s="1658"/>
      <c r="G14" s="1658"/>
      <c r="H14" s="1658"/>
      <c r="I14" s="1658"/>
      <c r="J14" s="1658"/>
      <c r="K14" s="1659"/>
      <c r="L14" s="1660"/>
      <c r="M14" s="1661"/>
      <c r="N14" s="1661"/>
    </row>
    <row r="15" spans="1:50" x14ac:dyDescent="0.2">
      <c r="A15" s="1674"/>
      <c r="B15" s="1674"/>
      <c r="C15" s="1675" t="s">
        <v>778</v>
      </c>
      <c r="D15" s="1674" t="s">
        <v>3947</v>
      </c>
      <c r="E15" s="1676" t="s">
        <v>2259</v>
      </c>
      <c r="F15" s="1677"/>
      <c r="G15" s="1677">
        <v>7.0000000000000007E-2</v>
      </c>
      <c r="H15" s="1677">
        <f xml:space="preserve"> 'Du toan'!$AG$31</f>
        <v>0</v>
      </c>
      <c r="I15" s="1677">
        <f xml:space="preserve"> IF(H15&gt;0,H15*G15*$F$13,G15*$F$13)</f>
        <v>8.3160000000000007</v>
      </c>
      <c r="J15" s="1677"/>
      <c r="K15" s="1678"/>
      <c r="L15" s="1679" t="str">
        <f xml:space="preserve"> $H$13</f>
        <v>B</v>
      </c>
      <c r="M15" s="1680" t="s">
        <v>778</v>
      </c>
      <c r="N15" s="1680" t="s">
        <v>3947</v>
      </c>
    </row>
    <row r="16" spans="1:50" x14ac:dyDescent="0.2">
      <c r="A16" s="1644">
        <v>4</v>
      </c>
      <c r="B16" s="1645" t="s">
        <v>3889</v>
      </c>
      <c r="C16" s="1646"/>
      <c r="D16" s="1645" t="str">
        <f xml:space="preserve"> 'Du toan'!$E$36</f>
        <v>Cạo bỏ lớp sơn cũ trên kim loại</v>
      </c>
      <c r="E16" s="1647" t="str">
        <f xml:space="preserve"> 'Du toan'!$F$36</f>
        <v>m2</v>
      </c>
      <c r="F16" s="1648">
        <f xml:space="preserve"> 'Du toan'!$AZ$36</f>
        <v>6.4</v>
      </c>
      <c r="G16" s="1648"/>
      <c r="H16" s="1648" t="s">
        <v>66</v>
      </c>
      <c r="I16" s="1648"/>
      <c r="J16" s="1648"/>
      <c r="K16" s="1649" t="s">
        <v>3889</v>
      </c>
      <c r="L16" s="1650" t="s">
        <v>254</v>
      </c>
      <c r="M16" s="1651">
        <v>2</v>
      </c>
      <c r="N16" s="1651"/>
    </row>
    <row r="17" spans="1:14" x14ac:dyDescent="0.2">
      <c r="A17" s="1654"/>
      <c r="B17" s="1654"/>
      <c r="C17" s="1655"/>
      <c r="D17" s="1656" t="s">
        <v>3946</v>
      </c>
      <c r="E17" s="1657"/>
      <c r="F17" s="1658"/>
      <c r="G17" s="1658"/>
      <c r="H17" s="1658"/>
      <c r="I17" s="1658"/>
      <c r="J17" s="1658"/>
      <c r="K17" s="1659"/>
      <c r="L17" s="1660"/>
      <c r="M17" s="1661"/>
      <c r="N17" s="1661"/>
    </row>
    <row r="18" spans="1:14" x14ac:dyDescent="0.2">
      <c r="A18" s="1674"/>
      <c r="B18" s="1674"/>
      <c r="C18" s="1675" t="s">
        <v>778</v>
      </c>
      <c r="D18" s="1674" t="s">
        <v>3947</v>
      </c>
      <c r="E18" s="1676" t="s">
        <v>2259</v>
      </c>
      <c r="F18" s="1677"/>
      <c r="G18" s="1677">
        <v>0.2</v>
      </c>
      <c r="H18" s="1677">
        <f xml:space="preserve"> 'Du toan'!$AG$36</f>
        <v>0</v>
      </c>
      <c r="I18" s="1677">
        <f xml:space="preserve"> IF(H18&gt;0,H18*G18*$F$16,G18*$F$16)</f>
        <v>1.2800000000000002</v>
      </c>
      <c r="J18" s="1677"/>
      <c r="K18" s="1678"/>
      <c r="L18" s="1679" t="str">
        <f xml:space="preserve"> $H$16</f>
        <v>B</v>
      </c>
      <c r="M18" s="1680" t="s">
        <v>778</v>
      </c>
      <c r="N18" s="1680" t="s">
        <v>3947</v>
      </c>
    </row>
    <row r="19" spans="1:14" ht="30" x14ac:dyDescent="0.2">
      <c r="A19" s="1644">
        <v>5</v>
      </c>
      <c r="B19" s="1645" t="s">
        <v>3892</v>
      </c>
      <c r="C19" s="1646"/>
      <c r="D19" s="1645" t="str">
        <f xml:space="preserve"> 'Du toan'!$E$39</f>
        <v>Xây tường bằng gạch thẻ 4x8x18, dày&lt;=10cm, cao &lt;= 4m, vữa xi măng Mác 75</v>
      </c>
      <c r="E19" s="1647" t="str">
        <f xml:space="preserve"> 'Du toan'!$F$39</f>
        <v>m3</v>
      </c>
      <c r="F19" s="1648">
        <f xml:space="preserve"> 'Du toan'!$AZ$39</f>
        <v>0.42000000000000004</v>
      </c>
      <c r="G19" s="1648"/>
      <c r="H19" s="1648" t="s">
        <v>66</v>
      </c>
      <c r="I19" s="1648"/>
      <c r="J19" s="1648"/>
      <c r="K19" s="1649" t="s">
        <v>3927</v>
      </c>
      <c r="L19" s="1650" t="s">
        <v>3926</v>
      </c>
      <c r="M19" s="1651">
        <v>1</v>
      </c>
      <c r="N19" s="1651"/>
    </row>
    <row r="20" spans="1:14" x14ac:dyDescent="0.2">
      <c r="A20" s="1654"/>
      <c r="B20" s="1654"/>
      <c r="C20" s="1655"/>
      <c r="D20" s="1656" t="s">
        <v>3961</v>
      </c>
      <c r="E20" s="1657"/>
      <c r="F20" s="1658"/>
      <c r="G20" s="1658"/>
      <c r="H20" s="1658"/>
      <c r="I20" s="1658"/>
      <c r="J20" s="1658"/>
      <c r="K20" s="1659"/>
      <c r="L20" s="1660"/>
      <c r="M20" s="1661"/>
      <c r="N20" s="1661"/>
    </row>
    <row r="21" spans="1:14" x14ac:dyDescent="0.2">
      <c r="A21" s="1654"/>
      <c r="B21" s="1654"/>
      <c r="C21" s="1655" t="s">
        <v>3948</v>
      </c>
      <c r="D21" s="1654" t="s">
        <v>4044</v>
      </c>
      <c r="E21" s="1657" t="s">
        <v>3153</v>
      </c>
      <c r="F21" s="1658"/>
      <c r="G21" s="1658">
        <v>1315</v>
      </c>
      <c r="H21" s="1658">
        <f xml:space="preserve"> 'Du toan'!$AE$39</f>
        <v>0</v>
      </c>
      <c r="I21" s="1658">
        <f t="shared" ref="I21:I24" si="0" xml:space="preserve"> IF(H21&gt;0,H21*G21*$F$19,G21*$F$19)</f>
        <v>552.30000000000007</v>
      </c>
      <c r="J21" s="1658">
        <f t="shared" ref="J21:J24" si="1" xml:space="preserve"> $G$25%*I21</f>
        <v>33.138000000000005</v>
      </c>
      <c r="K21" s="1659"/>
      <c r="L21" s="1662" t="str">
        <f t="shared" ref="L21:L24" si="2" xml:space="preserve"> $H$19</f>
        <v>B</v>
      </c>
      <c r="M21" s="1661"/>
      <c r="N21" s="1661"/>
    </row>
    <row r="22" spans="1:14" x14ac:dyDescent="0.2">
      <c r="A22" s="1654"/>
      <c r="B22" s="1654"/>
      <c r="C22" s="1655" t="s">
        <v>3949</v>
      </c>
      <c r="D22" s="1654" t="s">
        <v>3950</v>
      </c>
      <c r="E22" s="1657" t="s">
        <v>3025</v>
      </c>
      <c r="F22" s="1658"/>
      <c r="G22" s="1658">
        <f xml:space="preserve"> 0.2*247.02</f>
        <v>49.404000000000003</v>
      </c>
      <c r="H22" s="1658">
        <f xml:space="preserve"> 'Du toan'!$AE$39</f>
        <v>0</v>
      </c>
      <c r="I22" s="1658">
        <f t="shared" si="0"/>
        <v>20.749680000000005</v>
      </c>
      <c r="J22" s="1658">
        <f t="shared" si="1"/>
        <v>1.2449808000000002</v>
      </c>
      <c r="K22" s="1659"/>
      <c r="L22" s="1662" t="str">
        <f t="shared" si="2"/>
        <v>B</v>
      </c>
      <c r="M22" s="1661"/>
      <c r="N22" s="1661"/>
    </row>
    <row r="23" spans="1:14" x14ac:dyDescent="0.2">
      <c r="A23" s="1654"/>
      <c r="B23" s="1654"/>
      <c r="C23" s="1655" t="s">
        <v>3951</v>
      </c>
      <c r="D23" s="1654" t="s">
        <v>3952</v>
      </c>
      <c r="E23" s="1657" t="s">
        <v>647</v>
      </c>
      <c r="F23" s="1658"/>
      <c r="G23" s="1658">
        <f xml:space="preserve"> 0.2*1.12</f>
        <v>0.22400000000000003</v>
      </c>
      <c r="H23" s="1658">
        <f xml:space="preserve"> 'Du toan'!$AE$39</f>
        <v>0</v>
      </c>
      <c r="I23" s="1658">
        <f t="shared" si="0"/>
        <v>9.4080000000000025E-2</v>
      </c>
      <c r="J23" s="1658">
        <f t="shared" si="1"/>
        <v>5.644800000000001E-3</v>
      </c>
      <c r="K23" s="1659"/>
      <c r="L23" s="1662" t="str">
        <f t="shared" si="2"/>
        <v>B</v>
      </c>
      <c r="M23" s="1661"/>
      <c r="N23" s="1661"/>
    </row>
    <row r="24" spans="1:14" x14ac:dyDescent="0.2">
      <c r="A24" s="1654"/>
      <c r="B24" s="1654"/>
      <c r="C24" s="1655" t="s">
        <v>3953</v>
      </c>
      <c r="D24" s="1654" t="s">
        <v>3954</v>
      </c>
      <c r="E24" s="1657" t="s">
        <v>3023</v>
      </c>
      <c r="F24" s="1658"/>
      <c r="G24" s="1658">
        <f xml:space="preserve"> 0.2*260</f>
        <v>52</v>
      </c>
      <c r="H24" s="1658">
        <f xml:space="preserve"> 'Du toan'!$AE$39</f>
        <v>0</v>
      </c>
      <c r="I24" s="1658">
        <f t="shared" si="0"/>
        <v>21.840000000000003</v>
      </c>
      <c r="J24" s="1658">
        <f t="shared" si="1"/>
        <v>1.3104000000000002</v>
      </c>
      <c r="K24" s="1659"/>
      <c r="L24" s="1662" t="str">
        <f t="shared" si="2"/>
        <v>B</v>
      </c>
      <c r="M24" s="1661"/>
      <c r="N24" s="1661"/>
    </row>
    <row r="25" spans="1:14" x14ac:dyDescent="0.2">
      <c r="A25" s="1654"/>
      <c r="B25" s="1654"/>
      <c r="C25" s="1655" t="s">
        <v>3955</v>
      </c>
      <c r="D25" s="1654" t="s">
        <v>3956</v>
      </c>
      <c r="E25" s="1657" t="s">
        <v>74</v>
      </c>
      <c r="F25" s="1658"/>
      <c r="G25" s="1658">
        <v>6</v>
      </c>
      <c r="H25" s="1658"/>
      <c r="I25" s="1658"/>
      <c r="J25" s="1658"/>
      <c r="K25" s="1659"/>
      <c r="L25" s="1660"/>
      <c r="M25" s="1661"/>
      <c r="N25" s="1661"/>
    </row>
    <row r="26" spans="1:14" x14ac:dyDescent="0.2">
      <c r="A26" s="1654"/>
      <c r="B26" s="1654"/>
      <c r="C26" s="1655"/>
      <c r="D26" s="1656" t="s">
        <v>3946</v>
      </c>
      <c r="E26" s="1657"/>
      <c r="F26" s="1658"/>
      <c r="G26" s="1658"/>
      <c r="H26" s="1658"/>
      <c r="I26" s="1658"/>
      <c r="J26" s="1658"/>
      <c r="K26" s="1659"/>
      <c r="L26" s="1660"/>
      <c r="M26" s="1661"/>
      <c r="N26" s="1661"/>
    </row>
    <row r="27" spans="1:14" x14ac:dyDescent="0.2">
      <c r="A27" s="1654"/>
      <c r="B27" s="1654"/>
      <c r="C27" s="1655" t="s">
        <v>740</v>
      </c>
      <c r="D27" s="1654" t="s">
        <v>3957</v>
      </c>
      <c r="E27" s="1657" t="s">
        <v>2259</v>
      </c>
      <c r="F27" s="1658"/>
      <c r="G27" s="1658">
        <v>2.7</v>
      </c>
      <c r="H27" s="1658">
        <f xml:space="preserve"> 'Du toan'!$AG$39</f>
        <v>0</v>
      </c>
      <c r="I27" s="1658">
        <f xml:space="preserve"> IF(H27&gt;0,H27*G27*$F$19,G27*$F$19)</f>
        <v>1.1340000000000001</v>
      </c>
      <c r="J27" s="1658"/>
      <c r="K27" s="1659"/>
      <c r="L27" s="1662" t="str">
        <f xml:space="preserve"> $H$19</f>
        <v>B</v>
      </c>
      <c r="M27" s="1661" t="s">
        <v>740</v>
      </c>
      <c r="N27" s="1661" t="s">
        <v>3957</v>
      </c>
    </row>
    <row r="28" spans="1:14" x14ac:dyDescent="0.2">
      <c r="A28" s="1654"/>
      <c r="B28" s="1654"/>
      <c r="C28" s="1655"/>
      <c r="D28" s="1656" t="s">
        <v>3962</v>
      </c>
      <c r="E28" s="1657"/>
      <c r="F28" s="1658"/>
      <c r="G28" s="1658"/>
      <c r="H28" s="1658"/>
      <c r="I28" s="1658"/>
      <c r="J28" s="1658"/>
      <c r="K28" s="1659"/>
      <c r="L28" s="1660"/>
      <c r="M28" s="1661"/>
      <c r="N28" s="1661"/>
    </row>
    <row r="29" spans="1:14" x14ac:dyDescent="0.2">
      <c r="A29" s="1674"/>
      <c r="B29" s="1674"/>
      <c r="C29" s="1675" t="s">
        <v>3958</v>
      </c>
      <c r="D29" s="1674" t="s">
        <v>3959</v>
      </c>
      <c r="E29" s="1676" t="s">
        <v>3960</v>
      </c>
      <c r="F29" s="1677"/>
      <c r="G29" s="1677">
        <v>0.02</v>
      </c>
      <c r="H29" s="1677">
        <f xml:space="preserve"> 'Du toan'!$AH$39</f>
        <v>0</v>
      </c>
      <c r="I29" s="1677">
        <f xml:space="preserve"> IF(H29&gt;0,H29*G29*$F$19,G29*$F$19)</f>
        <v>8.4000000000000012E-3</v>
      </c>
      <c r="J29" s="1677"/>
      <c r="K29" s="1678"/>
      <c r="L29" s="1679" t="str">
        <f xml:space="preserve"> $H$19</f>
        <v>B</v>
      </c>
      <c r="M29" s="1680"/>
      <c r="N29" s="1680"/>
    </row>
    <row r="30" spans="1:14" ht="45" x14ac:dyDescent="0.2">
      <c r="A30" s="1644">
        <v>6</v>
      </c>
      <c r="B30" s="1645" t="s">
        <v>3895</v>
      </c>
      <c r="C30" s="1646"/>
      <c r="D30" s="1645" t="str">
        <f xml:space="preserve"> 'Du toan'!$E$43</f>
        <v>Xây các bộ phận kết cấu phức tạp khác bằng gạch thẻ 4x8x18, cao &lt;=4m, vữa xi măng Mác 75</v>
      </c>
      <c r="E30" s="1647" t="str">
        <f xml:space="preserve"> 'Du toan'!$F$43</f>
        <v>m3</v>
      </c>
      <c r="F30" s="1648">
        <f xml:space="preserve"> 'Du toan'!$AZ$43</f>
        <v>0.315</v>
      </c>
      <c r="G30" s="1648"/>
      <c r="H30" s="1648" t="s">
        <v>66</v>
      </c>
      <c r="I30" s="1648"/>
      <c r="J30" s="1648"/>
      <c r="K30" s="1649" t="s">
        <v>3930</v>
      </c>
      <c r="L30" s="1650" t="s">
        <v>3926</v>
      </c>
      <c r="M30" s="1651">
        <v>1</v>
      </c>
      <c r="N30" s="1651"/>
    </row>
    <row r="31" spans="1:14" x14ac:dyDescent="0.2">
      <c r="A31" s="1654"/>
      <c r="B31" s="1654"/>
      <c r="C31" s="1655"/>
      <c r="D31" s="1656" t="s">
        <v>3961</v>
      </c>
      <c r="E31" s="1657"/>
      <c r="F31" s="1658"/>
      <c r="G31" s="1658"/>
      <c r="H31" s="1658"/>
      <c r="I31" s="1658"/>
      <c r="J31" s="1658"/>
      <c r="K31" s="1659"/>
      <c r="L31" s="1660"/>
      <c r="M31" s="1661"/>
      <c r="N31" s="1661"/>
    </row>
    <row r="32" spans="1:14" x14ac:dyDescent="0.2">
      <c r="A32" s="1654"/>
      <c r="B32" s="1654"/>
      <c r="C32" s="1655" t="s">
        <v>3948</v>
      </c>
      <c r="D32" s="1654" t="s">
        <v>4044</v>
      </c>
      <c r="E32" s="1657" t="s">
        <v>3153</v>
      </c>
      <c r="F32" s="1658"/>
      <c r="G32" s="1658">
        <v>1087</v>
      </c>
      <c r="H32" s="1658">
        <f xml:space="preserve"> 'Du toan'!$AE$43</f>
        <v>0</v>
      </c>
      <c r="I32" s="1658">
        <f t="shared" ref="I32:I35" si="3" xml:space="preserve"> IF(H32&gt;0,H32*G32*$F$30,G32*$F$30)</f>
        <v>342.40500000000003</v>
      </c>
      <c r="J32" s="1658">
        <f t="shared" ref="J32:J35" si="4" xml:space="preserve"> $G$36%*I32</f>
        <v>17.120250000000002</v>
      </c>
      <c r="K32" s="1659"/>
      <c r="L32" s="1662" t="str">
        <f t="shared" ref="L32:L35" si="5" xml:space="preserve"> $H$30</f>
        <v>B</v>
      </c>
      <c r="M32" s="1661"/>
      <c r="N32" s="1661"/>
    </row>
    <row r="33" spans="1:14" x14ac:dyDescent="0.2">
      <c r="A33" s="1654"/>
      <c r="B33" s="1654"/>
      <c r="C33" s="1655" t="s">
        <v>3949</v>
      </c>
      <c r="D33" s="1654" t="s">
        <v>3950</v>
      </c>
      <c r="E33" s="1657" t="s">
        <v>3025</v>
      </c>
      <c r="F33" s="1658"/>
      <c r="G33" s="1658">
        <f xml:space="preserve"> 0.328*247.02</f>
        <v>81.022560000000013</v>
      </c>
      <c r="H33" s="1658">
        <f xml:space="preserve"> 'Du toan'!$AE$43</f>
        <v>0</v>
      </c>
      <c r="I33" s="1658">
        <f t="shared" si="3"/>
        <v>25.522106400000006</v>
      </c>
      <c r="J33" s="1658">
        <f t="shared" si="4"/>
        <v>1.2761053200000003</v>
      </c>
      <c r="K33" s="1659"/>
      <c r="L33" s="1662" t="str">
        <f t="shared" si="5"/>
        <v>B</v>
      </c>
      <c r="M33" s="1661"/>
      <c r="N33" s="1661"/>
    </row>
    <row r="34" spans="1:14" x14ac:dyDescent="0.2">
      <c r="A34" s="1654"/>
      <c r="B34" s="1654"/>
      <c r="C34" s="1655" t="s">
        <v>3951</v>
      </c>
      <c r="D34" s="1654" t="s">
        <v>3952</v>
      </c>
      <c r="E34" s="1657" t="s">
        <v>647</v>
      </c>
      <c r="F34" s="1658"/>
      <c r="G34" s="1658">
        <f xml:space="preserve"> 0.328*1.12</f>
        <v>0.36736000000000008</v>
      </c>
      <c r="H34" s="1658">
        <f xml:space="preserve"> 'Du toan'!$AE$43</f>
        <v>0</v>
      </c>
      <c r="I34" s="1658">
        <f t="shared" si="3"/>
        <v>0.11571840000000003</v>
      </c>
      <c r="J34" s="1658">
        <f t="shared" si="4"/>
        <v>5.7859200000000017E-3</v>
      </c>
      <c r="K34" s="1659"/>
      <c r="L34" s="1662" t="str">
        <f t="shared" si="5"/>
        <v>B</v>
      </c>
      <c r="M34" s="1661"/>
      <c r="N34" s="1661"/>
    </row>
    <row r="35" spans="1:14" x14ac:dyDescent="0.2">
      <c r="A35" s="1654"/>
      <c r="B35" s="1654"/>
      <c r="C35" s="1655" t="s">
        <v>3953</v>
      </c>
      <c r="D35" s="1654" t="s">
        <v>3954</v>
      </c>
      <c r="E35" s="1657" t="s">
        <v>3023</v>
      </c>
      <c r="F35" s="1658"/>
      <c r="G35" s="1658">
        <f xml:space="preserve"> 0.328*260</f>
        <v>85.28</v>
      </c>
      <c r="H35" s="1658">
        <f xml:space="preserve"> 'Du toan'!$AE$43</f>
        <v>0</v>
      </c>
      <c r="I35" s="1658">
        <f t="shared" si="3"/>
        <v>26.863199999999999</v>
      </c>
      <c r="J35" s="1658">
        <f t="shared" si="4"/>
        <v>1.3431600000000001</v>
      </c>
      <c r="K35" s="1659"/>
      <c r="L35" s="1662" t="str">
        <f t="shared" si="5"/>
        <v>B</v>
      </c>
      <c r="M35" s="1661"/>
      <c r="N35" s="1661"/>
    </row>
    <row r="36" spans="1:14" x14ac:dyDescent="0.2">
      <c r="A36" s="1654"/>
      <c r="B36" s="1654"/>
      <c r="C36" s="1655" t="s">
        <v>3955</v>
      </c>
      <c r="D36" s="1654" t="s">
        <v>3956</v>
      </c>
      <c r="E36" s="1657" t="s">
        <v>74</v>
      </c>
      <c r="F36" s="1658"/>
      <c r="G36" s="1658">
        <v>5</v>
      </c>
      <c r="H36" s="1658"/>
      <c r="I36" s="1658"/>
      <c r="J36" s="1658"/>
      <c r="K36" s="1659"/>
      <c r="L36" s="1660"/>
      <c r="M36" s="1661"/>
      <c r="N36" s="1661"/>
    </row>
    <row r="37" spans="1:14" x14ac:dyDescent="0.2">
      <c r="A37" s="1654"/>
      <c r="B37" s="1654"/>
      <c r="C37" s="1655"/>
      <c r="D37" s="1656" t="s">
        <v>3946</v>
      </c>
      <c r="E37" s="1657"/>
      <c r="F37" s="1658"/>
      <c r="G37" s="1658"/>
      <c r="H37" s="1658"/>
      <c r="I37" s="1658"/>
      <c r="J37" s="1658"/>
      <c r="K37" s="1659"/>
      <c r="L37" s="1660"/>
      <c r="M37" s="1661"/>
      <c r="N37" s="1661"/>
    </row>
    <row r="38" spans="1:14" x14ac:dyDescent="0.2">
      <c r="A38" s="1654"/>
      <c r="B38" s="1654"/>
      <c r="C38" s="1655" t="s">
        <v>740</v>
      </c>
      <c r="D38" s="1654" t="s">
        <v>3957</v>
      </c>
      <c r="E38" s="1657" t="s">
        <v>2259</v>
      </c>
      <c r="F38" s="1658"/>
      <c r="G38" s="1658">
        <v>4.68</v>
      </c>
      <c r="H38" s="1658">
        <f xml:space="preserve"> 'Du toan'!$AG$43</f>
        <v>0</v>
      </c>
      <c r="I38" s="1658">
        <f xml:space="preserve"> IF(H38&gt;0,H38*G38*$F$30,G38*$F$30)</f>
        <v>1.4742</v>
      </c>
      <c r="J38" s="1658"/>
      <c r="K38" s="1659"/>
      <c r="L38" s="1662" t="str">
        <f xml:space="preserve"> $H$30</f>
        <v>B</v>
      </c>
      <c r="M38" s="1661" t="s">
        <v>740</v>
      </c>
      <c r="N38" s="1661" t="s">
        <v>3957</v>
      </c>
    </row>
    <row r="39" spans="1:14" x14ac:dyDescent="0.2">
      <c r="A39" s="1654"/>
      <c r="B39" s="1654"/>
      <c r="C39" s="1655"/>
      <c r="D39" s="1656" t="s">
        <v>3962</v>
      </c>
      <c r="E39" s="1657"/>
      <c r="F39" s="1658"/>
      <c r="G39" s="1658"/>
      <c r="H39" s="1658"/>
      <c r="I39" s="1658"/>
      <c r="J39" s="1658"/>
      <c r="K39" s="1659"/>
      <c r="L39" s="1660"/>
      <c r="M39" s="1661"/>
      <c r="N39" s="1661"/>
    </row>
    <row r="40" spans="1:14" x14ac:dyDescent="0.2">
      <c r="A40" s="1674"/>
      <c r="B40" s="1674"/>
      <c r="C40" s="1675" t="s">
        <v>3958</v>
      </c>
      <c r="D40" s="1674" t="s">
        <v>3959</v>
      </c>
      <c r="E40" s="1676" t="s">
        <v>3960</v>
      </c>
      <c r="F40" s="1677"/>
      <c r="G40" s="1677">
        <v>0.03</v>
      </c>
      <c r="H40" s="1677">
        <f xml:space="preserve"> 'Du toan'!$AH$43</f>
        <v>0</v>
      </c>
      <c r="I40" s="1677">
        <f xml:space="preserve"> IF(H40&gt;0,H40*G40*$F$30,G40*$F$30)</f>
        <v>9.4500000000000001E-3</v>
      </c>
      <c r="J40" s="1677"/>
      <c r="K40" s="1678"/>
      <c r="L40" s="1679" t="str">
        <f xml:space="preserve"> $H$30</f>
        <v>B</v>
      </c>
      <c r="M40" s="1680"/>
      <c r="N40" s="1680"/>
    </row>
    <row r="41" spans="1:14" ht="30" x14ac:dyDescent="0.2">
      <c r="A41" s="1644">
        <v>7</v>
      </c>
      <c r="B41" s="1645" t="s">
        <v>3898</v>
      </c>
      <c r="C41" s="1646"/>
      <c r="D41" s="1645" t="str">
        <f xml:space="preserve"> 'Du toan'!$E$47</f>
        <v>Đắp cát công trình bằng máy đầm cóc Độ chặt yêu cầu K=0,90</v>
      </c>
      <c r="E41" s="1647" t="str">
        <f xml:space="preserve"> 'Du toan'!$F$47</f>
        <v>100m3</v>
      </c>
      <c r="F41" s="1648">
        <f xml:space="preserve"> 'Du toan'!$AZ$47</f>
        <v>0.59399999999999997</v>
      </c>
      <c r="G41" s="1648"/>
      <c r="H41" s="1648" t="s">
        <v>66</v>
      </c>
      <c r="I41" s="1648"/>
      <c r="J41" s="1648"/>
      <c r="K41" s="1649" t="s">
        <v>3898</v>
      </c>
      <c r="L41" s="1650" t="s">
        <v>254</v>
      </c>
      <c r="M41" s="1651">
        <v>1</v>
      </c>
      <c r="N41" s="1651"/>
    </row>
    <row r="42" spans="1:14" x14ac:dyDescent="0.2">
      <c r="A42" s="1654"/>
      <c r="B42" s="1654"/>
      <c r="C42" s="1655"/>
      <c r="D42" s="1656" t="s">
        <v>3961</v>
      </c>
      <c r="E42" s="1657"/>
      <c r="F42" s="1658"/>
      <c r="G42" s="1658"/>
      <c r="H42" s="1658"/>
      <c r="I42" s="1658"/>
      <c r="J42" s="1658"/>
      <c r="K42" s="1659"/>
      <c r="L42" s="1660"/>
      <c r="M42" s="1661"/>
      <c r="N42" s="1661"/>
    </row>
    <row r="43" spans="1:14" x14ac:dyDescent="0.2">
      <c r="A43" s="1654"/>
      <c r="B43" s="1654"/>
      <c r="C43" s="1655" t="s">
        <v>3963</v>
      </c>
      <c r="D43" s="1654" t="s">
        <v>3964</v>
      </c>
      <c r="E43" s="1657" t="s">
        <v>647</v>
      </c>
      <c r="F43" s="1658"/>
      <c r="G43" s="1658">
        <v>122</v>
      </c>
      <c r="H43" s="1658">
        <f xml:space="preserve"> 'Du toan'!$AE$47</f>
        <v>0</v>
      </c>
      <c r="I43" s="1658">
        <f xml:space="preserve"> IF(H43&gt;0,H43*G43*$F$41,G43*$F$41)</f>
        <v>72.468000000000004</v>
      </c>
      <c r="J43" s="1658"/>
      <c r="K43" s="1659"/>
      <c r="L43" s="1662" t="str">
        <f xml:space="preserve"> $H$41</f>
        <v>B</v>
      </c>
      <c r="M43" s="1661"/>
      <c r="N43" s="1661"/>
    </row>
    <row r="44" spans="1:14" x14ac:dyDescent="0.2">
      <c r="A44" s="1654"/>
      <c r="B44" s="1654"/>
      <c r="C44" s="1655"/>
      <c r="D44" s="1656" t="s">
        <v>3946</v>
      </c>
      <c r="E44" s="1657"/>
      <c r="F44" s="1658"/>
      <c r="G44" s="1658"/>
      <c r="H44" s="1658"/>
      <c r="I44" s="1658"/>
      <c r="J44" s="1658"/>
      <c r="K44" s="1659"/>
      <c r="L44" s="1660"/>
      <c r="M44" s="1661"/>
      <c r="N44" s="1661"/>
    </row>
    <row r="45" spans="1:14" x14ac:dyDescent="0.2">
      <c r="A45" s="1654"/>
      <c r="B45" s="1654"/>
      <c r="C45" s="1655" t="s">
        <v>734</v>
      </c>
      <c r="D45" s="1654" t="s">
        <v>3965</v>
      </c>
      <c r="E45" s="1657" t="s">
        <v>2259</v>
      </c>
      <c r="F45" s="1658"/>
      <c r="G45" s="1658">
        <v>4.6399999999999997</v>
      </c>
      <c r="H45" s="1658">
        <f xml:space="preserve"> 'Du toan'!$AG$47</f>
        <v>0</v>
      </c>
      <c r="I45" s="1658">
        <f xml:space="preserve"> IF(H45&gt;0,H45*G45*$F$41,G45*$F$41)</f>
        <v>2.7561599999999995</v>
      </c>
      <c r="J45" s="1658"/>
      <c r="K45" s="1659"/>
      <c r="L45" s="1662" t="str">
        <f xml:space="preserve"> $H$41</f>
        <v>B</v>
      </c>
      <c r="M45" s="1661" t="s">
        <v>734</v>
      </c>
      <c r="N45" s="1661" t="s">
        <v>3965</v>
      </c>
    </row>
    <row r="46" spans="1:14" x14ac:dyDescent="0.2">
      <c r="A46" s="1654"/>
      <c r="B46" s="1654"/>
      <c r="C46" s="1655"/>
      <c r="D46" s="1656" t="s">
        <v>3962</v>
      </c>
      <c r="E46" s="1657"/>
      <c r="F46" s="1658"/>
      <c r="G46" s="1658"/>
      <c r="H46" s="1658"/>
      <c r="I46" s="1658"/>
      <c r="J46" s="1658"/>
      <c r="K46" s="1659"/>
      <c r="L46" s="1660"/>
      <c r="M46" s="1661"/>
      <c r="N46" s="1661"/>
    </row>
    <row r="47" spans="1:14" x14ac:dyDescent="0.2">
      <c r="A47" s="1654"/>
      <c r="B47" s="1654"/>
      <c r="C47" s="1655" t="s">
        <v>3966</v>
      </c>
      <c r="D47" s="1654" t="s">
        <v>3967</v>
      </c>
      <c r="E47" s="1657" t="s">
        <v>3960</v>
      </c>
      <c r="F47" s="1658"/>
      <c r="G47" s="1658">
        <v>2.3199999999999998</v>
      </c>
      <c r="H47" s="1658">
        <f xml:space="preserve"> 'Du toan'!$AH$47</f>
        <v>0</v>
      </c>
      <c r="I47" s="1658">
        <f xml:space="preserve"> IF(H47&gt;0,H47*G47*$F$41,G47*$F$41)</f>
        <v>1.3780799999999997</v>
      </c>
      <c r="J47" s="1658">
        <f xml:space="preserve"> $G$48%*I47</f>
        <v>2.0671199999999994E-2</v>
      </c>
      <c r="K47" s="1659"/>
      <c r="L47" s="1662" t="str">
        <f xml:space="preserve"> $H$41</f>
        <v>B</v>
      </c>
      <c r="M47" s="1661"/>
      <c r="N47" s="1661"/>
    </row>
    <row r="48" spans="1:14" x14ac:dyDescent="0.2">
      <c r="A48" s="1674"/>
      <c r="B48" s="1674"/>
      <c r="C48" s="1675" t="s">
        <v>3968</v>
      </c>
      <c r="D48" s="1674" t="s">
        <v>3969</v>
      </c>
      <c r="E48" s="1676" t="s">
        <v>74</v>
      </c>
      <c r="F48" s="1677"/>
      <c r="G48" s="1677">
        <v>1.5</v>
      </c>
      <c r="H48" s="1677"/>
      <c r="I48" s="1677"/>
      <c r="J48" s="1677"/>
      <c r="K48" s="1678"/>
      <c r="L48" s="1679" t="str">
        <f xml:space="preserve"> $H$41</f>
        <v>B</v>
      </c>
      <c r="M48" s="1680"/>
      <c r="N48" s="1680"/>
    </row>
    <row r="49" spans="1:14" ht="30" x14ac:dyDescent="0.2">
      <c r="A49" s="1644">
        <v>8</v>
      </c>
      <c r="B49" s="1645" t="s">
        <v>3900</v>
      </c>
      <c r="C49" s="1646"/>
      <c r="D49" s="1645" t="s">
        <v>3901</v>
      </c>
      <c r="E49" s="1687" t="s">
        <v>644</v>
      </c>
      <c r="F49" s="1648">
        <f xml:space="preserve"> 'Du toan'!$AZ$52</f>
        <v>1</v>
      </c>
      <c r="G49" s="1648"/>
      <c r="H49" s="1648" t="s">
        <v>66</v>
      </c>
      <c r="I49" s="1648"/>
      <c r="J49" s="1648"/>
      <c r="K49" s="1649" t="s">
        <v>3900</v>
      </c>
      <c r="L49" s="1650" t="s">
        <v>254</v>
      </c>
      <c r="M49" s="1651">
        <v>1</v>
      </c>
      <c r="N49" s="1651" t="s">
        <v>95</v>
      </c>
    </row>
    <row r="50" spans="1:14" x14ac:dyDescent="0.2">
      <c r="A50" s="1654"/>
      <c r="B50" s="1654"/>
      <c r="C50" s="1655"/>
      <c r="D50" s="1656" t="s">
        <v>3961</v>
      </c>
      <c r="E50" s="1657"/>
      <c r="F50" s="1658"/>
      <c r="G50" s="1658"/>
      <c r="H50" s="1658"/>
      <c r="I50" s="1658"/>
      <c r="J50" s="1658"/>
      <c r="K50" s="1659"/>
      <c r="L50" s="1660"/>
      <c r="M50" s="1661"/>
      <c r="N50" s="1661"/>
    </row>
    <row r="51" spans="1:14" x14ac:dyDescent="0.2">
      <c r="A51" s="1654"/>
      <c r="B51" s="1654"/>
      <c r="C51" s="1655" t="s">
        <v>3970</v>
      </c>
      <c r="D51" s="1654" t="s">
        <v>3971</v>
      </c>
      <c r="E51" s="1657" t="s">
        <v>3025</v>
      </c>
      <c r="F51" s="1658"/>
      <c r="G51" s="1658">
        <v>1005</v>
      </c>
      <c r="H51" s="1658">
        <f xml:space="preserve"> 'Du toan'!$AE$52</f>
        <v>0</v>
      </c>
      <c r="I51" s="1658">
        <f t="shared" ref="I51:I52" si="6" xml:space="preserve"> IF(H51&gt;0,H51*G51*$F$49,G51*$F$49)</f>
        <v>1005</v>
      </c>
      <c r="J51" s="1658"/>
      <c r="K51" s="1659"/>
      <c r="L51" s="1662" t="str">
        <f t="shared" ref="L51:L52" si="7" xml:space="preserve"> $H$49</f>
        <v>B</v>
      </c>
      <c r="M51" s="1661"/>
      <c r="N51" s="1661"/>
    </row>
    <row r="52" spans="1:14" x14ac:dyDescent="0.2">
      <c r="A52" s="1654"/>
      <c r="B52" s="1654"/>
      <c r="C52" s="1655" t="s">
        <v>3972</v>
      </c>
      <c r="D52" s="1654" t="s">
        <v>3973</v>
      </c>
      <c r="E52" s="1657" t="s">
        <v>3025</v>
      </c>
      <c r="F52" s="1658"/>
      <c r="G52" s="1658">
        <v>21.42</v>
      </c>
      <c r="H52" s="1658">
        <f xml:space="preserve"> 'Du toan'!$AE$52</f>
        <v>0</v>
      </c>
      <c r="I52" s="1658">
        <f t="shared" si="6"/>
        <v>21.42</v>
      </c>
      <c r="J52" s="1658"/>
      <c r="K52" s="1659"/>
      <c r="L52" s="1662" t="str">
        <f t="shared" si="7"/>
        <v>B</v>
      </c>
      <c r="M52" s="1661"/>
      <c r="N52" s="1661"/>
    </row>
    <row r="53" spans="1:14" x14ac:dyDescent="0.2">
      <c r="A53" s="1654"/>
      <c r="B53" s="1654"/>
      <c r="C53" s="1655"/>
      <c r="D53" s="1656" t="s">
        <v>3946</v>
      </c>
      <c r="E53" s="1657"/>
      <c r="F53" s="1658"/>
      <c r="G53" s="1658"/>
      <c r="H53" s="1658"/>
      <c r="I53" s="1658"/>
      <c r="J53" s="1658"/>
      <c r="K53" s="1659"/>
      <c r="L53" s="1660"/>
      <c r="M53" s="1661"/>
      <c r="N53" s="1661"/>
    </row>
    <row r="54" spans="1:14" x14ac:dyDescent="0.2">
      <c r="A54" s="1654"/>
      <c r="B54" s="1654"/>
      <c r="C54" s="1655" t="s">
        <v>740</v>
      </c>
      <c r="D54" s="1654" t="s">
        <v>3957</v>
      </c>
      <c r="E54" s="1657" t="s">
        <v>2259</v>
      </c>
      <c r="F54" s="1658"/>
      <c r="G54" s="1658">
        <v>14.63</v>
      </c>
      <c r="H54" s="1658">
        <f xml:space="preserve"> 'Du toan'!$AG$52</f>
        <v>0</v>
      </c>
      <c r="I54" s="1658">
        <f xml:space="preserve"> IF(H54&gt;0,H54*G54*$F$49,G54*$F$49)</f>
        <v>14.63</v>
      </c>
      <c r="J54" s="1658"/>
      <c r="K54" s="1659"/>
      <c r="L54" s="1662" t="str">
        <f xml:space="preserve"> $H$49</f>
        <v>B</v>
      </c>
      <c r="M54" s="1661" t="s">
        <v>740</v>
      </c>
      <c r="N54" s="1661" t="s">
        <v>3957</v>
      </c>
    </row>
    <row r="55" spans="1:14" x14ac:dyDescent="0.2">
      <c r="A55" s="1654"/>
      <c r="B55" s="1654"/>
      <c r="C55" s="1655"/>
      <c r="D55" s="1656" t="s">
        <v>3962</v>
      </c>
      <c r="E55" s="1657"/>
      <c r="F55" s="1658"/>
      <c r="G55" s="1658"/>
      <c r="H55" s="1658"/>
      <c r="I55" s="1658"/>
      <c r="J55" s="1658"/>
      <c r="K55" s="1659"/>
      <c r="L55" s="1660"/>
      <c r="M55" s="1661"/>
      <c r="N55" s="1661"/>
    </row>
    <row r="56" spans="1:14" x14ac:dyDescent="0.2">
      <c r="A56" s="1654"/>
      <c r="B56" s="1654"/>
      <c r="C56" s="1655" t="s">
        <v>3974</v>
      </c>
      <c r="D56" s="1654" t="s">
        <v>3975</v>
      </c>
      <c r="E56" s="1657" t="s">
        <v>3960</v>
      </c>
      <c r="F56" s="1658"/>
      <c r="G56" s="1658">
        <v>0.4</v>
      </c>
      <c r="H56" s="1658">
        <f xml:space="preserve"> 'Du toan'!$AH$52</f>
        <v>0</v>
      </c>
      <c r="I56" s="1658">
        <f xml:space="preserve"> IF(H56&gt;0,H56*G56*$F$49,G56*$F$49)</f>
        <v>0.4</v>
      </c>
      <c r="J56" s="1658">
        <f xml:space="preserve"> $G$57%*I56</f>
        <v>8.0000000000000002E-3</v>
      </c>
      <c r="K56" s="1659"/>
      <c r="L56" s="1662" t="str">
        <f xml:space="preserve"> $H$49</f>
        <v>B</v>
      </c>
      <c r="M56" s="1661"/>
      <c r="N56" s="1661"/>
    </row>
    <row r="57" spans="1:14" x14ac:dyDescent="0.2">
      <c r="A57" s="1674"/>
      <c r="B57" s="1674"/>
      <c r="C57" s="1675" t="s">
        <v>3968</v>
      </c>
      <c r="D57" s="1674" t="s">
        <v>3969</v>
      </c>
      <c r="E57" s="1676" t="s">
        <v>74</v>
      </c>
      <c r="F57" s="1677"/>
      <c r="G57" s="1677">
        <v>2</v>
      </c>
      <c r="H57" s="1677"/>
      <c r="I57" s="1677"/>
      <c r="J57" s="1677"/>
      <c r="K57" s="1678"/>
      <c r="L57" s="1679" t="str">
        <f xml:space="preserve"> $H$49</f>
        <v>B</v>
      </c>
      <c r="M57" s="1680"/>
      <c r="N57" s="1680"/>
    </row>
    <row r="58" spans="1:14" x14ac:dyDescent="0.2">
      <c r="A58" s="1644">
        <v>9</v>
      </c>
      <c r="B58" s="1645" t="s">
        <v>3902</v>
      </c>
      <c r="C58" s="1646"/>
      <c r="D58" s="1645" t="str">
        <f xml:space="preserve"> 'Du toan'!$E$54</f>
        <v>Bê tông nền, đá 1x2 Mác 250</v>
      </c>
      <c r="E58" s="1647" t="str">
        <f xml:space="preserve"> 'Du toan'!$F$54</f>
        <v>m3</v>
      </c>
      <c r="F58" s="1648">
        <f xml:space="preserve"> 'Du toan'!$AZ$54</f>
        <v>59.4</v>
      </c>
      <c r="G58" s="1648"/>
      <c r="H58" s="1648" t="s">
        <v>66</v>
      </c>
      <c r="I58" s="1648"/>
      <c r="J58" s="1648"/>
      <c r="K58" s="1649" t="s">
        <v>3936</v>
      </c>
      <c r="L58" s="1650" t="s">
        <v>3935</v>
      </c>
      <c r="M58" s="1651">
        <v>1</v>
      </c>
      <c r="N58" s="1651"/>
    </row>
    <row r="59" spans="1:14" x14ac:dyDescent="0.2">
      <c r="A59" s="1654"/>
      <c r="B59" s="1654"/>
      <c r="C59" s="1655"/>
      <c r="D59" s="1656" t="s">
        <v>3961</v>
      </c>
      <c r="E59" s="1657"/>
      <c r="F59" s="1658"/>
      <c r="G59" s="1658"/>
      <c r="H59" s="1658"/>
      <c r="I59" s="1658"/>
      <c r="J59" s="1658"/>
      <c r="K59" s="1659"/>
      <c r="L59" s="1660"/>
      <c r="M59" s="1661"/>
      <c r="N59" s="1661"/>
    </row>
    <row r="60" spans="1:14" x14ac:dyDescent="0.2">
      <c r="A60" s="1654"/>
      <c r="B60" s="1654"/>
      <c r="C60" s="1655" t="s">
        <v>3949</v>
      </c>
      <c r="D60" s="1654" t="s">
        <v>3950</v>
      </c>
      <c r="E60" s="1657" t="s">
        <v>3025</v>
      </c>
      <c r="F60" s="1658"/>
      <c r="G60" s="1658">
        <f xml:space="preserve"> 1.03*327</f>
        <v>336.81</v>
      </c>
      <c r="H60" s="1658">
        <f xml:space="preserve"> 'Du toan'!$AE$54</f>
        <v>0</v>
      </c>
      <c r="I60" s="1658">
        <f t="shared" ref="I60:I63" si="8" xml:space="preserve"> IF(H60&gt;0,H60*G60*$F$58,G60*$F$58)</f>
        <v>20006.513999999999</v>
      </c>
      <c r="J60" s="1658">
        <f t="shared" ref="J60:J63" si="9" xml:space="preserve"> $G$64%*I60</f>
        <v>200.06513999999999</v>
      </c>
      <c r="K60" s="1659"/>
      <c r="L60" s="1662" t="str">
        <f t="shared" ref="L60:L63" si="10" xml:space="preserve"> $H$58</f>
        <v>B</v>
      </c>
      <c r="M60" s="1661"/>
      <c r="N60" s="1661"/>
    </row>
    <row r="61" spans="1:14" x14ac:dyDescent="0.2">
      <c r="A61" s="1654"/>
      <c r="B61" s="1654"/>
      <c r="C61" s="1655" t="s">
        <v>3976</v>
      </c>
      <c r="D61" s="1654" t="s">
        <v>3977</v>
      </c>
      <c r="E61" s="1657" t="s">
        <v>647</v>
      </c>
      <c r="F61" s="1658"/>
      <c r="G61" s="1658">
        <f xml:space="preserve"> 1.03*0.475</f>
        <v>0.48924999999999996</v>
      </c>
      <c r="H61" s="1658">
        <f xml:space="preserve"> 'Du toan'!$AE$54</f>
        <v>0</v>
      </c>
      <c r="I61" s="1658">
        <f t="shared" si="8"/>
        <v>29.061449999999997</v>
      </c>
      <c r="J61" s="1658">
        <f t="shared" si="9"/>
        <v>0.2906145</v>
      </c>
      <c r="K61" s="1659"/>
      <c r="L61" s="1662" t="str">
        <f t="shared" si="10"/>
        <v>B</v>
      </c>
      <c r="M61" s="1661"/>
      <c r="N61" s="1661"/>
    </row>
    <row r="62" spans="1:14" x14ac:dyDescent="0.2">
      <c r="A62" s="1654"/>
      <c r="B62" s="1654"/>
      <c r="C62" s="1655" t="s">
        <v>3978</v>
      </c>
      <c r="D62" s="1654" t="s">
        <v>3979</v>
      </c>
      <c r="E62" s="1657" t="s">
        <v>647</v>
      </c>
      <c r="F62" s="1658"/>
      <c r="G62" s="1658">
        <f xml:space="preserve"> 1.03*0.881</f>
        <v>0.90743000000000007</v>
      </c>
      <c r="H62" s="1658">
        <f xml:space="preserve"> 'Du toan'!$AE$54</f>
        <v>0</v>
      </c>
      <c r="I62" s="1658">
        <f t="shared" si="8"/>
        <v>53.901342</v>
      </c>
      <c r="J62" s="1658">
        <f t="shared" si="9"/>
        <v>0.53901341999999997</v>
      </c>
      <c r="K62" s="1659"/>
      <c r="L62" s="1662" t="str">
        <f t="shared" si="10"/>
        <v>B</v>
      </c>
      <c r="M62" s="1661"/>
      <c r="N62" s="1661"/>
    </row>
    <row r="63" spans="1:14" x14ac:dyDescent="0.2">
      <c r="A63" s="1654"/>
      <c r="B63" s="1654"/>
      <c r="C63" s="1655" t="s">
        <v>3953</v>
      </c>
      <c r="D63" s="1654" t="s">
        <v>3954</v>
      </c>
      <c r="E63" s="1657" t="s">
        <v>3023</v>
      </c>
      <c r="F63" s="1658"/>
      <c r="G63" s="1658">
        <f xml:space="preserve"> 1.03*185</f>
        <v>190.55</v>
      </c>
      <c r="H63" s="1658">
        <f xml:space="preserve"> 'Du toan'!$AE$54</f>
        <v>0</v>
      </c>
      <c r="I63" s="1658">
        <f t="shared" si="8"/>
        <v>11318.67</v>
      </c>
      <c r="J63" s="1658">
        <f t="shared" si="9"/>
        <v>113.1867</v>
      </c>
      <c r="K63" s="1659"/>
      <c r="L63" s="1662" t="str">
        <f t="shared" si="10"/>
        <v>B</v>
      </c>
      <c r="M63" s="1661"/>
      <c r="N63" s="1661"/>
    </row>
    <row r="64" spans="1:14" x14ac:dyDescent="0.2">
      <c r="A64" s="1654"/>
      <c r="B64" s="1654"/>
      <c r="C64" s="1655" t="s">
        <v>3955</v>
      </c>
      <c r="D64" s="1654" t="s">
        <v>3956</v>
      </c>
      <c r="E64" s="1657" t="s">
        <v>74</v>
      </c>
      <c r="F64" s="1658"/>
      <c r="G64" s="1658">
        <v>1</v>
      </c>
      <c r="H64" s="1658"/>
      <c r="I64" s="1658"/>
      <c r="J64" s="1658"/>
      <c r="K64" s="1659"/>
      <c r="L64" s="1660"/>
      <c r="M64" s="1661"/>
      <c r="N64" s="1661"/>
    </row>
    <row r="65" spans="1:14" x14ac:dyDescent="0.2">
      <c r="A65" s="1654"/>
      <c r="B65" s="1654"/>
      <c r="C65" s="1655"/>
      <c r="D65" s="1656" t="s">
        <v>3946</v>
      </c>
      <c r="E65" s="1657"/>
      <c r="F65" s="1658"/>
      <c r="G65" s="1658"/>
      <c r="H65" s="1658"/>
      <c r="I65" s="1658"/>
      <c r="J65" s="1658"/>
      <c r="K65" s="1659"/>
      <c r="L65" s="1660"/>
      <c r="M65" s="1661"/>
      <c r="N65" s="1661"/>
    </row>
    <row r="66" spans="1:14" x14ac:dyDescent="0.2">
      <c r="A66" s="1654"/>
      <c r="B66" s="1654"/>
      <c r="C66" s="1655" t="s">
        <v>734</v>
      </c>
      <c r="D66" s="1654" t="s">
        <v>3965</v>
      </c>
      <c r="E66" s="1657" t="s">
        <v>2259</v>
      </c>
      <c r="F66" s="1658"/>
      <c r="G66" s="1658">
        <v>1.58</v>
      </c>
      <c r="H66" s="1658">
        <f xml:space="preserve"> 'Du toan'!$AG$54</f>
        <v>0</v>
      </c>
      <c r="I66" s="1658">
        <f xml:space="preserve"> IF(H66&gt;0,H66*G66*$F$58,G66*$F$58)</f>
        <v>93.852000000000004</v>
      </c>
      <c r="J66" s="1658"/>
      <c r="K66" s="1659"/>
      <c r="L66" s="1662" t="str">
        <f xml:space="preserve"> $H$58</f>
        <v>B</v>
      </c>
      <c r="M66" s="1661" t="s">
        <v>734</v>
      </c>
      <c r="N66" s="1661" t="s">
        <v>3965</v>
      </c>
    </row>
    <row r="67" spans="1:14" x14ac:dyDescent="0.2">
      <c r="A67" s="1654"/>
      <c r="B67" s="1654"/>
      <c r="C67" s="1655"/>
      <c r="D67" s="1656" t="s">
        <v>3962</v>
      </c>
      <c r="E67" s="1657"/>
      <c r="F67" s="1658"/>
      <c r="G67" s="1658"/>
      <c r="H67" s="1658"/>
      <c r="I67" s="1658"/>
      <c r="J67" s="1658"/>
      <c r="K67" s="1659"/>
      <c r="L67" s="1660"/>
      <c r="M67" s="1661"/>
      <c r="N67" s="1661"/>
    </row>
    <row r="68" spans="1:14" x14ac:dyDescent="0.2">
      <c r="A68" s="1654"/>
      <c r="B68" s="1654"/>
      <c r="C68" s="1655" t="s">
        <v>3980</v>
      </c>
      <c r="D68" s="1654" t="s">
        <v>3981</v>
      </c>
      <c r="E68" s="1657" t="s">
        <v>3960</v>
      </c>
      <c r="F68" s="1658"/>
      <c r="G68" s="1658">
        <v>9.5000000000000001E-2</v>
      </c>
      <c r="H68" s="1658">
        <f xml:space="preserve"> 'Du toan'!$AH$54</f>
        <v>0</v>
      </c>
      <c r="I68" s="1658">
        <f t="shared" ref="I68:I69" si="11" xml:space="preserve"> IF(H68&gt;0,H68*G68*$F$58,G68*$F$58)</f>
        <v>5.6429999999999998</v>
      </c>
      <c r="J68" s="1658"/>
      <c r="K68" s="1659"/>
      <c r="L68" s="1662" t="str">
        <f t="shared" ref="L68:L69" si="12" xml:space="preserve"> $H$58</f>
        <v>B</v>
      </c>
      <c r="M68" s="1661"/>
      <c r="N68" s="1661"/>
    </row>
    <row r="69" spans="1:14" ht="30" x14ac:dyDescent="0.2">
      <c r="A69" s="1663"/>
      <c r="B69" s="1663"/>
      <c r="C69" s="1664" t="s">
        <v>3982</v>
      </c>
      <c r="D69" s="1663" t="s">
        <v>3983</v>
      </c>
      <c r="E69" s="1665" t="s">
        <v>3960</v>
      </c>
      <c r="F69" s="1666"/>
      <c r="G69" s="1666">
        <v>8.8999999999999996E-2</v>
      </c>
      <c r="H69" s="1666">
        <f xml:space="preserve"> 'Du toan'!$AH$54</f>
        <v>0</v>
      </c>
      <c r="I69" s="1666">
        <f t="shared" si="11"/>
        <v>5.2866</v>
      </c>
      <c r="J69" s="1666"/>
      <c r="K69" s="1667"/>
      <c r="L69" s="1668" t="str">
        <f t="shared" si="12"/>
        <v>B</v>
      </c>
      <c r="M69" s="1669"/>
      <c r="N69" s="1669"/>
    </row>
    <row r="70" spans="1:14" x14ac:dyDescent="0.2">
      <c r="A70" s="1681">
        <v>10</v>
      </c>
      <c r="B70" s="1682" t="s">
        <v>93</v>
      </c>
      <c r="C70" s="1683"/>
      <c r="D70" s="1682" t="str">
        <f xml:space="preserve"> 'Du toan'!$E$59</f>
        <v>Bạt lót đổ bê tông nền</v>
      </c>
      <c r="E70" s="1684" t="str">
        <f xml:space="preserve"> 'Du toan'!$F$59</f>
        <v>M2</v>
      </c>
      <c r="F70" s="1685">
        <f xml:space="preserve"> 'Du toan'!$AZ$59</f>
        <v>594</v>
      </c>
      <c r="G70" s="1685"/>
      <c r="H70" s="1685" t="s">
        <v>66</v>
      </c>
      <c r="I70" s="1685"/>
      <c r="J70" s="1685"/>
      <c r="K70" s="1686"/>
      <c r="L70" s="1686"/>
      <c r="M70" s="1670">
        <v>1</v>
      </c>
    </row>
    <row r="71" spans="1:14" s="1688" customFormat="1" ht="30" x14ac:dyDescent="0.2">
      <c r="A71" s="1708">
        <v>11</v>
      </c>
      <c r="B71" s="1709" t="s">
        <v>4049</v>
      </c>
      <c r="C71" s="1710"/>
      <c r="D71" s="1711" t="str">
        <f xml:space="preserve"> 'Du toan'!$E$64</f>
        <v>Lát nền, sàn, vữa xi măng mác 75, kích thước gạch 400x400mm</v>
      </c>
      <c r="E71" s="1712" t="str">
        <f xml:space="preserve"> 'Du toan'!$F$64</f>
        <v>m2</v>
      </c>
      <c r="F71" s="1738">
        <f xml:space="preserve"> 'Du toan'!$AZ$64</f>
        <v>594</v>
      </c>
      <c r="G71" s="1738"/>
      <c r="H71" s="1738" t="s">
        <v>66</v>
      </c>
      <c r="I71" s="1738"/>
      <c r="J71" s="1738"/>
      <c r="K71" s="1713" t="s">
        <v>4050</v>
      </c>
      <c r="L71" s="1713" t="s">
        <v>3926</v>
      </c>
      <c r="M71" s="1714">
        <v>1</v>
      </c>
      <c r="N71" s="1715"/>
    </row>
    <row r="72" spans="1:14" s="1688" customFormat="1" x14ac:dyDescent="0.2">
      <c r="A72" s="1716"/>
      <c r="B72" s="1717"/>
      <c r="C72" s="1718"/>
      <c r="D72" s="1719" t="s">
        <v>3961</v>
      </c>
      <c r="E72" s="1720"/>
      <c r="F72" s="1739"/>
      <c r="G72" s="1739"/>
      <c r="H72" s="1739"/>
      <c r="I72" s="1739"/>
      <c r="J72" s="1739"/>
      <c r="K72" s="1721"/>
      <c r="L72" s="1721"/>
      <c r="M72" s="1722"/>
      <c r="N72" s="1723"/>
    </row>
    <row r="73" spans="1:14" s="1688" customFormat="1" x14ac:dyDescent="0.2">
      <c r="A73" s="1724"/>
      <c r="B73" s="1725"/>
      <c r="C73" s="1726" t="s">
        <v>4052</v>
      </c>
      <c r="D73" s="1727" t="s">
        <v>4053</v>
      </c>
      <c r="E73" s="1728" t="s">
        <v>651</v>
      </c>
      <c r="F73" s="1740"/>
      <c r="G73" s="1740">
        <v>1.03</v>
      </c>
      <c r="H73" s="1740">
        <f xml:space="preserve"> 'Du toan'!$AE$64</f>
        <v>0</v>
      </c>
      <c r="I73" s="1740">
        <f t="shared" ref="I73:I78" si="13" xml:space="preserve"> IF(H73&gt;0,H73*G73*$F$71,G73*$F$71)</f>
        <v>611.82000000000005</v>
      </c>
      <c r="J73" s="1739">
        <f t="shared" ref="J73:J78" si="14" xml:space="preserve"> $G$79%*I73</f>
        <v>3.0591000000000004</v>
      </c>
      <c r="K73" s="1721"/>
      <c r="L73" s="1721" t="str">
        <f t="shared" ref="L73:L78" si="15" xml:space="preserve"> $H$71</f>
        <v>B</v>
      </c>
      <c r="M73" s="1722"/>
      <c r="N73" s="1723"/>
    </row>
    <row r="74" spans="1:14" s="1688" customFormat="1" x14ac:dyDescent="0.2">
      <c r="A74" s="1724"/>
      <c r="B74" s="1725"/>
      <c r="C74" s="1726" t="s">
        <v>3949</v>
      </c>
      <c r="D74" s="1727" t="s">
        <v>3950</v>
      </c>
      <c r="E74" s="1728" t="s">
        <v>3025</v>
      </c>
      <c r="F74" s="1740"/>
      <c r="G74" s="1740">
        <f xml:space="preserve"> 0.025*247.02</f>
        <v>6.1755000000000004</v>
      </c>
      <c r="H74" s="1740">
        <f xml:space="preserve"> 'Du toan'!$AE$64</f>
        <v>0</v>
      </c>
      <c r="I74" s="1740">
        <f t="shared" si="13"/>
        <v>3668.2470000000003</v>
      </c>
      <c r="J74" s="1739">
        <f t="shared" si="14"/>
        <v>18.341235000000001</v>
      </c>
      <c r="K74" s="1721"/>
      <c r="L74" s="1721" t="str">
        <f t="shared" si="15"/>
        <v>B</v>
      </c>
      <c r="M74" s="1722"/>
      <c r="N74" s="1723"/>
    </row>
    <row r="75" spans="1:14" s="1688" customFormat="1" x14ac:dyDescent="0.2">
      <c r="A75" s="1724"/>
      <c r="B75" s="1725"/>
      <c r="C75" s="1726" t="s">
        <v>3951</v>
      </c>
      <c r="D75" s="1727" t="s">
        <v>3952</v>
      </c>
      <c r="E75" s="1728" t="s">
        <v>647</v>
      </c>
      <c r="F75" s="1740"/>
      <c r="G75" s="1740">
        <f xml:space="preserve"> 0.025*1.12</f>
        <v>2.8000000000000004E-2</v>
      </c>
      <c r="H75" s="1740">
        <f xml:space="preserve"> 'Du toan'!$AE$64</f>
        <v>0</v>
      </c>
      <c r="I75" s="1740">
        <f t="shared" si="13"/>
        <v>16.632000000000001</v>
      </c>
      <c r="J75" s="1739">
        <f t="shared" si="14"/>
        <v>8.3160000000000012E-2</v>
      </c>
      <c r="K75" s="1721"/>
      <c r="L75" s="1721" t="str">
        <f t="shared" si="15"/>
        <v>B</v>
      </c>
      <c r="M75" s="1722"/>
      <c r="N75" s="1723"/>
    </row>
    <row r="76" spans="1:14" s="1688" customFormat="1" x14ac:dyDescent="0.2">
      <c r="A76" s="1724"/>
      <c r="B76" s="1725"/>
      <c r="C76" s="1726" t="s">
        <v>3953</v>
      </c>
      <c r="D76" s="1727" t="s">
        <v>3954</v>
      </c>
      <c r="E76" s="1728" t="s">
        <v>3023</v>
      </c>
      <c r="F76" s="1740"/>
      <c r="G76" s="1740">
        <f xml:space="preserve"> 0.025*260</f>
        <v>6.5</v>
      </c>
      <c r="H76" s="1740">
        <f xml:space="preserve"> 'Du toan'!$AE$64</f>
        <v>0</v>
      </c>
      <c r="I76" s="1740">
        <f t="shared" si="13"/>
        <v>3861</v>
      </c>
      <c r="J76" s="1739">
        <f t="shared" si="14"/>
        <v>19.305</v>
      </c>
      <c r="K76" s="1721"/>
      <c r="L76" s="1721" t="str">
        <f t="shared" si="15"/>
        <v>B</v>
      </c>
      <c r="M76" s="1722"/>
      <c r="N76" s="1723"/>
    </row>
    <row r="77" spans="1:14" s="1688" customFormat="1" x14ac:dyDescent="0.2">
      <c r="A77" s="1724"/>
      <c r="B77" s="1725"/>
      <c r="C77" s="1726" t="s">
        <v>3949</v>
      </c>
      <c r="D77" s="1727" t="s">
        <v>3950</v>
      </c>
      <c r="E77" s="1728" t="s">
        <v>3025</v>
      </c>
      <c r="F77" s="1740"/>
      <c r="G77" s="1740">
        <v>0.8</v>
      </c>
      <c r="H77" s="1740">
        <f xml:space="preserve"> 'Du toan'!$AE$64</f>
        <v>0</v>
      </c>
      <c r="I77" s="1740">
        <f t="shared" si="13"/>
        <v>475.20000000000005</v>
      </c>
      <c r="J77" s="1739">
        <f t="shared" si="14"/>
        <v>2.3760000000000003</v>
      </c>
      <c r="K77" s="1721"/>
      <c r="L77" s="1721" t="str">
        <f t="shared" si="15"/>
        <v>B</v>
      </c>
      <c r="M77" s="1722"/>
      <c r="N77" s="1723"/>
    </row>
    <row r="78" spans="1:14" s="1688" customFormat="1" x14ac:dyDescent="0.2">
      <c r="A78" s="1724"/>
      <c r="B78" s="1725"/>
      <c r="C78" s="1726" t="s">
        <v>3984</v>
      </c>
      <c r="D78" s="1727" t="s">
        <v>3985</v>
      </c>
      <c r="E78" s="1728" t="s">
        <v>3025</v>
      </c>
      <c r="F78" s="1740"/>
      <c r="G78" s="1740">
        <v>0.12</v>
      </c>
      <c r="H78" s="1740">
        <f xml:space="preserve"> 'Du toan'!$AE$64</f>
        <v>0</v>
      </c>
      <c r="I78" s="1740">
        <f t="shared" si="13"/>
        <v>71.28</v>
      </c>
      <c r="J78" s="1739">
        <f t="shared" si="14"/>
        <v>0.35639999999999999</v>
      </c>
      <c r="K78" s="1721"/>
      <c r="L78" s="1721" t="str">
        <f t="shared" si="15"/>
        <v>B</v>
      </c>
      <c r="M78" s="1722"/>
      <c r="N78" s="1723"/>
    </row>
    <row r="79" spans="1:14" s="1688" customFormat="1" x14ac:dyDescent="0.2">
      <c r="A79" s="1724"/>
      <c r="B79" s="1725"/>
      <c r="C79" s="1726" t="s">
        <v>3955</v>
      </c>
      <c r="D79" s="1727" t="s">
        <v>3956</v>
      </c>
      <c r="E79" s="1728" t="s">
        <v>74</v>
      </c>
      <c r="F79" s="1740"/>
      <c r="G79" s="1740">
        <v>0.5</v>
      </c>
      <c r="H79" s="1740"/>
      <c r="I79" s="1740"/>
      <c r="J79" s="1739"/>
      <c r="K79" s="1721"/>
      <c r="L79" s="1721"/>
      <c r="M79" s="1722"/>
      <c r="N79" s="1723"/>
    </row>
    <row r="80" spans="1:14" s="1688" customFormat="1" x14ac:dyDescent="0.2">
      <c r="A80" s="1724"/>
      <c r="B80" s="1725"/>
      <c r="C80" s="1726"/>
      <c r="D80" s="1729" t="s">
        <v>3946</v>
      </c>
      <c r="E80" s="1728"/>
      <c r="F80" s="1740"/>
      <c r="G80" s="1740"/>
      <c r="H80" s="1740"/>
      <c r="I80" s="1740"/>
      <c r="J80" s="1739"/>
      <c r="K80" s="1721"/>
      <c r="L80" s="1721"/>
      <c r="M80" s="1722"/>
      <c r="N80" s="1723"/>
    </row>
    <row r="81" spans="1:14" s="1688" customFormat="1" x14ac:dyDescent="0.2">
      <c r="A81" s="1724"/>
      <c r="B81" s="1725"/>
      <c r="C81" s="1726" t="s">
        <v>744</v>
      </c>
      <c r="D81" s="1727" t="s">
        <v>3986</v>
      </c>
      <c r="E81" s="1728" t="s">
        <v>2259</v>
      </c>
      <c r="F81" s="1740"/>
      <c r="G81" s="1740">
        <v>0.126</v>
      </c>
      <c r="H81" s="1740">
        <f xml:space="preserve"> 'Du toan'!$AG$64</f>
        <v>0</v>
      </c>
      <c r="I81" s="1740">
        <f xml:space="preserve"> IF(H81&gt;0,H81*G81*$F$71,G81*$F$71)</f>
        <v>74.843999999999994</v>
      </c>
      <c r="J81" s="1739"/>
      <c r="K81" s="1721"/>
      <c r="L81" s="1721" t="str">
        <f xml:space="preserve"> $H$71</f>
        <v>B</v>
      </c>
      <c r="M81" s="1723"/>
      <c r="N81" s="1723"/>
    </row>
    <row r="82" spans="1:14" s="1688" customFormat="1" x14ac:dyDescent="0.2">
      <c r="A82" s="1724"/>
      <c r="B82" s="1725"/>
      <c r="C82" s="1726"/>
      <c r="D82" s="1729" t="s">
        <v>3962</v>
      </c>
      <c r="E82" s="1728"/>
      <c r="F82" s="1740"/>
      <c r="G82" s="1740"/>
      <c r="H82" s="1740"/>
      <c r="I82" s="1740"/>
      <c r="J82" s="1739"/>
      <c r="K82" s="1721"/>
      <c r="L82" s="1721"/>
      <c r="M82" s="1723"/>
      <c r="N82" s="1723"/>
    </row>
    <row r="83" spans="1:14" s="1688" customFormat="1" x14ac:dyDescent="0.2">
      <c r="A83" s="1730"/>
      <c r="B83" s="1731"/>
      <c r="C83" s="1732" t="s">
        <v>3987</v>
      </c>
      <c r="D83" s="1733" t="s">
        <v>3988</v>
      </c>
      <c r="E83" s="1734" t="s">
        <v>3960</v>
      </c>
      <c r="F83" s="1741"/>
      <c r="G83" s="1741">
        <v>3.5000000000000003E-2</v>
      </c>
      <c r="H83" s="1741">
        <f xml:space="preserve"> 'Du toan'!$AH$64</f>
        <v>0</v>
      </c>
      <c r="I83" s="1741">
        <f xml:space="preserve"> IF(H83&gt;0,H83*G83*$F$71,G83*$F$71)</f>
        <v>20.790000000000003</v>
      </c>
      <c r="J83" s="1742"/>
      <c r="K83" s="1735"/>
      <c r="L83" s="1735" t="str">
        <f xml:space="preserve"> $H$71</f>
        <v>B</v>
      </c>
      <c r="M83" s="1736"/>
      <c r="N83" s="1736"/>
    </row>
    <row r="84" spans="1:14" ht="30" x14ac:dyDescent="0.2">
      <c r="A84" s="1700">
        <v>12</v>
      </c>
      <c r="B84" s="1701" t="s">
        <v>3905</v>
      </c>
      <c r="C84" s="1702"/>
      <c r="D84" s="1701" t="str">
        <f xml:space="preserve"> 'Du toan'!$E$69</f>
        <v>Sơn dầm, trần, tường trong nhà, đã bả 1 nước lót, 2 nước phủ</v>
      </c>
      <c r="E84" s="1703" t="str">
        <f xml:space="preserve"> 'Du toan'!$F$69</f>
        <v>m2</v>
      </c>
      <c r="F84" s="1704">
        <f xml:space="preserve"> 'Du toan'!$AZ$69</f>
        <v>830.12</v>
      </c>
      <c r="G84" s="1704"/>
      <c r="H84" s="1704" t="s">
        <v>66</v>
      </c>
      <c r="I84" s="1704"/>
      <c r="J84" s="1704"/>
      <c r="K84" s="1705" t="s">
        <v>3905</v>
      </c>
      <c r="L84" s="1706" t="s">
        <v>254</v>
      </c>
      <c r="M84" s="1707">
        <v>1</v>
      </c>
      <c r="N84" s="1707"/>
    </row>
    <row r="85" spans="1:14" x14ac:dyDescent="0.2">
      <c r="A85" s="1654"/>
      <c r="B85" s="1654"/>
      <c r="C85" s="1655"/>
      <c r="D85" s="1656" t="s">
        <v>3961</v>
      </c>
      <c r="E85" s="1657"/>
      <c r="F85" s="1658"/>
      <c r="G85" s="1658"/>
      <c r="H85" s="1658"/>
      <c r="I85" s="1658"/>
      <c r="J85" s="1658"/>
      <c r="K85" s="1659"/>
      <c r="L85" s="1660"/>
      <c r="M85" s="1661"/>
      <c r="N85" s="1661"/>
    </row>
    <row r="86" spans="1:14" x14ac:dyDescent="0.2">
      <c r="A86" s="1654"/>
      <c r="B86" s="1654"/>
      <c r="C86" s="1655" t="s">
        <v>3989</v>
      </c>
      <c r="D86" s="1654" t="s">
        <v>4045</v>
      </c>
      <c r="E86" s="1657" t="s">
        <v>3025</v>
      </c>
      <c r="F86" s="1658"/>
      <c r="G86" s="1658">
        <v>0.125</v>
      </c>
      <c r="H86" s="1658">
        <f xml:space="preserve"> 'Du toan'!$AE$69</f>
        <v>0</v>
      </c>
      <c r="I86" s="1658">
        <f t="shared" ref="I86:I87" si="16" xml:space="preserve"> IF(H86&gt;0,H86*G86*$F$84,G86*$F$84)</f>
        <v>103.765</v>
      </c>
      <c r="J86" s="1658">
        <f t="shared" ref="J86:J87" si="17" xml:space="preserve"> $G$88%*I86</f>
        <v>1.03765</v>
      </c>
      <c r="K86" s="1659"/>
      <c r="L86" s="1662" t="str">
        <f t="shared" ref="L86:L87" si="18" xml:space="preserve"> $H$84</f>
        <v>B</v>
      </c>
      <c r="M86" s="1661"/>
      <c r="N86" s="1661"/>
    </row>
    <row r="87" spans="1:14" x14ac:dyDescent="0.2">
      <c r="A87" s="1654"/>
      <c r="B87" s="1654"/>
      <c r="C87" s="1655" t="s">
        <v>3990</v>
      </c>
      <c r="D87" s="1654" t="s">
        <v>4046</v>
      </c>
      <c r="E87" s="1657" t="s">
        <v>3025</v>
      </c>
      <c r="F87" s="1658"/>
      <c r="G87" s="1658">
        <v>0.11700000000000001</v>
      </c>
      <c r="H87" s="1658">
        <f xml:space="preserve"> 'Du toan'!$AE$69</f>
        <v>0</v>
      </c>
      <c r="I87" s="1658">
        <f t="shared" si="16"/>
        <v>97.124040000000008</v>
      </c>
      <c r="J87" s="1658">
        <f t="shared" si="17"/>
        <v>0.97124040000000011</v>
      </c>
      <c r="K87" s="1659"/>
      <c r="L87" s="1662" t="str">
        <f t="shared" si="18"/>
        <v>B</v>
      </c>
      <c r="M87" s="1661"/>
      <c r="N87" s="1661"/>
    </row>
    <row r="88" spans="1:14" x14ac:dyDescent="0.2">
      <c r="A88" s="1654"/>
      <c r="B88" s="1654"/>
      <c r="C88" s="1655" t="s">
        <v>3955</v>
      </c>
      <c r="D88" s="1654" t="s">
        <v>3956</v>
      </c>
      <c r="E88" s="1657" t="s">
        <v>74</v>
      </c>
      <c r="F88" s="1658"/>
      <c r="G88" s="1658">
        <v>1</v>
      </c>
      <c r="H88" s="1658"/>
      <c r="I88" s="1658"/>
      <c r="J88" s="1658"/>
      <c r="K88" s="1659"/>
      <c r="L88" s="1660"/>
      <c r="M88" s="1661"/>
      <c r="N88" s="1661"/>
    </row>
    <row r="89" spans="1:14" x14ac:dyDescent="0.2">
      <c r="A89" s="1654"/>
      <c r="B89" s="1654"/>
      <c r="C89" s="1655"/>
      <c r="D89" s="1656" t="s">
        <v>3946</v>
      </c>
      <c r="E89" s="1657"/>
      <c r="F89" s="1658"/>
      <c r="G89" s="1658"/>
      <c r="H89" s="1658"/>
      <c r="I89" s="1658"/>
      <c r="J89" s="1658"/>
      <c r="K89" s="1659"/>
      <c r="L89" s="1660"/>
      <c r="M89" s="1661"/>
      <c r="N89" s="1661"/>
    </row>
    <row r="90" spans="1:14" x14ac:dyDescent="0.2">
      <c r="A90" s="1674"/>
      <c r="B90" s="1674"/>
      <c r="C90" s="1675" t="s">
        <v>740</v>
      </c>
      <c r="D90" s="1674" t="s">
        <v>3957</v>
      </c>
      <c r="E90" s="1676" t="s">
        <v>2259</v>
      </c>
      <c r="F90" s="1677"/>
      <c r="G90" s="1677">
        <v>0.06</v>
      </c>
      <c r="H90" s="1677">
        <f xml:space="preserve"> 'Du toan'!$AG$69</f>
        <v>0</v>
      </c>
      <c r="I90" s="1677">
        <f xml:space="preserve"> IF(H90&gt;0,H90*G90*$F$84,G90*$F$84)</f>
        <v>49.807200000000002</v>
      </c>
      <c r="J90" s="1677"/>
      <c r="K90" s="1678"/>
      <c r="L90" s="1679" t="str">
        <f xml:space="preserve"> $H$84</f>
        <v>B</v>
      </c>
      <c r="M90" s="1680" t="s">
        <v>740</v>
      </c>
      <c r="N90" s="1680" t="s">
        <v>3957</v>
      </c>
    </row>
    <row r="91" spans="1:14" x14ac:dyDescent="0.2">
      <c r="A91" s="1644">
        <v>13</v>
      </c>
      <c r="B91" s="1645" t="s">
        <v>3907</v>
      </c>
      <c r="C91" s="1646"/>
      <c r="D91" s="1645" t="str">
        <f xml:space="preserve"> 'Du toan'!$E$72</f>
        <v xml:space="preserve">Lắp dựng cửa khung nhôm </v>
      </c>
      <c r="E91" s="1647" t="str">
        <f xml:space="preserve"> 'Du toan'!$F$72</f>
        <v>m2</v>
      </c>
      <c r="F91" s="1648">
        <f xml:space="preserve"> 'Du toan'!$AZ$72</f>
        <v>15.24</v>
      </c>
      <c r="G91" s="1648"/>
      <c r="H91" s="1648" t="s">
        <v>66</v>
      </c>
      <c r="I91" s="1648"/>
      <c r="J91" s="1648"/>
      <c r="K91" s="1649" t="s">
        <v>3907</v>
      </c>
      <c r="L91" s="1650" t="s">
        <v>254</v>
      </c>
      <c r="M91" s="1651">
        <v>1</v>
      </c>
      <c r="N91" s="1651"/>
    </row>
    <row r="92" spans="1:14" x14ac:dyDescent="0.2">
      <c r="A92" s="1654"/>
      <c r="B92" s="1654"/>
      <c r="C92" s="1655"/>
      <c r="D92" s="1656" t="s">
        <v>3961</v>
      </c>
      <c r="E92" s="1657"/>
      <c r="F92" s="1658"/>
      <c r="G92" s="1658"/>
      <c r="H92" s="1658"/>
      <c r="I92" s="1658"/>
      <c r="J92" s="1658"/>
      <c r="K92" s="1659"/>
      <c r="L92" s="1660"/>
      <c r="M92" s="1661"/>
      <c r="N92" s="1661"/>
    </row>
    <row r="93" spans="1:14" x14ac:dyDescent="0.2">
      <c r="A93" s="1654"/>
      <c r="B93" s="1654"/>
      <c r="C93" s="1655" t="s">
        <v>3949</v>
      </c>
      <c r="D93" s="1654" t="s">
        <v>3950</v>
      </c>
      <c r="E93" s="1657" t="s">
        <v>3025</v>
      </c>
      <c r="F93" s="1658"/>
      <c r="G93" s="1658">
        <v>1.2</v>
      </c>
      <c r="H93" s="1658">
        <f xml:space="preserve"> 'Du toan'!$AE$72</f>
        <v>0</v>
      </c>
      <c r="I93" s="1658">
        <f t="shared" ref="I93:I94" si="19" xml:space="preserve"> IF(H93&gt;0,H93*G93*$F$91,G93*$F$91)</f>
        <v>18.288</v>
      </c>
      <c r="J93" s="1658"/>
      <c r="K93" s="1659"/>
      <c r="L93" s="1662" t="str">
        <f t="shared" ref="L93:L94" si="20" xml:space="preserve"> $H$91</f>
        <v>B</v>
      </c>
      <c r="M93" s="1661"/>
      <c r="N93" s="1661"/>
    </row>
    <row r="94" spans="1:14" x14ac:dyDescent="0.2">
      <c r="A94" s="1654"/>
      <c r="B94" s="1654"/>
      <c r="C94" s="1655" t="s">
        <v>3991</v>
      </c>
      <c r="D94" s="1654" t="s">
        <v>3992</v>
      </c>
      <c r="E94" s="1657" t="s">
        <v>3993</v>
      </c>
      <c r="F94" s="1658"/>
      <c r="G94" s="1658">
        <v>2</v>
      </c>
      <c r="H94" s="1658">
        <f xml:space="preserve"> 'Du toan'!$AE$72</f>
        <v>0</v>
      </c>
      <c r="I94" s="1658">
        <f t="shared" si="19"/>
        <v>30.48</v>
      </c>
      <c r="J94" s="1658"/>
      <c r="K94" s="1659"/>
      <c r="L94" s="1662" t="str">
        <f t="shared" si="20"/>
        <v>B</v>
      </c>
      <c r="M94" s="1661"/>
      <c r="N94" s="1661"/>
    </row>
    <row r="95" spans="1:14" x14ac:dyDescent="0.2">
      <c r="A95" s="1654"/>
      <c r="B95" s="1654"/>
      <c r="C95" s="1655"/>
      <c r="D95" s="1656" t="s">
        <v>3946</v>
      </c>
      <c r="E95" s="1657"/>
      <c r="F95" s="1658"/>
      <c r="G95" s="1658"/>
      <c r="H95" s="1658"/>
      <c r="I95" s="1658"/>
      <c r="J95" s="1658"/>
      <c r="K95" s="1659"/>
      <c r="L95" s="1660"/>
      <c r="M95" s="1661"/>
      <c r="N95" s="1661"/>
    </row>
    <row r="96" spans="1:14" x14ac:dyDescent="0.2">
      <c r="A96" s="1674"/>
      <c r="B96" s="1674"/>
      <c r="C96" s="1675" t="s">
        <v>744</v>
      </c>
      <c r="D96" s="1674" t="s">
        <v>3986</v>
      </c>
      <c r="E96" s="1676" t="s">
        <v>2259</v>
      </c>
      <c r="F96" s="1677"/>
      <c r="G96" s="1677">
        <v>0.3</v>
      </c>
      <c r="H96" s="1677">
        <f xml:space="preserve"> 'Du toan'!$AG$72</f>
        <v>0</v>
      </c>
      <c r="I96" s="1677">
        <f xml:space="preserve"> IF(H96&gt;0,H96*G96*$F$91,G96*$F$91)</f>
        <v>4.5720000000000001</v>
      </c>
      <c r="J96" s="1677"/>
      <c r="K96" s="1678"/>
      <c r="L96" s="1679" t="str">
        <f xml:space="preserve"> $H$91</f>
        <v>B</v>
      </c>
      <c r="M96" s="1680" t="s">
        <v>744</v>
      </c>
      <c r="N96" s="1680" t="s">
        <v>3986</v>
      </c>
    </row>
    <row r="97" spans="1:14" x14ac:dyDescent="0.2">
      <c r="A97" s="1644">
        <v>14</v>
      </c>
      <c r="B97" s="1645" t="s">
        <v>3907</v>
      </c>
      <c r="C97" s="1646"/>
      <c r="D97" s="1645" t="str">
        <f xml:space="preserve"> 'Du toan'!$E$75</f>
        <v xml:space="preserve">Lắp dựng cửa kính bản lề sàn </v>
      </c>
      <c r="E97" s="1647" t="str">
        <f xml:space="preserve"> 'Du toan'!$F$75</f>
        <v>m2</v>
      </c>
      <c r="F97" s="1648">
        <f xml:space="preserve"> 'Du toan'!$AZ$75</f>
        <v>10.07</v>
      </c>
      <c r="G97" s="1648"/>
      <c r="H97" s="1648" t="s">
        <v>66</v>
      </c>
      <c r="I97" s="1648"/>
      <c r="J97" s="1648"/>
      <c r="K97" s="1649" t="s">
        <v>3907</v>
      </c>
      <c r="L97" s="1650" t="s">
        <v>254</v>
      </c>
      <c r="M97" s="1651">
        <v>1</v>
      </c>
      <c r="N97" s="1651"/>
    </row>
    <row r="98" spans="1:14" x14ac:dyDescent="0.2">
      <c r="A98" s="1654"/>
      <c r="B98" s="1654"/>
      <c r="C98" s="1655"/>
      <c r="D98" s="1656" t="s">
        <v>3961</v>
      </c>
      <c r="E98" s="1657"/>
      <c r="F98" s="1658"/>
      <c r="G98" s="1658"/>
      <c r="H98" s="1658"/>
      <c r="I98" s="1658"/>
      <c r="J98" s="1658"/>
      <c r="K98" s="1659"/>
      <c r="L98" s="1660"/>
      <c r="M98" s="1661"/>
      <c r="N98" s="1661"/>
    </row>
    <row r="99" spans="1:14" x14ac:dyDescent="0.2">
      <c r="A99" s="1654"/>
      <c r="B99" s="1654"/>
      <c r="C99" s="1655" t="s">
        <v>3949</v>
      </c>
      <c r="D99" s="1654" t="s">
        <v>3950</v>
      </c>
      <c r="E99" s="1657" t="s">
        <v>3025</v>
      </c>
      <c r="F99" s="1658"/>
      <c r="G99" s="1658">
        <v>1.2</v>
      </c>
      <c r="H99" s="1658">
        <f xml:space="preserve"> 'Du toan'!$AE$75</f>
        <v>0</v>
      </c>
      <c r="I99" s="1658">
        <f t="shared" ref="I99:I100" si="21" xml:space="preserve"> IF(H99&gt;0,H99*G99*$F$97,G99*$F$97)</f>
        <v>12.084</v>
      </c>
      <c r="J99" s="1658"/>
      <c r="K99" s="1659"/>
      <c r="L99" s="1662" t="str">
        <f t="shared" ref="L99:L100" si="22" xml:space="preserve"> $H$97</f>
        <v>B</v>
      </c>
      <c r="M99" s="1661"/>
      <c r="N99" s="1661"/>
    </row>
    <row r="100" spans="1:14" x14ac:dyDescent="0.2">
      <c r="A100" s="1654"/>
      <c r="B100" s="1654"/>
      <c r="C100" s="1655" t="s">
        <v>3991</v>
      </c>
      <c r="D100" s="1654" t="s">
        <v>3992</v>
      </c>
      <c r="E100" s="1657" t="s">
        <v>3993</v>
      </c>
      <c r="F100" s="1658"/>
      <c r="G100" s="1658">
        <v>2</v>
      </c>
      <c r="H100" s="1658">
        <f xml:space="preserve"> 'Du toan'!$AE$75</f>
        <v>0</v>
      </c>
      <c r="I100" s="1658">
        <f t="shared" si="21"/>
        <v>20.14</v>
      </c>
      <c r="J100" s="1658"/>
      <c r="K100" s="1659"/>
      <c r="L100" s="1662" t="str">
        <f t="shared" si="22"/>
        <v>B</v>
      </c>
      <c r="M100" s="1661"/>
      <c r="N100" s="1661"/>
    </row>
    <row r="101" spans="1:14" x14ac:dyDescent="0.2">
      <c r="A101" s="1654"/>
      <c r="B101" s="1654"/>
      <c r="C101" s="1655"/>
      <c r="D101" s="1656" t="s">
        <v>3946</v>
      </c>
      <c r="E101" s="1657"/>
      <c r="F101" s="1658"/>
      <c r="G101" s="1658"/>
      <c r="H101" s="1658"/>
      <c r="I101" s="1658"/>
      <c r="J101" s="1658"/>
      <c r="K101" s="1659"/>
      <c r="L101" s="1660"/>
      <c r="M101" s="1661"/>
      <c r="N101" s="1661"/>
    </row>
    <row r="102" spans="1:14" x14ac:dyDescent="0.2">
      <c r="A102" s="1663"/>
      <c r="B102" s="1663"/>
      <c r="C102" s="1664" t="s">
        <v>744</v>
      </c>
      <c r="D102" s="1663" t="s">
        <v>3986</v>
      </c>
      <c r="E102" s="1665" t="s">
        <v>2259</v>
      </c>
      <c r="F102" s="1666"/>
      <c r="G102" s="1666">
        <v>0.3</v>
      </c>
      <c r="H102" s="1666">
        <f xml:space="preserve"> 'Du toan'!$AG$75</f>
        <v>0</v>
      </c>
      <c r="I102" s="1666">
        <f xml:space="preserve"> IF(H102&gt;0,H102*G102*$F$97,G102*$F$97)</f>
        <v>3.0209999999999999</v>
      </c>
      <c r="J102" s="1666"/>
      <c r="K102" s="1667"/>
      <c r="L102" s="1668" t="str">
        <f xml:space="preserve"> $H$97</f>
        <v>B</v>
      </c>
      <c r="M102" s="1669" t="s">
        <v>744</v>
      </c>
      <c r="N102" s="1669" t="s">
        <v>3986</v>
      </c>
    </row>
  </sheetData>
  <mergeCells count="16">
    <mergeCell ref="A5:A6"/>
    <mergeCell ref="C5:C6"/>
    <mergeCell ref="D5:D6"/>
    <mergeCell ref="E5:E6"/>
    <mergeCell ref="B5:B6"/>
    <mergeCell ref="AT5:AW5"/>
    <mergeCell ref="O5:R5"/>
    <mergeCell ref="S5:V5"/>
    <mergeCell ref="M5:N5"/>
    <mergeCell ref="AN5:AN6"/>
    <mergeCell ref="AP5:AS5"/>
    <mergeCell ref="AK5:AM5"/>
    <mergeCell ref="AE5:AG5"/>
    <mergeCell ref="AH5:AJ5"/>
    <mergeCell ref="W5:Z5"/>
    <mergeCell ref="AA5:AD5"/>
  </mergeCells>
  <phoneticPr fontId="2" type="noConversion"/>
  <pageMargins left="0.55118110236220497" right="0.196850393700787" top="0.43307086614173201" bottom="0.59055118110236204" header="0.15748031496063" footer="0.23622047244094499"/>
  <pageSetup paperSize="9" orientation="portrait" r:id="rId1"/>
  <headerFooter alignWithMargins="0">
    <oddHeader>&amp;L&amp;"Times New Roman,Bold Italic"&amp;9Dự toán Bắc Nam  - ÐT: 0966.966.455</oddHeader>
    <oddFooter>&amp;R&amp;9Trang &amp;P/&amp;N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GTVT"/>
  <dimension ref="A1:U40"/>
  <sheetViews>
    <sheetView showZeros="0" zoomScale="130" zoomScaleNormal="130" workbookViewId="0">
      <selection activeCell="A4" sqref="A4"/>
    </sheetView>
  </sheetViews>
  <sheetFormatPr defaultRowHeight="15" outlineLevelCol="1" x14ac:dyDescent="0.2"/>
  <cols>
    <col min="1" max="1" width="5.28515625" style="119" customWidth="1"/>
    <col min="2" max="2" width="17.42578125" style="394" hidden="1" customWidth="1" outlineLevel="1"/>
    <col min="3" max="3" width="41.85546875" style="119" customWidth="1" collapsed="1"/>
    <col min="4" max="4" width="10.85546875" style="124" customWidth="1"/>
    <col min="5" max="5" width="9.42578125" style="262" bestFit="1" customWidth="1"/>
    <col min="6" max="6" width="7.5703125" style="393" bestFit="1" customWidth="1"/>
    <col min="7" max="7" width="12.42578125" style="259" bestFit="1" customWidth="1"/>
    <col min="8" max="8" width="12.42578125" style="119" hidden="1" customWidth="1"/>
    <col min="9" max="9" width="17.28515625" style="119" hidden="1" customWidth="1"/>
    <col min="10" max="10" width="9.140625" style="119" hidden="1" customWidth="1"/>
    <col min="11" max="11" width="13.42578125" style="119" hidden="1" customWidth="1"/>
    <col min="12" max="18" width="9.140625" style="119" hidden="1" customWidth="1" outlineLevel="1"/>
    <col min="19" max="19" width="9.140625" style="394" hidden="1" customWidth="1"/>
    <col min="20" max="20" width="11.85546875" style="394" hidden="1" customWidth="1"/>
    <col min="21" max="21" width="12.5703125" style="394" hidden="1" customWidth="1"/>
    <col min="22" max="16384" width="9.140625" style="119"/>
  </cols>
  <sheetData>
    <row r="1" spans="1:21" s="103" customFormat="1" ht="20.25" x14ac:dyDescent="0.3">
      <c r="A1" s="242" t="s">
        <v>269</v>
      </c>
      <c r="B1" s="40"/>
      <c r="C1" s="243"/>
      <c r="D1" s="243"/>
      <c r="E1" s="243"/>
      <c r="F1" s="244"/>
      <c r="G1" s="244"/>
      <c r="H1" s="243"/>
      <c r="I1" s="243"/>
      <c r="S1" s="636"/>
      <c r="T1" s="636"/>
      <c r="U1" s="636"/>
    </row>
    <row r="2" spans="1:21" s="264" customFormat="1" ht="14.25" x14ac:dyDescent="0.2">
      <c r="A2" s="263" t="str">
        <f>"CÔNG TRÌNH : "&amp;'Bia du toan'!$G$12</f>
        <v>CÔNG TRÌNH : TRƯỜNG CAO ĐẲNG LÝ TỰ TRỌNG</v>
      </c>
      <c r="B2" s="105"/>
      <c r="C2" s="263"/>
      <c r="D2" s="263"/>
      <c r="E2" s="263"/>
      <c r="F2" s="266"/>
      <c r="G2" s="266"/>
      <c r="H2" s="263"/>
      <c r="I2" s="263"/>
      <c r="S2" s="1574"/>
      <c r="T2" s="1574"/>
      <c r="U2" s="1574"/>
    </row>
    <row r="3" spans="1:21" s="264" customFormat="1" ht="14.25" x14ac:dyDescent="0.2">
      <c r="A3" s="263" t="str">
        <f>"HẠNG MỤC : "&amp; 'Bia du toan'!$G$13</f>
        <v>HẠNG MỤC : CẢI TẠO THƯ VIỆN GIAI ĐOẠN 2 - NĂM 2019</v>
      </c>
      <c r="B3" s="105"/>
      <c r="C3" s="263"/>
      <c r="D3" s="263"/>
      <c r="E3" s="263"/>
      <c r="F3" s="266"/>
      <c r="G3" s="266"/>
      <c r="H3" s="263"/>
      <c r="I3" s="263"/>
      <c r="S3" s="1574"/>
      <c r="T3" s="1574"/>
      <c r="U3" s="1574"/>
    </row>
    <row r="4" spans="1:21" s="103" customFormat="1" x14ac:dyDescent="0.25">
      <c r="A4" s="243"/>
      <c r="B4" s="40"/>
      <c r="C4" s="243"/>
      <c r="D4" s="243"/>
      <c r="E4" s="243"/>
      <c r="F4" s="244"/>
      <c r="G4" s="244"/>
      <c r="H4" s="243"/>
      <c r="I4" s="243"/>
      <c r="S4" s="636"/>
      <c r="T4" s="636"/>
      <c r="U4" s="636"/>
    </row>
    <row r="5" spans="1:21" ht="18" customHeight="1" x14ac:dyDescent="0.2">
      <c r="A5" s="1753" t="s">
        <v>15</v>
      </c>
      <c r="B5" s="1781" t="s">
        <v>266</v>
      </c>
      <c r="C5" s="1753" t="s">
        <v>267</v>
      </c>
      <c r="D5" s="1753" t="s">
        <v>236</v>
      </c>
      <c r="E5" s="727" t="s">
        <v>612</v>
      </c>
      <c r="F5" s="435" t="s">
        <v>617</v>
      </c>
      <c r="G5" s="1593" t="s">
        <v>383</v>
      </c>
      <c r="H5" s="734" t="s">
        <v>245</v>
      </c>
      <c r="I5" s="734" t="s">
        <v>383</v>
      </c>
      <c r="J5" s="726"/>
      <c r="K5" s="749"/>
      <c r="L5" s="1783" t="s">
        <v>1369</v>
      </c>
      <c r="M5" s="750" t="s">
        <v>1368</v>
      </c>
      <c r="N5" s="750"/>
      <c r="O5" s="750"/>
      <c r="P5" s="751"/>
      <c r="Q5" s="750" t="s">
        <v>380</v>
      </c>
      <c r="R5" s="555"/>
      <c r="S5" s="1575" t="s">
        <v>489</v>
      </c>
      <c r="T5" s="1575" t="s">
        <v>1467</v>
      </c>
      <c r="U5" s="1575" t="s">
        <v>270</v>
      </c>
    </row>
    <row r="6" spans="1:21" ht="18" customHeight="1" x14ac:dyDescent="0.2">
      <c r="A6" s="1754"/>
      <c r="B6" s="1782"/>
      <c r="C6" s="1754"/>
      <c r="D6" s="1754"/>
      <c r="E6" s="728" t="s">
        <v>370</v>
      </c>
      <c r="F6" s="391" t="s">
        <v>618</v>
      </c>
      <c r="G6" s="391" t="s">
        <v>385</v>
      </c>
      <c r="H6" s="391" t="s">
        <v>262</v>
      </c>
      <c r="I6" s="391" t="s">
        <v>385</v>
      </c>
      <c r="J6" s="747"/>
      <c r="K6" s="742"/>
      <c r="L6" s="1784"/>
      <c r="M6" s="729" t="s">
        <v>1370</v>
      </c>
      <c r="N6" s="729" t="s">
        <v>68</v>
      </c>
      <c r="O6" s="729" t="s">
        <v>237</v>
      </c>
      <c r="P6" s="729" t="s">
        <v>238</v>
      </c>
      <c r="Q6" s="729" t="s">
        <v>237</v>
      </c>
      <c r="R6" s="729" t="s">
        <v>238</v>
      </c>
      <c r="S6" s="1576" t="s">
        <v>243</v>
      </c>
      <c r="T6" s="1576" t="s">
        <v>1469</v>
      </c>
      <c r="U6" s="1576" t="s">
        <v>1468</v>
      </c>
    </row>
    <row r="7" spans="1:21" x14ac:dyDescent="0.2">
      <c r="A7" s="1600"/>
      <c r="B7" s="1601" t="s">
        <v>87</v>
      </c>
      <c r="C7" s="1608" t="s">
        <v>3961</v>
      </c>
      <c r="D7" s="121"/>
      <c r="E7" s="1602"/>
      <c r="F7" s="1609"/>
      <c r="G7" s="1610"/>
      <c r="H7" s="1600"/>
      <c r="I7" s="1600"/>
    </row>
    <row r="8" spans="1:21" x14ac:dyDescent="0.2">
      <c r="A8" s="122">
        <v>1</v>
      </c>
      <c r="B8" s="1603" t="s">
        <v>3991</v>
      </c>
      <c r="C8" s="122" t="s">
        <v>3992</v>
      </c>
      <c r="D8" s="79" t="s">
        <v>3993</v>
      </c>
      <c r="E8" s="1605">
        <f xml:space="preserve"> SUMIF('Phan tich vat tu'!$C:$C,$B8,'Phan tich vat tu'!$I:$I)</f>
        <v>50.620000000000005</v>
      </c>
      <c r="F8" s="1617">
        <v>1500</v>
      </c>
      <c r="G8" s="248">
        <f t="shared" ref="G8:G22" si="0" xml:space="preserve"> $E8*F8</f>
        <v>75930</v>
      </c>
      <c r="H8" s="122">
        <f xml:space="preserve"> SUMIF('Phan tich vat tu'!$C:$C,$B8,'Phan tich vat tu'!$J:$J)</f>
        <v>0</v>
      </c>
      <c r="I8" s="122">
        <f t="shared" ref="I8:I22" si="1" xml:space="preserve"> $F8*H8</f>
        <v>0</v>
      </c>
      <c r="T8" s="394" t="s">
        <v>4018</v>
      </c>
    </row>
    <row r="9" spans="1:21" x14ac:dyDescent="0.2">
      <c r="A9" s="122">
        <f t="shared" ref="A9:A22" si="2" xml:space="preserve"> A8+1</f>
        <v>2</v>
      </c>
      <c r="B9" s="1603" t="s">
        <v>3963</v>
      </c>
      <c r="C9" s="122" t="s">
        <v>3964</v>
      </c>
      <c r="D9" s="79" t="s">
        <v>647</v>
      </c>
      <c r="E9" s="1605">
        <f xml:space="preserve"> SUMIF('Phan tich vat tu'!$C:$C,$B9,'Phan tich vat tu'!$I:$I)</f>
        <v>72.468000000000004</v>
      </c>
      <c r="F9" s="1617">
        <v>318200</v>
      </c>
      <c r="G9" s="248">
        <f t="shared" si="0"/>
        <v>23059317.600000001</v>
      </c>
      <c r="H9" s="122">
        <f xml:space="preserve"> SUMIF('Phan tich vat tu'!$C:$C,$B9,'Phan tich vat tu'!$J:$J)</f>
        <v>0</v>
      </c>
      <c r="I9" s="122">
        <f t="shared" si="1"/>
        <v>0</v>
      </c>
      <c r="T9" s="394" t="s">
        <v>4003</v>
      </c>
    </row>
    <row r="10" spans="1:21" x14ac:dyDescent="0.2">
      <c r="A10" s="122">
        <f t="shared" si="2"/>
        <v>3</v>
      </c>
      <c r="B10" s="1603" t="s">
        <v>3951</v>
      </c>
      <c r="C10" s="122" t="s">
        <v>3952</v>
      </c>
      <c r="D10" s="79" t="s">
        <v>647</v>
      </c>
      <c r="E10" s="1605">
        <f xml:space="preserve"> SUMIF('Phan tich vat tu'!$C:$C,$B10,'Phan tich vat tu'!$I:$I)</f>
        <v>16.841798400000002</v>
      </c>
      <c r="F10" s="1617">
        <v>336400</v>
      </c>
      <c r="G10" s="248">
        <f t="shared" si="0"/>
        <v>5665580.9817600008</v>
      </c>
      <c r="H10" s="122">
        <f xml:space="preserve"> SUMIF('Phan tich vat tu'!$C:$C,$B10,'Phan tich vat tu'!$J:$J)</f>
        <v>9.4590720000000017E-2</v>
      </c>
      <c r="I10" s="122">
        <f t="shared" si="1"/>
        <v>31820.318208000004</v>
      </c>
      <c r="T10" s="394" t="s">
        <v>3999</v>
      </c>
    </row>
    <row r="11" spans="1:21" x14ac:dyDescent="0.2">
      <c r="A11" s="122">
        <f t="shared" si="2"/>
        <v>4</v>
      </c>
      <c r="B11" s="1603" t="s">
        <v>3976</v>
      </c>
      <c r="C11" s="122" t="s">
        <v>3977</v>
      </c>
      <c r="D11" s="79" t="s">
        <v>647</v>
      </c>
      <c r="E11" s="1605">
        <f xml:space="preserve"> SUMIF('Phan tich vat tu'!$C:$C,$B11,'Phan tich vat tu'!$I:$I)</f>
        <v>29.061449999999997</v>
      </c>
      <c r="F11" s="1617">
        <v>400000</v>
      </c>
      <c r="G11" s="248">
        <f t="shared" si="0"/>
        <v>11624579.999999998</v>
      </c>
      <c r="H11" s="122">
        <f xml:space="preserve"> SUMIF('Phan tich vat tu'!$C:$C,$B11,'Phan tich vat tu'!$J:$J)</f>
        <v>0.2906145</v>
      </c>
      <c r="I11" s="122">
        <f t="shared" si="1"/>
        <v>116245.8</v>
      </c>
      <c r="T11" s="394" t="s">
        <v>4009</v>
      </c>
    </row>
    <row r="12" spans="1:21" x14ac:dyDescent="0.2">
      <c r="A12" s="122">
        <f t="shared" si="2"/>
        <v>5</v>
      </c>
      <c r="B12" s="1603" t="s">
        <v>3978</v>
      </c>
      <c r="C12" s="122" t="s">
        <v>3979</v>
      </c>
      <c r="D12" s="79" t="s">
        <v>647</v>
      </c>
      <c r="E12" s="1605">
        <f xml:space="preserve"> SUMIF('Phan tich vat tu'!$C:$C,$B12,'Phan tich vat tu'!$I:$I)</f>
        <v>53.901342</v>
      </c>
      <c r="F12" s="1617">
        <v>409100</v>
      </c>
      <c r="G12" s="248">
        <f t="shared" si="0"/>
        <v>22051039.012200002</v>
      </c>
      <c r="H12" s="122">
        <f xml:space="preserve"> SUMIF('Phan tich vat tu'!$C:$C,$B12,'Phan tich vat tu'!$J:$J)</f>
        <v>0.53901341999999997</v>
      </c>
      <c r="I12" s="122">
        <f t="shared" si="1"/>
        <v>220510.39012199998</v>
      </c>
      <c r="T12" s="394" t="s">
        <v>4010</v>
      </c>
    </row>
    <row r="13" spans="1:21" x14ac:dyDescent="0.2">
      <c r="A13" s="122">
        <f t="shared" si="2"/>
        <v>6</v>
      </c>
      <c r="B13" s="1603" t="s">
        <v>3972</v>
      </c>
      <c r="C13" s="122" t="s">
        <v>3973</v>
      </c>
      <c r="D13" s="79" t="s">
        <v>3025</v>
      </c>
      <c r="E13" s="1605">
        <f xml:space="preserve"> SUMIF('Phan tich vat tu'!$C:$C,$B13,'Phan tich vat tu'!$I:$I)</f>
        <v>21.42</v>
      </c>
      <c r="F13" s="1617">
        <v>20000</v>
      </c>
      <c r="G13" s="248">
        <f t="shared" si="0"/>
        <v>428400.00000000006</v>
      </c>
      <c r="H13" s="122">
        <f xml:space="preserve"> SUMIF('Phan tich vat tu'!$C:$C,$B13,'Phan tich vat tu'!$J:$J)</f>
        <v>0</v>
      </c>
      <c r="I13" s="122">
        <f t="shared" si="1"/>
        <v>0</v>
      </c>
      <c r="T13" s="394" t="s">
        <v>4007</v>
      </c>
    </row>
    <row r="14" spans="1:21" x14ac:dyDescent="0.2">
      <c r="A14" s="122">
        <f t="shared" si="2"/>
        <v>7</v>
      </c>
      <c r="B14" s="1603" t="s">
        <v>4052</v>
      </c>
      <c r="C14" s="122" t="s">
        <v>4053</v>
      </c>
      <c r="D14" s="79" t="s">
        <v>651</v>
      </c>
      <c r="E14" s="1605">
        <f xml:space="preserve"> SUMIF('Phan tich vat tu'!$C:$C,$B14,'Phan tich vat tu'!$I:$I)</f>
        <v>611.82000000000005</v>
      </c>
      <c r="F14" s="1611">
        <v>235000</v>
      </c>
      <c r="G14" s="248">
        <f t="shared" si="0"/>
        <v>143777700</v>
      </c>
      <c r="H14" s="122">
        <f xml:space="preserve"> SUMIF('Phan tich vat tu'!$C:$C,$B14,'Phan tich vat tu'!$J:$J)</f>
        <v>3.0591000000000004</v>
      </c>
      <c r="I14" s="122">
        <f t="shared" si="1"/>
        <v>718888.50000000012</v>
      </c>
      <c r="T14" s="394" t="s">
        <v>4054</v>
      </c>
    </row>
    <row r="15" spans="1:21" x14ac:dyDescent="0.2">
      <c r="A15" s="122">
        <f t="shared" si="2"/>
        <v>8</v>
      </c>
      <c r="B15" s="1603" t="s">
        <v>3948</v>
      </c>
      <c r="C15" s="122" t="s">
        <v>4044</v>
      </c>
      <c r="D15" s="79" t="s">
        <v>3153</v>
      </c>
      <c r="E15" s="1605">
        <f xml:space="preserve"> SUMIF('Phan tich vat tu'!$C:$C,$B15,'Phan tich vat tu'!$I:$I)</f>
        <v>894.70500000000015</v>
      </c>
      <c r="F15" s="1617">
        <v>1170</v>
      </c>
      <c r="G15" s="248">
        <f t="shared" si="0"/>
        <v>1046804.8500000002</v>
      </c>
      <c r="H15" s="122">
        <f xml:space="preserve"> SUMIF('Phan tich vat tu'!$C:$C,$B15,'Phan tich vat tu'!$J:$J)</f>
        <v>50.258250000000004</v>
      </c>
      <c r="I15" s="122">
        <f t="shared" si="1"/>
        <v>58802.152500000004</v>
      </c>
      <c r="T15" s="394" t="s">
        <v>3997</v>
      </c>
    </row>
    <row r="16" spans="1:21" x14ac:dyDescent="0.2">
      <c r="A16" s="122">
        <f t="shared" si="2"/>
        <v>9</v>
      </c>
      <c r="B16" s="1603" t="s">
        <v>3953</v>
      </c>
      <c r="C16" s="122" t="s">
        <v>3954</v>
      </c>
      <c r="D16" s="79" t="s">
        <v>3023</v>
      </c>
      <c r="E16" s="1605">
        <f xml:space="preserve"> SUMIF('Phan tich vat tu'!$C:$C,$B16,'Phan tich vat tu'!$I:$I)</f>
        <v>15228.3732</v>
      </c>
      <c r="F16" s="1617">
        <v>10</v>
      </c>
      <c r="G16" s="248">
        <f t="shared" si="0"/>
        <v>152283.73199999999</v>
      </c>
      <c r="H16" s="122">
        <f xml:space="preserve"> SUMIF('Phan tich vat tu'!$C:$C,$B16,'Phan tich vat tu'!$J:$J)</f>
        <v>135.14526000000001</v>
      </c>
      <c r="I16" s="122">
        <f t="shared" si="1"/>
        <v>1351.4526000000001</v>
      </c>
      <c r="T16" s="394" t="s">
        <v>4000</v>
      </c>
    </row>
    <row r="17" spans="1:21" x14ac:dyDescent="0.2">
      <c r="A17" s="122">
        <f t="shared" si="2"/>
        <v>10</v>
      </c>
      <c r="B17" s="1603" t="s">
        <v>3989</v>
      </c>
      <c r="C17" s="122" t="s">
        <v>4045</v>
      </c>
      <c r="D17" s="79" t="s">
        <v>3025</v>
      </c>
      <c r="E17" s="1605">
        <f xml:space="preserve"> SUMIF('Phan tich vat tu'!$C:$C,$B17,'Phan tich vat tu'!$I:$I)</f>
        <v>103.765</v>
      </c>
      <c r="F17" s="1617">
        <v>58155</v>
      </c>
      <c r="G17" s="248">
        <f t="shared" si="0"/>
        <v>6034453.5750000002</v>
      </c>
      <c r="H17" s="122">
        <f xml:space="preserve"> SUMIF('Phan tich vat tu'!$C:$C,$B17,'Phan tich vat tu'!$J:$J)</f>
        <v>1.03765</v>
      </c>
      <c r="I17" s="122">
        <f t="shared" si="1"/>
        <v>60344.535749999995</v>
      </c>
      <c r="T17" s="394" t="s">
        <v>4016</v>
      </c>
    </row>
    <row r="18" spans="1:21" x14ac:dyDescent="0.2">
      <c r="A18" s="122">
        <f t="shared" si="2"/>
        <v>11</v>
      </c>
      <c r="B18" s="1603" t="s">
        <v>3990</v>
      </c>
      <c r="C18" s="122" t="s">
        <v>4046</v>
      </c>
      <c r="D18" s="79" t="s">
        <v>3025</v>
      </c>
      <c r="E18" s="1605">
        <f xml:space="preserve"> SUMIF('Phan tich vat tu'!$C:$C,$B18,'Phan tich vat tu'!$I:$I)</f>
        <v>97.124040000000008</v>
      </c>
      <c r="F18" s="1617">
        <v>63564</v>
      </c>
      <c r="G18" s="248">
        <f t="shared" si="0"/>
        <v>6173592.4785600007</v>
      </c>
      <c r="H18" s="122">
        <f xml:space="preserve"> SUMIF('Phan tich vat tu'!$C:$C,$B18,'Phan tich vat tu'!$J:$J)</f>
        <v>0.97124040000000011</v>
      </c>
      <c r="I18" s="122">
        <f t="shared" si="1"/>
        <v>61735.924785600007</v>
      </c>
      <c r="T18" s="394" t="s">
        <v>4017</v>
      </c>
    </row>
    <row r="19" spans="1:21" x14ac:dyDescent="0.2">
      <c r="A19" s="122">
        <f t="shared" si="2"/>
        <v>12</v>
      </c>
      <c r="B19" s="1603" t="s">
        <v>3970</v>
      </c>
      <c r="C19" s="122" t="s">
        <v>3971</v>
      </c>
      <c r="D19" s="79" t="s">
        <v>3025</v>
      </c>
      <c r="E19" s="1605">
        <f xml:space="preserve"> SUMIF('Phan tich vat tu'!$C:$C,$B19,'Phan tich vat tu'!$I:$I)</f>
        <v>1005</v>
      </c>
      <c r="F19" s="1617">
        <v>14520</v>
      </c>
      <c r="G19" s="248">
        <f t="shared" si="0"/>
        <v>14592600</v>
      </c>
      <c r="H19" s="122">
        <f xml:space="preserve"> SUMIF('Phan tich vat tu'!$C:$C,$B19,'Phan tich vat tu'!$J:$J)</f>
        <v>0</v>
      </c>
      <c r="I19" s="122">
        <f t="shared" si="1"/>
        <v>0</v>
      </c>
      <c r="T19" s="394" t="s">
        <v>4006</v>
      </c>
    </row>
    <row r="20" spans="1:21" x14ac:dyDescent="0.2">
      <c r="A20" s="122">
        <f t="shared" si="2"/>
        <v>13</v>
      </c>
      <c r="B20" s="1603" t="s">
        <v>3949</v>
      </c>
      <c r="C20" s="122" t="s">
        <v>3950</v>
      </c>
      <c r="D20" s="79" t="s">
        <v>3025</v>
      </c>
      <c r="E20" s="1605">
        <f xml:space="preserve"> SUMIF('Phan tich vat tu'!$C:$C,$B20,'Phan tich vat tu'!$I:$I)</f>
        <v>24226.604786399999</v>
      </c>
      <c r="F20" s="1617">
        <v>1590</v>
      </c>
      <c r="G20" s="248">
        <f t="shared" si="0"/>
        <v>38520301.610376</v>
      </c>
      <c r="H20" s="122">
        <f xml:space="preserve"> SUMIF('Phan tich vat tu'!$C:$C,$B20,'Phan tich vat tu'!$J:$J)</f>
        <v>223.30346112000001</v>
      </c>
      <c r="I20" s="122">
        <f t="shared" si="1"/>
        <v>355052.50318080001</v>
      </c>
      <c r="T20" s="394" t="s">
        <v>3998</v>
      </c>
    </row>
    <row r="21" spans="1:21" x14ac:dyDescent="0.2">
      <c r="A21" s="122">
        <f t="shared" si="2"/>
        <v>14</v>
      </c>
      <c r="B21" s="1603" t="s">
        <v>3984</v>
      </c>
      <c r="C21" s="122" t="s">
        <v>3985</v>
      </c>
      <c r="D21" s="79" t="s">
        <v>3025</v>
      </c>
      <c r="E21" s="1605">
        <f xml:space="preserve"> SUMIF('Phan tich vat tu'!$C:$C,$B21,'Phan tich vat tu'!$I:$I)</f>
        <v>71.28</v>
      </c>
      <c r="F21" s="1617">
        <v>3000</v>
      </c>
      <c r="G21" s="248">
        <f t="shared" si="0"/>
        <v>213840</v>
      </c>
      <c r="H21" s="122">
        <f xml:space="preserve"> SUMIF('Phan tich vat tu'!$C:$C,$B21,'Phan tich vat tu'!$J:$J)</f>
        <v>0.35639999999999999</v>
      </c>
      <c r="I21" s="122">
        <f t="shared" si="1"/>
        <v>1069.2</v>
      </c>
      <c r="T21" s="394" t="s">
        <v>4013</v>
      </c>
    </row>
    <row r="22" spans="1:21" x14ac:dyDescent="0.2">
      <c r="A22" s="122">
        <f t="shared" si="2"/>
        <v>15</v>
      </c>
      <c r="B22" s="1603" t="s">
        <v>93</v>
      </c>
      <c r="C22" s="423" t="str">
        <f xml:space="preserve"> 'Phan tich vat tu'!$D$70</f>
        <v>Bạt lót đổ bê tông nền</v>
      </c>
      <c r="D22" s="79" t="str">
        <f xml:space="preserve"> 'Phan tich vat tu'!$E$70</f>
        <v>M2</v>
      </c>
      <c r="E22" s="1605">
        <f xml:space="preserve"> 'Phan tich vat tu'!$F$70</f>
        <v>594</v>
      </c>
      <c r="F22" s="1611">
        <v>2500</v>
      </c>
      <c r="G22" s="248">
        <f t="shared" si="0"/>
        <v>1485000</v>
      </c>
      <c r="H22" s="122"/>
      <c r="I22" s="122">
        <f t="shared" si="1"/>
        <v>0</v>
      </c>
    </row>
    <row r="23" spans="1:21" x14ac:dyDescent="0.2">
      <c r="A23" s="122"/>
      <c r="B23" s="1603" t="s">
        <v>3955</v>
      </c>
      <c r="C23" s="122" t="s">
        <v>3956</v>
      </c>
      <c r="D23" s="79" t="s">
        <v>74</v>
      </c>
      <c r="E23" s="1605"/>
      <c r="F23" s="1611"/>
      <c r="G23" s="248">
        <f xml:space="preserve"> I23</f>
        <v>1625820.7771464002</v>
      </c>
      <c r="H23" s="122"/>
      <c r="I23" s="122">
        <f xml:space="preserve"> SUM(I$8:I22)</f>
        <v>1625820.7771464002</v>
      </c>
    </row>
    <row r="24" spans="1:21" x14ac:dyDescent="0.2">
      <c r="A24" s="122"/>
      <c r="B24" s="1603" t="s">
        <v>4019</v>
      </c>
      <c r="C24" s="1612" t="s">
        <v>105</v>
      </c>
      <c r="D24" s="79"/>
      <c r="E24" s="1605"/>
      <c r="F24" s="1611"/>
      <c r="G24" s="1613">
        <f xml:space="preserve"> SUM(G$8:G23)</f>
        <v>276527244.61704236</v>
      </c>
      <c r="H24" s="122"/>
      <c r="I24" s="122"/>
    </row>
    <row r="25" spans="1:21" x14ac:dyDescent="0.2">
      <c r="A25" s="122"/>
      <c r="B25" s="1603" t="s">
        <v>89</v>
      </c>
      <c r="C25" s="1604" t="s">
        <v>3946</v>
      </c>
      <c r="D25" s="79"/>
      <c r="E25" s="1605"/>
      <c r="F25" s="1611"/>
      <c r="G25" s="248"/>
      <c r="H25" s="122"/>
      <c r="I25" s="122"/>
    </row>
    <row r="26" spans="1:21" x14ac:dyDescent="0.2">
      <c r="A26" s="122">
        <v>1</v>
      </c>
      <c r="B26" s="1603" t="s">
        <v>734</v>
      </c>
      <c r="C26" s="122" t="s">
        <v>3965</v>
      </c>
      <c r="D26" s="79" t="s">
        <v>2259</v>
      </c>
      <c r="E26" s="1605">
        <f xml:space="preserve"> SUMIF('Phan tich vat tu'!$C:$C,$B26,'Phan tich vat tu'!$I:$I)</f>
        <v>96.608159999999998</v>
      </c>
      <c r="F26" s="1617">
        <v>195231</v>
      </c>
      <c r="G26" s="248">
        <f t="shared" ref="G26:G30" si="3" xml:space="preserve"> $E26*F26</f>
        <v>18860907.68496</v>
      </c>
      <c r="H26" s="122">
        <f xml:space="preserve"> SUMIF('Phan tich vat tu'!$C:$C,$B26,'Phan tich vat tu'!$J:$J)</f>
        <v>0</v>
      </c>
      <c r="I26" s="122"/>
      <c r="T26" s="394" t="s">
        <v>4004</v>
      </c>
      <c r="U26" s="394" t="s">
        <v>66</v>
      </c>
    </row>
    <row r="27" spans="1:21" x14ac:dyDescent="0.2">
      <c r="A27" s="122">
        <f t="shared" ref="A27:A30" si="4" xml:space="preserve"> A26+1</f>
        <v>2</v>
      </c>
      <c r="B27" s="1603" t="s">
        <v>740</v>
      </c>
      <c r="C27" s="122" t="s">
        <v>3957</v>
      </c>
      <c r="D27" s="79" t="s">
        <v>2259</v>
      </c>
      <c r="E27" s="1605">
        <f xml:space="preserve"> SUMIF('Phan tich vat tu'!$C:$C,$B27,'Phan tich vat tu'!$I:$I)</f>
        <v>67.045400000000001</v>
      </c>
      <c r="F27" s="1617">
        <v>212856</v>
      </c>
      <c r="G27" s="248">
        <f t="shared" si="3"/>
        <v>14271015.6624</v>
      </c>
      <c r="H27" s="122">
        <f xml:space="preserve"> SUMIF('Phan tich vat tu'!$C:$C,$B27,'Phan tich vat tu'!$J:$J)</f>
        <v>0</v>
      </c>
      <c r="I27" s="122"/>
      <c r="T27" s="394" t="s">
        <v>4001</v>
      </c>
      <c r="U27" s="394" t="s">
        <v>66</v>
      </c>
    </row>
    <row r="28" spans="1:21" x14ac:dyDescent="0.2">
      <c r="A28" s="122">
        <f t="shared" si="4"/>
        <v>3</v>
      </c>
      <c r="B28" s="1603" t="s">
        <v>744</v>
      </c>
      <c r="C28" s="122" t="s">
        <v>3986</v>
      </c>
      <c r="D28" s="79" t="s">
        <v>2259</v>
      </c>
      <c r="E28" s="1605">
        <f xml:space="preserve"> SUMIF('Phan tich vat tu'!$C:$C,$B28,'Phan tich vat tu'!$I:$I)</f>
        <v>82.436999999999998</v>
      </c>
      <c r="F28" s="1617">
        <v>230481</v>
      </c>
      <c r="G28" s="248">
        <f t="shared" si="3"/>
        <v>19000162.197000001</v>
      </c>
      <c r="H28" s="122">
        <f xml:space="preserve"> SUMIF('Phan tich vat tu'!$C:$C,$B28,'Phan tich vat tu'!$J:$J)</f>
        <v>0</v>
      </c>
      <c r="I28" s="122"/>
      <c r="T28" s="394" t="s">
        <v>4014</v>
      </c>
      <c r="U28" s="394" t="s">
        <v>66</v>
      </c>
    </row>
    <row r="29" spans="1:21" x14ac:dyDescent="0.2">
      <c r="A29" s="122">
        <f t="shared" si="4"/>
        <v>4</v>
      </c>
      <c r="B29" s="1603" t="s">
        <v>776</v>
      </c>
      <c r="C29" s="122" t="s">
        <v>3945</v>
      </c>
      <c r="D29" s="79" t="s">
        <v>2259</v>
      </c>
      <c r="E29" s="1605">
        <f xml:space="preserve"> SUMIF('Phan tich vat tu'!$C:$C,$B29,'Phan tich vat tu'!$I:$I)</f>
        <v>4.9842000000000004</v>
      </c>
      <c r="F29" s="1617">
        <v>239519</v>
      </c>
      <c r="G29" s="248">
        <f t="shared" si="3"/>
        <v>1193810.5998000002</v>
      </c>
      <c r="H29" s="122">
        <f xml:space="preserve"> SUMIF('Phan tich vat tu'!$C:$C,$B29,'Phan tich vat tu'!$J:$J)</f>
        <v>0</v>
      </c>
      <c r="I29" s="122"/>
      <c r="T29" s="394" t="s">
        <v>3995</v>
      </c>
      <c r="U29" s="394" t="s">
        <v>66</v>
      </c>
    </row>
    <row r="30" spans="1:21" x14ac:dyDescent="0.2">
      <c r="A30" s="122">
        <f t="shared" si="4"/>
        <v>5</v>
      </c>
      <c r="B30" s="1603" t="s">
        <v>778</v>
      </c>
      <c r="C30" s="122" t="s">
        <v>3947</v>
      </c>
      <c r="D30" s="79" t="s">
        <v>2259</v>
      </c>
      <c r="E30" s="1605">
        <f xml:space="preserve"> SUMIF('Phan tich vat tu'!$C:$C,$B30,'Phan tich vat tu'!$I:$I)</f>
        <v>12.42944</v>
      </c>
      <c r="F30" s="1617">
        <v>247112</v>
      </c>
      <c r="G30" s="248">
        <f t="shared" si="3"/>
        <v>3071463.77728</v>
      </c>
      <c r="H30" s="122">
        <f xml:space="preserve"> SUMIF('Phan tich vat tu'!$C:$C,$B30,'Phan tich vat tu'!$J:$J)</f>
        <v>0</v>
      </c>
      <c r="I30" s="122"/>
      <c r="T30" s="394" t="s">
        <v>3996</v>
      </c>
      <c r="U30" s="394" t="s">
        <v>66</v>
      </c>
    </row>
    <row r="31" spans="1:21" x14ac:dyDescent="0.2">
      <c r="A31" s="122"/>
      <c r="B31" s="1603" t="s">
        <v>4020</v>
      </c>
      <c r="C31" s="1612" t="s">
        <v>105</v>
      </c>
      <c r="D31" s="79"/>
      <c r="E31" s="1605"/>
      <c r="F31" s="1611"/>
      <c r="G31" s="1613">
        <f xml:space="preserve"> SUM(G$26:G30)</f>
        <v>56397359.921439998</v>
      </c>
      <c r="H31" s="122"/>
      <c r="I31" s="122"/>
    </row>
    <row r="32" spans="1:21" x14ac:dyDescent="0.2">
      <c r="A32" s="122"/>
      <c r="B32" s="1603" t="s">
        <v>91</v>
      </c>
      <c r="C32" s="1604" t="s">
        <v>3962</v>
      </c>
      <c r="D32" s="79"/>
      <c r="E32" s="1605"/>
      <c r="F32" s="1611"/>
      <c r="G32" s="248"/>
      <c r="H32" s="122"/>
      <c r="I32" s="122"/>
    </row>
    <row r="33" spans="1:21" x14ac:dyDescent="0.2">
      <c r="A33" s="122">
        <v>1</v>
      </c>
      <c r="B33" s="1603" t="s">
        <v>3987</v>
      </c>
      <c r="C33" s="122" t="s">
        <v>3988</v>
      </c>
      <c r="D33" s="79" t="s">
        <v>3960</v>
      </c>
      <c r="E33" s="1605">
        <f xml:space="preserve"> SUMIF('Phan tich vat tu'!$C:$C,$B33,'Phan tich vat tu'!$I:$I)</f>
        <v>20.790000000000003</v>
      </c>
      <c r="F33" s="1617">
        <v>224762</v>
      </c>
      <c r="G33" s="248">
        <f t="shared" ref="G33:G38" si="5" xml:space="preserve"> $E33*F33</f>
        <v>4672801.9800000004</v>
      </c>
      <c r="H33" s="122">
        <f xml:space="preserve"> SUMIF('Phan tich vat tu'!$C:$C,$B33,'Phan tich vat tu'!$J:$J)</f>
        <v>0</v>
      </c>
      <c r="I33" s="122">
        <f t="shared" ref="I33:I38" si="6" xml:space="preserve"> $F33*H33</f>
        <v>0</v>
      </c>
      <c r="T33" s="394" t="s">
        <v>4015</v>
      </c>
      <c r="U33" s="394" t="s">
        <v>66</v>
      </c>
    </row>
    <row r="34" spans="1:21" x14ac:dyDescent="0.2">
      <c r="A34" s="122">
        <f t="shared" ref="A34:A39" si="7" xml:space="preserve"> A33+1</f>
        <v>2</v>
      </c>
      <c r="B34" s="1603" t="s">
        <v>3974</v>
      </c>
      <c r="C34" s="122" t="s">
        <v>3975</v>
      </c>
      <c r="D34" s="79" t="s">
        <v>3960</v>
      </c>
      <c r="E34" s="1605">
        <f xml:space="preserve"> SUMIF('Phan tich vat tu'!$C:$C,$B34,'Phan tich vat tu'!$I:$I)</f>
        <v>0.4</v>
      </c>
      <c r="F34" s="1617">
        <v>228044</v>
      </c>
      <c r="G34" s="248">
        <f t="shared" si="5"/>
        <v>91217.600000000006</v>
      </c>
      <c r="H34" s="122">
        <f xml:space="preserve"> SUMIF('Phan tich vat tu'!$C:$C,$B34,'Phan tich vat tu'!$J:$J)</f>
        <v>8.0000000000000002E-3</v>
      </c>
      <c r="I34" s="122">
        <f t="shared" si="6"/>
        <v>1824.3520000000001</v>
      </c>
      <c r="T34" s="394" t="s">
        <v>4008</v>
      </c>
      <c r="U34" s="394" t="s">
        <v>66</v>
      </c>
    </row>
    <row r="35" spans="1:21" x14ac:dyDescent="0.2">
      <c r="A35" s="122">
        <f t="shared" si="7"/>
        <v>3</v>
      </c>
      <c r="B35" s="1603" t="s">
        <v>3982</v>
      </c>
      <c r="C35" s="122" t="s">
        <v>3983</v>
      </c>
      <c r="D35" s="79" t="s">
        <v>3960</v>
      </c>
      <c r="E35" s="1605">
        <f xml:space="preserve"> SUMIF('Phan tich vat tu'!$C:$C,$B35,'Phan tich vat tu'!$I:$I)</f>
        <v>5.2866</v>
      </c>
      <c r="F35" s="1617">
        <v>222547</v>
      </c>
      <c r="G35" s="248">
        <f t="shared" si="5"/>
        <v>1176516.9702000001</v>
      </c>
      <c r="H35" s="122">
        <f xml:space="preserve"> SUMIF('Phan tich vat tu'!$C:$C,$B35,'Phan tich vat tu'!$J:$J)</f>
        <v>0</v>
      </c>
      <c r="I35" s="122">
        <f t="shared" si="6"/>
        <v>0</v>
      </c>
      <c r="T35" s="394" t="s">
        <v>4012</v>
      </c>
      <c r="U35" s="394" t="s">
        <v>66</v>
      </c>
    </row>
    <row r="36" spans="1:21" x14ac:dyDescent="0.2">
      <c r="A36" s="122">
        <f t="shared" si="7"/>
        <v>4</v>
      </c>
      <c r="B36" s="1603" t="s">
        <v>3966</v>
      </c>
      <c r="C36" s="122" t="s">
        <v>3967</v>
      </c>
      <c r="D36" s="79" t="s">
        <v>3960</v>
      </c>
      <c r="E36" s="1605">
        <f xml:space="preserve"> SUMIF('Phan tich vat tu'!$C:$C,$B36,'Phan tich vat tu'!$I:$I)</f>
        <v>1.3780799999999997</v>
      </c>
      <c r="F36" s="1617">
        <v>317190</v>
      </c>
      <c r="G36" s="248">
        <f t="shared" si="5"/>
        <v>437113.1951999999</v>
      </c>
      <c r="H36" s="122">
        <f xml:space="preserve"> SUMIF('Phan tich vat tu'!$C:$C,$B36,'Phan tich vat tu'!$J:$J)</f>
        <v>2.0671199999999994E-2</v>
      </c>
      <c r="I36" s="122">
        <f t="shared" si="6"/>
        <v>6556.6979279999978</v>
      </c>
      <c r="T36" s="394" t="s">
        <v>4005</v>
      </c>
      <c r="U36" s="394" t="s">
        <v>66</v>
      </c>
    </row>
    <row r="37" spans="1:21" x14ac:dyDescent="0.2">
      <c r="A37" s="122">
        <f t="shared" si="7"/>
        <v>5</v>
      </c>
      <c r="B37" s="1603" t="s">
        <v>3980</v>
      </c>
      <c r="C37" s="122" t="s">
        <v>3981</v>
      </c>
      <c r="D37" s="79" t="s">
        <v>3960</v>
      </c>
      <c r="E37" s="1605">
        <f xml:space="preserve"> SUMIF('Phan tich vat tu'!$C:$C,$B37,'Phan tich vat tu'!$I:$I)</f>
        <v>5.6429999999999998</v>
      </c>
      <c r="F37" s="1617">
        <v>288447</v>
      </c>
      <c r="G37" s="248">
        <f t="shared" si="5"/>
        <v>1627706.4209999999</v>
      </c>
      <c r="H37" s="122">
        <f xml:space="preserve"> SUMIF('Phan tich vat tu'!$C:$C,$B37,'Phan tich vat tu'!$J:$J)</f>
        <v>0</v>
      </c>
      <c r="I37" s="122">
        <f t="shared" si="6"/>
        <v>0</v>
      </c>
      <c r="T37" s="394" t="s">
        <v>4011</v>
      </c>
      <c r="U37" s="394" t="s">
        <v>66</v>
      </c>
    </row>
    <row r="38" spans="1:21" x14ac:dyDescent="0.2">
      <c r="A38" s="122">
        <f t="shared" si="7"/>
        <v>6</v>
      </c>
      <c r="B38" s="1603" t="s">
        <v>3958</v>
      </c>
      <c r="C38" s="122" t="s">
        <v>3959</v>
      </c>
      <c r="D38" s="79" t="s">
        <v>3960</v>
      </c>
      <c r="E38" s="1605">
        <f xml:space="preserve"> SUMIF('Phan tich vat tu'!$C:$C,$B38,'Phan tich vat tu'!$I:$I)</f>
        <v>1.7850000000000001E-2</v>
      </c>
      <c r="F38" s="1617">
        <v>232983</v>
      </c>
      <c r="G38" s="248">
        <f t="shared" si="5"/>
        <v>4158.7465500000008</v>
      </c>
      <c r="H38" s="122">
        <f xml:space="preserve"> SUMIF('Phan tich vat tu'!$C:$C,$B38,'Phan tich vat tu'!$J:$J)</f>
        <v>0</v>
      </c>
      <c r="I38" s="122">
        <f t="shared" si="6"/>
        <v>0</v>
      </c>
      <c r="T38" s="394" t="s">
        <v>4002</v>
      </c>
      <c r="U38" s="394" t="s">
        <v>66</v>
      </c>
    </row>
    <row r="39" spans="1:21" x14ac:dyDescent="0.2">
      <c r="A39" s="122">
        <f t="shared" si="7"/>
        <v>7</v>
      </c>
      <c r="B39" s="1603" t="s">
        <v>3968</v>
      </c>
      <c r="C39" s="122" t="s">
        <v>3969</v>
      </c>
      <c r="D39" s="79" t="s">
        <v>74</v>
      </c>
      <c r="E39" s="1605"/>
      <c r="F39" s="1611"/>
      <c r="G39" s="248">
        <f xml:space="preserve"> I39</f>
        <v>8381.0499279999985</v>
      </c>
      <c r="H39" s="122"/>
      <c r="I39" s="122">
        <f xml:space="preserve"> SUM(I$33:I38)</f>
        <v>8381.0499279999985</v>
      </c>
    </row>
    <row r="40" spans="1:21" x14ac:dyDescent="0.2">
      <c r="A40" s="123"/>
      <c r="B40" s="1606" t="s">
        <v>4021</v>
      </c>
      <c r="C40" s="1614" t="s">
        <v>105</v>
      </c>
      <c r="D40" s="83"/>
      <c r="E40" s="1607"/>
      <c r="F40" s="1615"/>
      <c r="G40" s="1616">
        <f xml:space="preserve"> SUM(G$33:G39)</f>
        <v>8017895.9628780009</v>
      </c>
      <c r="H40" s="123"/>
      <c r="I40" s="123"/>
    </row>
  </sheetData>
  <mergeCells count="5">
    <mergeCell ref="A5:A6"/>
    <mergeCell ref="B5:B6"/>
    <mergeCell ref="C5:C6"/>
    <mergeCell ref="D5:D6"/>
    <mergeCell ref="L5:L6"/>
  </mergeCells>
  <phoneticPr fontId="2" type="noConversion"/>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Giavua"/>
  <dimension ref="A1:I5"/>
  <sheetViews>
    <sheetView showGridLines="0" workbookViewId="0">
      <selection activeCell="D13" sqref="D13"/>
    </sheetView>
  </sheetViews>
  <sheetFormatPr defaultRowHeight="15" outlineLevelCol="1" x14ac:dyDescent="0.2"/>
  <cols>
    <col min="1" max="1" width="4.85546875" style="119" customWidth="1"/>
    <col min="2" max="2" width="11.28515625" style="119" customWidth="1"/>
    <col min="3" max="3" width="11.5703125" style="119" hidden="1" customWidth="1" outlineLevel="1"/>
    <col min="4" max="4" width="38.140625" style="119" customWidth="1" collapsed="1"/>
    <col min="5" max="5" width="7.140625" style="124" bestFit="1" customWidth="1"/>
    <col min="6" max="6" width="11.140625" style="262" customWidth="1"/>
    <col min="7" max="7" width="6.140625" style="119" customWidth="1"/>
    <col min="8" max="8" width="8.140625" style="259" bestFit="1" customWidth="1"/>
    <col min="9" max="9" width="10.5703125" style="259" bestFit="1" customWidth="1"/>
    <col min="10" max="12" width="9.140625" style="119" customWidth="1"/>
    <col min="13" max="16384" width="9.140625" style="119"/>
  </cols>
  <sheetData>
    <row r="1" spans="1:9" s="103" customFormat="1" ht="20.25" x14ac:dyDescent="0.3">
      <c r="A1" s="242" t="s">
        <v>3027</v>
      </c>
      <c r="B1" s="243"/>
      <c r="C1" s="243"/>
      <c r="D1" s="243"/>
      <c r="E1" s="243"/>
      <c r="F1" s="260"/>
      <c r="G1" s="243"/>
      <c r="H1" s="244"/>
      <c r="I1" s="244"/>
    </row>
    <row r="2" spans="1:9" s="264" customFormat="1" ht="14.25" x14ac:dyDescent="0.2">
      <c r="A2" s="263" t="str">
        <f>"CÔNG TRÌNH : "&amp;'Bia du toan'!$G$12</f>
        <v>CÔNG TRÌNH : TRƯỜNG CAO ĐẲNG LÝ TỰ TRỌNG</v>
      </c>
      <c r="B2" s="263"/>
      <c r="C2" s="263"/>
      <c r="D2" s="263"/>
      <c r="E2" s="263"/>
      <c r="F2" s="265"/>
      <c r="G2" s="263"/>
      <c r="H2" s="266"/>
      <c r="I2" s="266"/>
    </row>
    <row r="3" spans="1:9" s="264" customFormat="1" ht="14.25" x14ac:dyDescent="0.2">
      <c r="A3" s="263" t="str">
        <f>"HẠNG MỤC : "&amp; 'Bia du toan'!$G$13</f>
        <v>HẠNG MỤC : CẢI TẠO THƯ VIỆN GIAI ĐOẠN 2 - NĂM 2019</v>
      </c>
      <c r="B3" s="263"/>
      <c r="C3" s="263"/>
      <c r="D3" s="263"/>
      <c r="E3" s="263"/>
      <c r="F3" s="265"/>
      <c r="G3" s="263"/>
      <c r="H3" s="266"/>
      <c r="I3" s="266"/>
    </row>
    <row r="4" spans="1:9" s="103" customFormat="1" x14ac:dyDescent="0.25">
      <c r="A4" s="243"/>
      <c r="B4" s="243"/>
      <c r="C4" s="243"/>
      <c r="D4" s="243"/>
      <c r="E4" s="243"/>
      <c r="F4" s="260"/>
      <c r="G4" s="243"/>
      <c r="H4" s="244"/>
      <c r="I4" s="244"/>
    </row>
    <row r="5" spans="1:9" s="103" customFormat="1" ht="28.5" customHeight="1" x14ac:dyDescent="0.25">
      <c r="A5" s="608" t="s">
        <v>15</v>
      </c>
      <c r="B5" s="395" t="s">
        <v>266</v>
      </c>
      <c r="C5" s="608" t="s">
        <v>256</v>
      </c>
      <c r="D5" s="608" t="s">
        <v>257</v>
      </c>
      <c r="E5" s="608" t="s">
        <v>236</v>
      </c>
      <c r="F5" s="287" t="s">
        <v>233</v>
      </c>
      <c r="G5" s="397" t="s">
        <v>241</v>
      </c>
      <c r="H5" s="397" t="s">
        <v>238</v>
      </c>
      <c r="I5" s="397" t="s">
        <v>239</v>
      </c>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THKP2"/>
  <dimension ref="A1:F46"/>
  <sheetViews>
    <sheetView showZeros="0" topLeftCell="A29" workbookViewId="0">
      <selection activeCell="A36" sqref="A36:G47"/>
    </sheetView>
  </sheetViews>
  <sheetFormatPr defaultRowHeight="15.75" outlineLevelRow="1" outlineLevelCol="1" x14ac:dyDescent="0.25"/>
  <cols>
    <col min="1" max="1" width="4.42578125" style="2" bestFit="1" customWidth="1"/>
    <col min="2" max="2" width="9.140625" style="1064" hidden="1" customWidth="1" outlineLevel="1"/>
    <col min="3" max="3" width="37.5703125" style="103" customWidth="1" collapsed="1"/>
    <col min="4" max="4" width="19.140625" style="2" customWidth="1"/>
    <col min="5" max="5" width="23.7109375" style="2" customWidth="1"/>
    <col min="6" max="6" width="16" style="188" bestFit="1" customWidth="1"/>
    <col min="7" max="16384" width="9.140625" style="188"/>
  </cols>
  <sheetData>
    <row r="1" spans="1:6" ht="20.25" x14ac:dyDescent="0.25">
      <c r="A1" s="58" t="s">
        <v>315</v>
      </c>
      <c r="B1" s="1052"/>
      <c r="C1" s="243"/>
      <c r="D1" s="40"/>
      <c r="E1" s="40"/>
      <c r="F1" s="652"/>
    </row>
    <row r="2" spans="1:6" s="392" customFormat="1" x14ac:dyDescent="0.2">
      <c r="A2" s="105" t="str">
        <f>"CÔNG TRÌNH : "&amp;'Bia du toan'!$G$12</f>
        <v>CÔNG TRÌNH : TRƯỜNG CAO ĐẲNG LÝ TỰ TRỌNG</v>
      </c>
      <c r="B2" s="1053"/>
      <c r="C2" s="263"/>
      <c r="D2" s="105"/>
      <c r="E2" s="105"/>
      <c r="F2" s="653"/>
    </row>
    <row r="3" spans="1:6" s="392" customFormat="1" x14ac:dyDescent="0.2">
      <c r="A3" s="105" t="str">
        <f>"HẠNG MỤC : "&amp; 'Bia du toan'!$G$13</f>
        <v>HẠNG MỤC : CẢI TẠO THƯ VIỆN GIAI ĐOẠN 2 - NĂM 2019</v>
      </c>
      <c r="B3" s="1053"/>
      <c r="C3" s="263"/>
      <c r="D3" s="105"/>
      <c r="E3" s="105"/>
    </row>
    <row r="4" spans="1:6" x14ac:dyDescent="0.25">
      <c r="A4" s="40"/>
      <c r="B4" s="1052"/>
      <c r="C4" s="243"/>
      <c r="D4" s="40"/>
      <c r="E4" s="40"/>
    </row>
    <row r="5" spans="1:6" ht="33" hidden="1" outlineLevel="1" x14ac:dyDescent="0.3">
      <c r="A5" s="40"/>
      <c r="B5" s="1054" t="s">
        <v>3387</v>
      </c>
      <c r="C5" s="1142" t="s">
        <v>3399</v>
      </c>
      <c r="D5" s="40"/>
      <c r="E5" s="40"/>
    </row>
    <row r="6" spans="1:6" ht="34.5" hidden="1" outlineLevel="1" x14ac:dyDescent="0.35">
      <c r="A6" s="40"/>
      <c r="B6" s="1054" t="s">
        <v>3388</v>
      </c>
      <c r="C6" s="1143" t="s">
        <v>3400</v>
      </c>
      <c r="D6" s="40"/>
      <c r="E6" s="40"/>
    </row>
    <row r="7" spans="1:6" ht="31.5" hidden="1" outlineLevel="1" x14ac:dyDescent="0.25">
      <c r="A7" s="40"/>
      <c r="B7" s="1055" t="s">
        <v>3389</v>
      </c>
      <c r="C7" s="1142" t="s">
        <v>3401</v>
      </c>
      <c r="D7" s="40"/>
      <c r="E7" s="40"/>
    </row>
    <row r="8" spans="1:6" ht="31.5" hidden="1" outlineLevel="1" x14ac:dyDescent="0.25">
      <c r="A8" s="40"/>
      <c r="B8" s="1054" t="s">
        <v>3390</v>
      </c>
      <c r="C8" s="1143" t="s">
        <v>3402</v>
      </c>
      <c r="D8" s="40"/>
      <c r="E8" s="40"/>
    </row>
    <row r="9" spans="1:6" collapsed="1" x14ac:dyDescent="0.25">
      <c r="A9" s="40"/>
      <c r="B9" s="1052"/>
      <c r="C9" s="243"/>
      <c r="D9" s="40"/>
      <c r="E9" s="40"/>
    </row>
    <row r="10" spans="1:6" s="1156" customFormat="1" ht="12.75" x14ac:dyDescent="0.2">
      <c r="A10" s="1153" t="s">
        <v>15</v>
      </c>
      <c r="B10" s="1154" t="s">
        <v>293</v>
      </c>
      <c r="C10" s="1155" t="s">
        <v>294</v>
      </c>
      <c r="D10" s="1153" t="s">
        <v>272</v>
      </c>
      <c r="E10" s="1153" t="s">
        <v>270</v>
      </c>
      <c r="F10" s="1153" t="s">
        <v>239</v>
      </c>
    </row>
    <row r="11" spans="1:6" s="640" customFormat="1" ht="16.5" x14ac:dyDescent="0.2">
      <c r="A11" s="44"/>
      <c r="B11" s="1057"/>
      <c r="C11" s="46" t="s">
        <v>295</v>
      </c>
      <c r="D11" s="44"/>
      <c r="E11" s="44"/>
      <c r="F11" s="1157"/>
    </row>
    <row r="12" spans="1:6" s="640" customFormat="1" ht="16.5" x14ac:dyDescent="0.2">
      <c r="A12" s="44"/>
      <c r="B12" s="1057" t="s">
        <v>296</v>
      </c>
      <c r="C12" s="46" t="s">
        <v>86</v>
      </c>
      <c r="D12" s="44" t="s">
        <v>296</v>
      </c>
      <c r="E12" s="44" t="s">
        <v>1166</v>
      </c>
      <c r="F12" s="1157">
        <f xml:space="preserve"> 'Gia tri vat tu'!$G$24</f>
        <v>276527244.61704236</v>
      </c>
    </row>
    <row r="13" spans="1:6" s="640" customFormat="1" ht="16.5" hidden="1" x14ac:dyDescent="0.2">
      <c r="A13" s="44"/>
      <c r="B13" s="1057" t="s">
        <v>297</v>
      </c>
      <c r="C13" s="46" t="s">
        <v>298</v>
      </c>
      <c r="D13" s="44" t="s">
        <v>297</v>
      </c>
      <c r="E13" s="44"/>
      <c r="F13" s="1157"/>
    </row>
    <row r="14" spans="1:6" s="640" customFormat="1" ht="16.5" x14ac:dyDescent="0.2">
      <c r="A14" s="44"/>
      <c r="B14" s="1057" t="s">
        <v>299</v>
      </c>
      <c r="C14" s="46" t="s">
        <v>88</v>
      </c>
      <c r="D14" s="44" t="s">
        <v>299</v>
      </c>
      <c r="E14" s="44" t="s">
        <v>1166</v>
      </c>
      <c r="F14" s="1157">
        <f xml:space="preserve"> 'Gia tri vat tu'!$G$31</f>
        <v>56397359.921439998</v>
      </c>
    </row>
    <row r="15" spans="1:6" s="640" customFormat="1" ht="16.5" hidden="1" x14ac:dyDescent="0.2">
      <c r="A15" s="44"/>
      <c r="B15" s="1057" t="s">
        <v>3114</v>
      </c>
      <c r="C15" s="46" t="s">
        <v>3833</v>
      </c>
      <c r="D15" s="44" t="s">
        <v>3114</v>
      </c>
      <c r="E15" s="44"/>
      <c r="F15" s="1157"/>
    </row>
    <row r="16" spans="1:6" s="640" customFormat="1" ht="16.5" x14ac:dyDescent="0.2">
      <c r="A16" s="44"/>
      <c r="B16" s="1057" t="s">
        <v>300</v>
      </c>
      <c r="C16" s="46" t="s">
        <v>301</v>
      </c>
      <c r="D16" s="44" t="s">
        <v>300</v>
      </c>
      <c r="E16" s="44" t="s">
        <v>1166</v>
      </c>
      <c r="F16" s="1157">
        <f xml:space="preserve"> 'Gia tri vat tu'!$G$40</f>
        <v>8017895.9628780009</v>
      </c>
    </row>
    <row r="17" spans="1:6" s="640" customFormat="1" ht="16.5" hidden="1" x14ac:dyDescent="0.2">
      <c r="A17" s="44"/>
      <c r="B17" s="1057" t="s">
        <v>3116</v>
      </c>
      <c r="C17" s="46" t="s">
        <v>3834</v>
      </c>
      <c r="D17" s="44" t="s">
        <v>3116</v>
      </c>
      <c r="E17" s="44"/>
      <c r="F17" s="1157"/>
    </row>
    <row r="18" spans="1:6" s="640" customFormat="1" ht="16.5" x14ac:dyDescent="0.2">
      <c r="A18" s="44" t="s">
        <v>59</v>
      </c>
      <c r="B18" s="1057"/>
      <c r="C18" s="46" t="s">
        <v>302</v>
      </c>
      <c r="D18" s="44"/>
      <c r="E18" s="44"/>
      <c r="F18" s="1157"/>
    </row>
    <row r="19" spans="1:6" s="640" customFormat="1" ht="16.5" x14ac:dyDescent="0.2">
      <c r="A19" s="44">
        <v>1</v>
      </c>
      <c r="B19" s="1057" t="s">
        <v>87</v>
      </c>
      <c r="C19" s="46" t="s">
        <v>86</v>
      </c>
      <c r="D19" s="44" t="s">
        <v>87</v>
      </c>
      <c r="E19" s="44" t="str">
        <f xml:space="preserve"> "A1 x "&amp; Config!$D$9</f>
        <v>A1 x 1</v>
      </c>
      <c r="F19" s="1157">
        <f xml:space="preserve"> F$12*Config!$D$9</f>
        <v>276527244.61704236</v>
      </c>
    </row>
    <row r="20" spans="1:6" s="640" customFormat="1" ht="16.5" x14ac:dyDescent="0.2">
      <c r="A20" s="44">
        <v>2</v>
      </c>
      <c r="B20" s="1057" t="s">
        <v>89</v>
      </c>
      <c r="C20" s="46" t="s">
        <v>88</v>
      </c>
      <c r="D20" s="44" t="s">
        <v>89</v>
      </c>
      <c r="E20" s="44" t="str">
        <f xml:space="preserve"> "B1 x "&amp; Config!$D$10</f>
        <v>B1 x 1</v>
      </c>
      <c r="F20" s="1157">
        <f xml:space="preserve"> F$14*Config!$D$10</f>
        <v>56397359.921439998</v>
      </c>
    </row>
    <row r="21" spans="1:6" s="640" customFormat="1" ht="16.5" x14ac:dyDescent="0.2">
      <c r="A21" s="44">
        <v>3</v>
      </c>
      <c r="B21" s="1057" t="s">
        <v>303</v>
      </c>
      <c r="C21" s="46" t="s">
        <v>90</v>
      </c>
      <c r="D21" s="44" t="s">
        <v>303</v>
      </c>
      <c r="E21" s="44" t="str">
        <f xml:space="preserve"> "C1 x "&amp; Config!$D$11</f>
        <v>C1 x 1</v>
      </c>
      <c r="F21" s="1157">
        <f xml:space="preserve"> F$16*Config!$D$11</f>
        <v>8017895.9628780009</v>
      </c>
    </row>
    <row r="22" spans="1:6" s="640" customFormat="1" ht="16.5" hidden="1" x14ac:dyDescent="0.2">
      <c r="A22" s="44">
        <v>4</v>
      </c>
      <c r="B22" s="1057" t="s">
        <v>93</v>
      </c>
      <c r="C22" s="46" t="s">
        <v>92</v>
      </c>
      <c r="D22" s="44" t="s">
        <v>93</v>
      </c>
      <c r="E22" s="44"/>
      <c r="F22" s="1157">
        <v>0</v>
      </c>
    </row>
    <row r="23" spans="1:6" s="644" customFormat="1" ht="16.5" x14ac:dyDescent="0.2">
      <c r="A23" s="655"/>
      <c r="B23" s="1058" t="s">
        <v>95</v>
      </c>
      <c r="C23" s="49" t="s">
        <v>1153</v>
      </c>
      <c r="D23" s="655" t="s">
        <v>95</v>
      </c>
      <c r="E23" s="655" t="s">
        <v>1168</v>
      </c>
      <c r="F23" s="1167">
        <f xml:space="preserve"> F$19+F$20+F$21</f>
        <v>340942500.50136036</v>
      </c>
    </row>
    <row r="24" spans="1:6" s="640" customFormat="1" ht="16.5" x14ac:dyDescent="0.2">
      <c r="A24" s="44" t="s">
        <v>64</v>
      </c>
      <c r="B24" s="1057" t="s">
        <v>96</v>
      </c>
      <c r="C24" s="46" t="s">
        <v>75</v>
      </c>
      <c r="D24" s="44" t="s">
        <v>96</v>
      </c>
      <c r="E24" s="44" t="str">
        <f xml:space="preserve"> "T x "&amp; Config!$D$13 &amp;"%"</f>
        <v>T x 6.5%</v>
      </c>
      <c r="F24" s="1157">
        <f xml:space="preserve"> F$23*Config!$D$13%</f>
        <v>22161262.532588422</v>
      </c>
    </row>
    <row r="25" spans="1:6" s="644" customFormat="1" ht="16.5" x14ac:dyDescent="0.2">
      <c r="A25" s="655"/>
      <c r="B25" s="1058" t="s">
        <v>97</v>
      </c>
      <c r="C25" s="49" t="s">
        <v>304</v>
      </c>
      <c r="D25" s="655" t="s">
        <v>97</v>
      </c>
      <c r="E25" s="655" t="s">
        <v>305</v>
      </c>
      <c r="F25" s="1167">
        <f xml:space="preserve"> F$23+F$24</f>
        <v>363103763.03394878</v>
      </c>
    </row>
    <row r="26" spans="1:6" s="640" customFormat="1" ht="16.5" x14ac:dyDescent="0.2">
      <c r="A26" s="44" t="s">
        <v>79</v>
      </c>
      <c r="B26" s="1057" t="s">
        <v>98</v>
      </c>
      <c r="C26" s="46" t="s">
        <v>76</v>
      </c>
      <c r="D26" s="44" t="s">
        <v>98</v>
      </c>
      <c r="E26" s="44" t="str">
        <f xml:space="preserve"> "(T+C) x "&amp; Config!$D$14 &amp;"%"</f>
        <v>(T+C) x 5.5%</v>
      </c>
      <c r="F26" s="1157">
        <f xml:space="preserve"> (F$23+F$24)*Config!$D$14%</f>
        <v>19970706.966867182</v>
      </c>
    </row>
    <row r="27" spans="1:6" s="712" customFormat="1" ht="17.25" x14ac:dyDescent="0.2">
      <c r="A27" s="713"/>
      <c r="B27" s="1059" t="s">
        <v>99</v>
      </c>
      <c r="C27" s="51" t="s">
        <v>306</v>
      </c>
      <c r="D27" s="713" t="s">
        <v>99</v>
      </c>
      <c r="E27" s="713" t="s">
        <v>307</v>
      </c>
      <c r="F27" s="1170">
        <f xml:space="preserve"> F$23+F$24+F$26</f>
        <v>383074470.00081599</v>
      </c>
    </row>
    <row r="28" spans="1:6" s="640" customFormat="1" ht="16.5" x14ac:dyDescent="0.2">
      <c r="A28" s="44" t="s">
        <v>308</v>
      </c>
      <c r="B28" s="1057" t="s">
        <v>101</v>
      </c>
      <c r="C28" s="46" t="s">
        <v>77</v>
      </c>
      <c r="D28" s="44" t="s">
        <v>101</v>
      </c>
      <c r="E28" s="44" t="str">
        <f xml:space="preserve"> "G x "&amp; Config!$D$15 &amp;"%"</f>
        <v>G x 10%</v>
      </c>
      <c r="F28" s="1157">
        <f xml:space="preserve"> F$27*Config!$D$15%</f>
        <v>38307447.000081599</v>
      </c>
    </row>
    <row r="29" spans="1:6" s="644" customFormat="1" ht="31.5" x14ac:dyDescent="0.2">
      <c r="A29" s="655"/>
      <c r="B29" s="1058" t="s">
        <v>102</v>
      </c>
      <c r="C29" s="51" t="s">
        <v>309</v>
      </c>
      <c r="D29" s="655" t="s">
        <v>102</v>
      </c>
      <c r="E29" s="655" t="s">
        <v>1169</v>
      </c>
      <c r="F29" s="1167">
        <f xml:space="preserve"> F$27+F$28</f>
        <v>421381917.00089759</v>
      </c>
    </row>
    <row r="30" spans="1:6" s="640" customFormat="1" ht="31.5" hidden="1" x14ac:dyDescent="0.2">
      <c r="A30" s="44" t="s">
        <v>1345</v>
      </c>
      <c r="B30" s="1057" t="s">
        <v>104</v>
      </c>
      <c r="C30" s="597" t="s">
        <v>1394</v>
      </c>
      <c r="D30" s="44"/>
      <c r="E30" s="44"/>
      <c r="F30" s="1157">
        <v>0</v>
      </c>
    </row>
    <row r="31" spans="1:6" s="644" customFormat="1" ht="16.5" x14ac:dyDescent="0.2">
      <c r="A31" s="595"/>
      <c r="B31" s="1060" t="s">
        <v>106</v>
      </c>
      <c r="C31" s="595" t="s">
        <v>1395</v>
      </c>
      <c r="D31" s="595"/>
      <c r="E31" s="595" t="s">
        <v>102</v>
      </c>
      <c r="F31" s="1171">
        <f xml:space="preserve"> F$29+F$30</f>
        <v>421381917.00089759</v>
      </c>
    </row>
    <row r="32" spans="1:6" s="640" customFormat="1" x14ac:dyDescent="0.2">
      <c r="A32" s="598"/>
      <c r="B32" s="1172" t="s">
        <v>1396</v>
      </c>
      <c r="C32" s="599" t="e">
        <f ca="1" xml:space="preserve"> "Bằng chữ: "&amp;[3]!docsoUNI($F$31)&amp;" đồng"</f>
        <v>#NAME?</v>
      </c>
      <c r="D32" s="600"/>
      <c r="E32" s="600"/>
      <c r="F32" s="1173"/>
    </row>
    <row r="33" spans="1:6" s="640" customFormat="1" hidden="1" x14ac:dyDescent="0.2">
      <c r="A33" s="598"/>
      <c r="B33" s="1569" t="s">
        <v>3835</v>
      </c>
      <c r="C33" s="599" t="s">
        <v>3836</v>
      </c>
      <c r="D33" s="600"/>
      <c r="E33" s="600"/>
      <c r="F33" s="640">
        <v>383074470.00081599</v>
      </c>
    </row>
    <row r="34" spans="1:6" s="640" customFormat="1" x14ac:dyDescent="0.25">
      <c r="A34" s="6"/>
      <c r="B34" s="1061"/>
      <c r="C34" s="1145"/>
      <c r="D34" s="6"/>
      <c r="E34" s="6"/>
    </row>
    <row r="35" spans="1:6" s="640" customFormat="1" x14ac:dyDescent="0.25">
      <c r="A35" s="53"/>
      <c r="B35" s="1062"/>
      <c r="C35" s="1146"/>
      <c r="D35" s="53"/>
      <c r="E35" s="53"/>
    </row>
    <row r="36" spans="1:6" s="640" customFormat="1" x14ac:dyDescent="0.25">
      <c r="A36" s="6"/>
      <c r="B36" s="1061"/>
      <c r="C36" s="1145"/>
      <c r="D36" s="6"/>
      <c r="E36" s="6"/>
    </row>
    <row r="37" spans="1:6" s="640" customFormat="1" x14ac:dyDescent="0.25">
      <c r="A37" s="6"/>
      <c r="B37" s="1061"/>
      <c r="C37" s="1145"/>
      <c r="D37" s="6"/>
      <c r="E37" s="6"/>
    </row>
    <row r="38" spans="1:6" s="640" customFormat="1" x14ac:dyDescent="0.25">
      <c r="A38" s="20"/>
      <c r="B38" s="1063"/>
      <c r="C38" s="1147"/>
      <c r="D38" s="8"/>
      <c r="E38" s="8"/>
    </row>
    <row r="39" spans="1:6" s="640" customFormat="1" x14ac:dyDescent="0.25">
      <c r="A39" s="6"/>
      <c r="B39" s="1061"/>
      <c r="C39" s="1145"/>
      <c r="D39" s="6"/>
      <c r="E39" s="6"/>
    </row>
    <row r="40" spans="1:6" s="640" customFormat="1" x14ac:dyDescent="0.25">
      <c r="A40" s="6"/>
      <c r="B40" s="1061"/>
      <c r="C40" s="1145"/>
      <c r="D40" s="6"/>
      <c r="E40" s="6"/>
    </row>
    <row r="41" spans="1:6" s="640" customFormat="1" x14ac:dyDescent="0.25">
      <c r="A41" s="6"/>
      <c r="B41" s="1061"/>
      <c r="C41" s="1145"/>
      <c r="D41" s="6"/>
      <c r="E41" s="6"/>
    </row>
    <row r="42" spans="1:6" s="640" customFormat="1" x14ac:dyDescent="0.25">
      <c r="A42" s="6"/>
      <c r="B42" s="1061"/>
      <c r="C42" s="1145"/>
      <c r="D42" s="6"/>
      <c r="E42" s="6"/>
    </row>
    <row r="43" spans="1:6" s="640" customFormat="1" x14ac:dyDescent="0.25">
      <c r="A43" s="6"/>
      <c r="B43" s="1061"/>
      <c r="C43" s="1145"/>
      <c r="D43" s="6"/>
      <c r="E43" s="6"/>
    </row>
    <row r="44" spans="1:6" s="640" customFormat="1" x14ac:dyDescent="0.25">
      <c r="A44" s="6"/>
      <c r="B44" s="1061"/>
      <c r="C44" s="1145"/>
      <c r="D44" s="6"/>
      <c r="E44" s="6"/>
    </row>
    <row r="45" spans="1:6" s="640" customFormat="1" x14ac:dyDescent="0.25">
      <c r="A45" s="6"/>
      <c r="B45" s="1061"/>
      <c r="C45" s="1148"/>
      <c r="D45" s="9"/>
      <c r="E45" s="57"/>
    </row>
    <row r="46" spans="1:6" s="640" customFormat="1" x14ac:dyDescent="0.25">
      <c r="A46" s="6"/>
      <c r="B46" s="1061"/>
      <c r="C46" s="1145"/>
      <c r="D46" s="9"/>
      <c r="E46" s="9"/>
    </row>
  </sheetData>
  <dataValidations xWindow="125" yWindow="425" count="1">
    <dataValidation allowBlank="1" showInputMessage="1" showErrorMessage="1" promptTitle="Lưu ý" prompt="Bạn không được xóa và sửa thông thin trong cột này" sqref="B1:B1048576"/>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THKP_Doc"/>
  <dimension ref="A1:I43"/>
  <sheetViews>
    <sheetView workbookViewId="0">
      <selection activeCell="A7" sqref="A7:IV17"/>
    </sheetView>
  </sheetViews>
  <sheetFormatPr defaultRowHeight="15.75" outlineLevelRow="1" outlineLevelCol="1" x14ac:dyDescent="0.25"/>
  <cols>
    <col min="1" max="1" width="4.42578125" style="2" bestFit="1" customWidth="1"/>
    <col min="2" max="2" width="16.140625" style="636" hidden="1" customWidth="1" outlineLevel="1"/>
    <col min="3" max="3" width="47.42578125" style="2" customWidth="1" collapsed="1"/>
    <col min="4" max="4" width="15.28515625" style="2" bestFit="1" customWidth="1"/>
    <col min="5" max="5" width="17" style="2" bestFit="1" customWidth="1"/>
    <col min="6" max="6" width="11.140625" style="188" bestFit="1" customWidth="1"/>
    <col min="7" max="8" width="9.140625" style="188"/>
    <col min="9" max="9" width="14.28515625" style="188" bestFit="1" customWidth="1"/>
    <col min="10" max="16384" width="9.140625" style="188"/>
  </cols>
  <sheetData>
    <row r="1" spans="1:9" ht="20.25" x14ac:dyDescent="0.25">
      <c r="A1" s="58" t="s">
        <v>315</v>
      </c>
      <c r="B1" s="58"/>
      <c r="C1" s="40"/>
      <c r="D1" s="40"/>
      <c r="E1" s="40"/>
      <c r="F1" s="652"/>
    </row>
    <row r="2" spans="1:9" s="392" customFormat="1" x14ac:dyDescent="0.2">
      <c r="A2" s="105" t="str">
        <f>"CÔNG TRÌNH : "&amp;'Bia du toan'!$G$12</f>
        <v>CÔNG TRÌNH : TRƯỜNG CAO ĐẲNG LÝ TỰ TRỌNG</v>
      </c>
      <c r="B2" s="105"/>
      <c r="C2" s="105"/>
      <c r="D2" s="105"/>
      <c r="E2" s="105"/>
      <c r="F2" s="653"/>
    </row>
    <row r="3" spans="1:9" s="392" customFormat="1" x14ac:dyDescent="0.2">
      <c r="A3" s="105" t="str">
        <f>"HẠNG MỤC : "&amp; 'Bia du toan'!$G$13</f>
        <v>HẠNG MỤC : CẢI TẠO THƯ VIỆN GIAI ĐOẠN 2 - NĂM 2019</v>
      </c>
      <c r="B3" s="105"/>
      <c r="C3" s="105"/>
      <c r="D3" s="105"/>
      <c r="E3" s="105"/>
      <c r="F3" s="653"/>
    </row>
    <row r="4" spans="1:9" x14ac:dyDescent="0.25">
      <c r="A4" s="40"/>
      <c r="B4" s="40"/>
      <c r="C4" s="40"/>
      <c r="D4" s="40"/>
      <c r="E4" s="40"/>
      <c r="F4" s="652"/>
    </row>
    <row r="5" spans="1:9" ht="17.25" hidden="1" outlineLevel="1" x14ac:dyDescent="0.3">
      <c r="A5" s="40"/>
      <c r="B5" s="40"/>
      <c r="C5" s="863" t="s">
        <v>3399</v>
      </c>
      <c r="D5" s="40"/>
      <c r="E5" s="40"/>
      <c r="F5" s="652"/>
    </row>
    <row r="6" spans="1:9" ht="18.75" hidden="1" outlineLevel="1" x14ac:dyDescent="0.35">
      <c r="A6" s="40"/>
      <c r="B6" s="40"/>
      <c r="C6" s="604" t="s">
        <v>3400</v>
      </c>
      <c r="D6" s="40"/>
      <c r="E6" s="40"/>
      <c r="F6" s="652"/>
    </row>
    <row r="7" spans="1:9" hidden="1" outlineLevel="1" x14ac:dyDescent="0.25">
      <c r="A7" s="40"/>
      <c r="B7" s="40"/>
      <c r="C7" s="863" t="s">
        <v>3401</v>
      </c>
      <c r="D7" s="40"/>
      <c r="E7" s="40"/>
      <c r="F7" s="652"/>
    </row>
    <row r="8" spans="1:9" hidden="1" outlineLevel="1" x14ac:dyDescent="0.25">
      <c r="A8" s="40"/>
      <c r="B8" s="40"/>
      <c r="C8" s="604" t="s">
        <v>3402</v>
      </c>
      <c r="D8" s="40"/>
      <c r="E8" s="40"/>
      <c r="F8" s="652"/>
    </row>
    <row r="9" spans="1:9" collapsed="1" x14ac:dyDescent="0.25">
      <c r="A9" s="40"/>
      <c r="B9" s="40"/>
      <c r="C9" s="40"/>
      <c r="D9" s="40"/>
      <c r="E9" s="40"/>
      <c r="F9" s="652"/>
    </row>
    <row r="10" spans="1:9" s="840" customFormat="1" ht="12.75" x14ac:dyDescent="0.2">
      <c r="A10" s="606" t="s">
        <v>15</v>
      </c>
      <c r="B10" s="606"/>
      <c r="C10" s="606" t="s">
        <v>294</v>
      </c>
      <c r="D10" s="606" t="s">
        <v>272</v>
      </c>
      <c r="E10" s="606" t="s">
        <v>270</v>
      </c>
      <c r="F10" s="839" t="s">
        <v>584</v>
      </c>
      <c r="I10" s="841"/>
    </row>
    <row r="11" spans="1:9" s="640" customFormat="1" x14ac:dyDescent="0.2">
      <c r="A11" s="42"/>
      <c r="B11" s="1073"/>
      <c r="C11" s="594" t="s">
        <v>295</v>
      </c>
      <c r="D11" s="42"/>
      <c r="E11" s="42"/>
      <c r="F11" s="654"/>
      <c r="I11" s="647"/>
    </row>
    <row r="12" spans="1:9" s="640" customFormat="1" x14ac:dyDescent="0.2">
      <c r="A12" s="44"/>
      <c r="B12" s="770"/>
      <c r="C12" s="46" t="s">
        <v>86</v>
      </c>
      <c r="D12" s="44" t="s">
        <v>296</v>
      </c>
      <c r="E12" s="44" t="s">
        <v>1166</v>
      </c>
      <c r="F12" s="643"/>
    </row>
    <row r="13" spans="1:9" s="640" customFormat="1" x14ac:dyDescent="0.2">
      <c r="A13" s="44"/>
      <c r="B13" s="770"/>
      <c r="C13" s="46" t="s">
        <v>298</v>
      </c>
      <c r="D13" s="44" t="s">
        <v>297</v>
      </c>
      <c r="E13" s="44"/>
      <c r="F13" s="643"/>
    </row>
    <row r="14" spans="1:9" s="640" customFormat="1" x14ac:dyDescent="0.2">
      <c r="A14" s="44"/>
      <c r="B14" s="770"/>
      <c r="C14" s="46" t="s">
        <v>88</v>
      </c>
      <c r="D14" s="44" t="s">
        <v>299</v>
      </c>
      <c r="E14" s="44" t="s">
        <v>1167</v>
      </c>
      <c r="F14" s="643"/>
    </row>
    <row r="15" spans="1:9" s="640" customFormat="1" x14ac:dyDescent="0.2">
      <c r="A15" s="44"/>
      <c r="B15" s="770"/>
      <c r="C15" s="46" t="s">
        <v>301</v>
      </c>
      <c r="D15" s="44" t="s">
        <v>300</v>
      </c>
      <c r="E15" s="44" t="s">
        <v>1167</v>
      </c>
      <c r="F15" s="643"/>
    </row>
    <row r="16" spans="1:9" s="640" customFormat="1" x14ac:dyDescent="0.2">
      <c r="A16" s="44" t="s">
        <v>59</v>
      </c>
      <c r="B16" s="770"/>
      <c r="C16" s="46" t="s">
        <v>302</v>
      </c>
      <c r="D16" s="44"/>
      <c r="E16" s="44"/>
      <c r="F16" s="643"/>
    </row>
    <row r="17" spans="1:6" s="640" customFormat="1" x14ac:dyDescent="0.2">
      <c r="A17" s="44">
        <v>1</v>
      </c>
      <c r="B17" s="770"/>
      <c r="C17" s="46" t="s">
        <v>86</v>
      </c>
      <c r="D17" s="44" t="s">
        <v>87</v>
      </c>
      <c r="E17" s="44" t="str">
        <f xml:space="preserve"> "A1*"&amp;Config!$D$9</f>
        <v>A1*1</v>
      </c>
      <c r="F17" s="643">
        <f xml:space="preserve"> F$12*Config!$D$9</f>
        <v>0</v>
      </c>
    </row>
    <row r="18" spans="1:6" s="640" customFormat="1" x14ac:dyDescent="0.2">
      <c r="A18" s="44">
        <v>2</v>
      </c>
      <c r="B18" s="770"/>
      <c r="C18" s="46" t="s">
        <v>88</v>
      </c>
      <c r="D18" s="44" t="s">
        <v>89</v>
      </c>
      <c r="E18" s="44" t="str">
        <f xml:space="preserve"> "B1*"&amp;Config!$D$10</f>
        <v>B1*1</v>
      </c>
      <c r="F18" s="643">
        <f xml:space="preserve"> F$14*Config!$D$10</f>
        <v>0</v>
      </c>
    </row>
    <row r="19" spans="1:6" s="640" customFormat="1" x14ac:dyDescent="0.2">
      <c r="A19" s="44">
        <v>3</v>
      </c>
      <c r="B19" s="770"/>
      <c r="C19" s="46" t="s">
        <v>90</v>
      </c>
      <c r="D19" s="44" t="s">
        <v>303</v>
      </c>
      <c r="E19" s="44" t="str">
        <f xml:space="preserve"> "C1*"&amp;Config!$D$11</f>
        <v>C1*1</v>
      </c>
      <c r="F19" s="643">
        <f xml:space="preserve"> F$15*Config!$D$11</f>
        <v>0</v>
      </c>
    </row>
    <row r="20" spans="1:6" s="640" customFormat="1" hidden="1" x14ac:dyDescent="0.2">
      <c r="A20" s="44">
        <v>4</v>
      </c>
      <c r="B20" s="770"/>
      <c r="C20" s="46" t="s">
        <v>92</v>
      </c>
      <c r="D20" s="44" t="s">
        <v>93</v>
      </c>
      <c r="E20" s="44"/>
      <c r="F20" s="643"/>
    </row>
    <row r="21" spans="1:6" s="644" customFormat="1" x14ac:dyDescent="0.2">
      <c r="A21" s="655"/>
      <c r="B21" s="774"/>
      <c r="C21" s="49" t="s">
        <v>1153</v>
      </c>
      <c r="D21" s="655" t="s">
        <v>1168</v>
      </c>
      <c r="E21" s="655" t="s">
        <v>1156</v>
      </c>
      <c r="F21" s="658">
        <f xml:space="preserve"> F$17+F$18+F$19</f>
        <v>0</v>
      </c>
    </row>
    <row r="22" spans="1:6" s="640" customFormat="1" x14ac:dyDescent="0.2">
      <c r="A22" s="44" t="s">
        <v>64</v>
      </c>
      <c r="B22" s="770"/>
      <c r="C22" s="46" t="s">
        <v>75</v>
      </c>
      <c r="D22" s="44" t="s">
        <v>96</v>
      </c>
      <c r="E22" s="44" t="str">
        <f xml:space="preserve"> "T x "&amp; Config!$D$13 &amp;"%"</f>
        <v>T x 6.5%</v>
      </c>
      <c r="F22" s="643">
        <f xml:space="preserve"> F$21*Config!$D$13%</f>
        <v>0</v>
      </c>
    </row>
    <row r="23" spans="1:6" s="644" customFormat="1" x14ac:dyDescent="0.2">
      <c r="A23" s="655"/>
      <c r="B23" s="774"/>
      <c r="C23" s="49" t="s">
        <v>304</v>
      </c>
      <c r="D23" s="655" t="s">
        <v>97</v>
      </c>
      <c r="E23" s="655" t="s">
        <v>305</v>
      </c>
      <c r="F23" s="658">
        <f xml:space="preserve"> F$21+F$22</f>
        <v>0</v>
      </c>
    </row>
    <row r="24" spans="1:6" s="640" customFormat="1" x14ac:dyDescent="0.2">
      <c r="A24" s="44" t="s">
        <v>79</v>
      </c>
      <c r="B24" s="770"/>
      <c r="C24" s="46" t="s">
        <v>76</v>
      </c>
      <c r="D24" s="44" t="s">
        <v>98</v>
      </c>
      <c r="E24" s="44" t="str">
        <f>CONCATENATE("(T+C) * ",Config!D14,"%")</f>
        <v>(T+C) * 5.5%</v>
      </c>
      <c r="F24" s="643">
        <f xml:space="preserve"> (F$21+F$22)*Config!$D$14%</f>
        <v>0</v>
      </c>
    </row>
    <row r="25" spans="1:6" s="712" customFormat="1" x14ac:dyDescent="0.2">
      <c r="A25" s="713"/>
      <c r="B25" s="1074"/>
      <c r="C25" s="51" t="s">
        <v>306</v>
      </c>
      <c r="D25" s="713" t="s">
        <v>99</v>
      </c>
      <c r="E25" s="713" t="s">
        <v>307</v>
      </c>
      <c r="F25" s="659">
        <f xml:space="preserve"> F$21+F$22+F$24</f>
        <v>0</v>
      </c>
    </row>
    <row r="26" spans="1:6" s="640" customFormat="1" x14ac:dyDescent="0.2">
      <c r="A26" s="44" t="s">
        <v>308</v>
      </c>
      <c r="B26" s="770"/>
      <c r="C26" s="46" t="s">
        <v>77</v>
      </c>
      <c r="D26" s="44" t="s">
        <v>101</v>
      </c>
      <c r="E26" s="44" t="str">
        <f xml:space="preserve"> Config!$D$15&amp;"%*G"</f>
        <v>10%*G</v>
      </c>
      <c r="F26" s="643">
        <f xml:space="preserve"> F$25*Config!$D$15%</f>
        <v>0</v>
      </c>
    </row>
    <row r="27" spans="1:6" s="644" customFormat="1" x14ac:dyDescent="0.2">
      <c r="A27" s="655"/>
      <c r="B27" s="774"/>
      <c r="C27" s="51" t="s">
        <v>309</v>
      </c>
      <c r="D27" s="655" t="s">
        <v>102</v>
      </c>
      <c r="E27" s="655" t="s">
        <v>1169</v>
      </c>
      <c r="F27" s="658">
        <f xml:space="preserve"> F$25+F$26</f>
        <v>0</v>
      </c>
    </row>
    <row r="28" spans="1:6" s="640" customFormat="1" ht="31.5" hidden="1" x14ac:dyDescent="0.2">
      <c r="A28" s="44" t="s">
        <v>1345</v>
      </c>
      <c r="B28" s="770"/>
      <c r="C28" s="597" t="s">
        <v>1394</v>
      </c>
      <c r="D28" s="44"/>
      <c r="E28" s="44"/>
      <c r="F28" s="643"/>
    </row>
    <row r="29" spans="1:6" s="644" customFormat="1" x14ac:dyDescent="0.2">
      <c r="A29" s="595"/>
      <c r="B29" s="1075"/>
      <c r="C29" s="595" t="s">
        <v>1395</v>
      </c>
      <c r="D29" s="595"/>
      <c r="E29" s="595"/>
      <c r="F29" s="645">
        <f>F27+F28</f>
        <v>0</v>
      </c>
    </row>
    <row r="30" spans="1:6" s="640" customFormat="1" x14ac:dyDescent="0.2">
      <c r="A30" s="598"/>
      <c r="B30" s="776"/>
      <c r="C30" s="599" t="s">
        <v>3648</v>
      </c>
      <c r="D30" s="600"/>
      <c r="E30" s="600"/>
      <c r="F30" s="646"/>
    </row>
    <row r="31" spans="1:6" s="640" customFormat="1" x14ac:dyDescent="0.25">
      <c r="A31" s="6"/>
      <c r="B31" s="6"/>
      <c r="C31" s="6"/>
      <c r="D31" s="6"/>
      <c r="E31" s="6"/>
      <c r="F31" s="647"/>
    </row>
    <row r="32" spans="1:6" s="640" customFormat="1" x14ac:dyDescent="0.25">
      <c r="A32" s="53"/>
      <c r="B32" s="53"/>
      <c r="C32" s="53"/>
      <c r="D32" s="53"/>
      <c r="E32" s="53"/>
      <c r="F32" s="648"/>
    </row>
    <row r="33" spans="1:6" s="640" customFormat="1" x14ac:dyDescent="0.25">
      <c r="A33" s="6"/>
      <c r="B33" s="6"/>
      <c r="C33" s="6"/>
      <c r="D33" s="6"/>
      <c r="E33" s="6"/>
      <c r="F33" s="647"/>
    </row>
    <row r="34" spans="1:6" s="640" customFormat="1" x14ac:dyDescent="0.25">
      <c r="A34" s="6"/>
      <c r="B34" s="6"/>
      <c r="C34" s="6"/>
      <c r="D34" s="6"/>
      <c r="E34" s="6"/>
      <c r="F34" s="647"/>
    </row>
    <row r="35" spans="1:6" s="640" customFormat="1" x14ac:dyDescent="0.25">
      <c r="A35" s="20"/>
      <c r="B35" s="20"/>
      <c r="C35" s="601" t="s">
        <v>311</v>
      </c>
      <c r="D35" s="8"/>
      <c r="E35" s="8" t="s">
        <v>312</v>
      </c>
      <c r="F35" s="649"/>
    </row>
    <row r="36" spans="1:6" s="640" customFormat="1" x14ac:dyDescent="0.25">
      <c r="A36" s="6"/>
      <c r="B36" s="6"/>
      <c r="C36" s="6"/>
      <c r="D36" s="6"/>
      <c r="E36" s="6"/>
      <c r="F36" s="647"/>
    </row>
    <row r="37" spans="1:6" s="640" customFormat="1" x14ac:dyDescent="0.25">
      <c r="A37" s="6"/>
      <c r="B37" s="6"/>
      <c r="C37" s="6"/>
      <c r="D37" s="6"/>
      <c r="E37" s="6"/>
      <c r="F37" s="647"/>
    </row>
    <row r="38" spans="1:6" s="640" customFormat="1" x14ac:dyDescent="0.25">
      <c r="A38" s="6"/>
      <c r="B38" s="6"/>
      <c r="C38" s="6"/>
      <c r="D38" s="6"/>
      <c r="E38" s="6"/>
      <c r="F38" s="647"/>
    </row>
    <row r="39" spans="1:6" s="640" customFormat="1" x14ac:dyDescent="0.25">
      <c r="A39" s="6"/>
      <c r="B39" s="6"/>
      <c r="C39" s="6"/>
      <c r="D39" s="6"/>
      <c r="E39" s="6"/>
      <c r="F39" s="647"/>
    </row>
    <row r="40" spans="1:6" s="640" customFormat="1" x14ac:dyDescent="0.25">
      <c r="A40" s="6"/>
      <c r="B40" s="6"/>
      <c r="C40" s="6"/>
      <c r="D40" s="6"/>
      <c r="E40" s="6"/>
      <c r="F40" s="647"/>
    </row>
    <row r="41" spans="1:6" s="640" customFormat="1" x14ac:dyDescent="0.25">
      <c r="A41" s="6"/>
      <c r="B41" s="6"/>
      <c r="C41" s="6"/>
      <c r="D41" s="6"/>
      <c r="E41" s="6"/>
      <c r="F41" s="647"/>
    </row>
    <row r="42" spans="1:6" s="640" customFormat="1" x14ac:dyDescent="0.25">
      <c r="A42" s="6"/>
      <c r="B42" s="6"/>
      <c r="C42" s="56" t="s">
        <v>313</v>
      </c>
      <c r="D42" s="9"/>
      <c r="E42" s="57" t="s">
        <v>313</v>
      </c>
      <c r="F42" s="650"/>
    </row>
    <row r="43" spans="1:6" s="640" customFormat="1" x14ac:dyDescent="0.25">
      <c r="A43" s="6"/>
      <c r="B43" s="6"/>
      <c r="C43" s="6"/>
      <c r="D43" s="9"/>
      <c r="E43" s="9" t="s">
        <v>314</v>
      </c>
      <c r="F43" s="651"/>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THKP"/>
  <dimension ref="A1:F51"/>
  <sheetViews>
    <sheetView showZeros="0" workbookViewId="0">
      <selection activeCell="A7" sqref="A7:IV17"/>
    </sheetView>
  </sheetViews>
  <sheetFormatPr defaultRowHeight="15.75" outlineLevelRow="1" outlineLevelCol="1" x14ac:dyDescent="0.25"/>
  <cols>
    <col min="1" max="1" width="4.42578125" style="2" bestFit="1" customWidth="1"/>
    <col min="2" max="2" width="10.5703125" style="1070" hidden="1" customWidth="1" outlineLevel="1"/>
    <col min="3" max="3" width="44.28515625" style="103" customWidth="1" collapsed="1"/>
    <col min="4" max="4" width="15.42578125" style="2" customWidth="1"/>
    <col min="5" max="5" width="22.7109375" style="2" customWidth="1"/>
    <col min="6" max="6" width="13.28515625" style="640" customWidth="1"/>
    <col min="7" max="8" width="9.140625" style="640"/>
    <col min="9" max="9" width="0.140625" style="640" customWidth="1"/>
    <col min="10" max="16384" width="9.140625" style="640"/>
  </cols>
  <sheetData>
    <row r="1" spans="1:6" s="189" customFormat="1" ht="20.25" x14ac:dyDescent="0.25">
      <c r="A1" s="58" t="s">
        <v>315</v>
      </c>
      <c r="B1" s="1052"/>
      <c r="C1" s="243"/>
      <c r="D1" s="40"/>
      <c r="E1" s="40"/>
      <c r="F1" s="637"/>
    </row>
    <row r="2" spans="1:6" s="190" customFormat="1" x14ac:dyDescent="0.2">
      <c r="A2" s="105" t="str">
        <f>"CÔNG TRÌNH : "&amp;'Bia du toan'!$G$12</f>
        <v>CÔNG TRÌNH : TRƯỜNG CAO ĐẲNG LÝ TỰ TRỌNG</v>
      </c>
      <c r="B2" s="1053"/>
      <c r="C2" s="263"/>
      <c r="D2" s="105"/>
      <c r="E2" s="105"/>
      <c r="F2" s="638"/>
    </row>
    <row r="3" spans="1:6" s="190" customFormat="1" x14ac:dyDescent="0.2">
      <c r="A3" s="105" t="str">
        <f>"HẠNG MỤC : "&amp; 'Bia du toan'!$G$13</f>
        <v>HẠNG MỤC : CẢI TẠO THƯ VIỆN GIAI ĐOẠN 2 - NĂM 2019</v>
      </c>
      <c r="B3" s="1053"/>
      <c r="C3" s="263"/>
      <c r="D3" s="105"/>
      <c r="E3" s="105"/>
      <c r="F3" s="638"/>
    </row>
    <row r="4" spans="1:6" s="189" customFormat="1" x14ac:dyDescent="0.25">
      <c r="A4" s="602" t="s">
        <v>574</v>
      </c>
      <c r="B4" s="1065"/>
      <c r="C4" s="1149"/>
      <c r="D4" s="603"/>
      <c r="E4" s="603"/>
      <c r="F4" s="637"/>
    </row>
    <row r="5" spans="1:6" s="189" customFormat="1" ht="18.75" x14ac:dyDescent="0.35">
      <c r="A5" s="603"/>
      <c r="B5" s="1054" t="s">
        <v>576</v>
      </c>
      <c r="C5" s="604" t="s">
        <v>2919</v>
      </c>
      <c r="D5" s="604"/>
      <c r="E5" s="604"/>
      <c r="F5" s="639">
        <f xml:space="preserve"> Config!$D$9</f>
        <v>1</v>
      </c>
    </row>
    <row r="6" spans="1:6" s="189" customFormat="1" ht="18.75" x14ac:dyDescent="0.35">
      <c r="A6" s="603"/>
      <c r="B6" s="1054" t="s">
        <v>577</v>
      </c>
      <c r="C6" s="604" t="s">
        <v>2920</v>
      </c>
      <c r="D6" s="604"/>
      <c r="E6" s="604"/>
      <c r="F6" s="639">
        <f xml:space="preserve"> Config!$D$10</f>
        <v>1</v>
      </c>
    </row>
    <row r="7" spans="1:6" s="189" customFormat="1" ht="18.75" x14ac:dyDescent="0.35">
      <c r="A7" s="603"/>
      <c r="B7" s="1054" t="s">
        <v>578</v>
      </c>
      <c r="C7" s="604" t="s">
        <v>2921</v>
      </c>
      <c r="D7" s="604"/>
      <c r="E7" s="604"/>
      <c r="F7" s="639">
        <f xml:space="preserve"> Config!$D$11</f>
        <v>1</v>
      </c>
    </row>
    <row r="8" spans="1:6" s="189" customFormat="1" ht="18.75" x14ac:dyDescent="0.35">
      <c r="A8" s="603"/>
      <c r="B8" s="1054" t="s">
        <v>3272</v>
      </c>
      <c r="C8" s="604" t="s">
        <v>3273</v>
      </c>
      <c r="D8" s="604"/>
      <c r="E8" s="604"/>
      <c r="F8" s="639">
        <f>Config!$D$12</f>
        <v>2.5</v>
      </c>
    </row>
    <row r="9" spans="1:6" s="189" customFormat="1" ht="18.75" x14ac:dyDescent="0.35">
      <c r="A9" s="603"/>
      <c r="B9" s="1054" t="s">
        <v>579</v>
      </c>
      <c r="C9" s="604" t="s">
        <v>2922</v>
      </c>
      <c r="D9" s="604"/>
      <c r="E9" s="604"/>
      <c r="F9" s="639">
        <f>Config!$D$13</f>
        <v>6.5</v>
      </c>
    </row>
    <row r="10" spans="1:6" s="189" customFormat="1" ht="18.75" x14ac:dyDescent="0.35">
      <c r="A10" s="603"/>
      <c r="B10" s="1054" t="s">
        <v>580</v>
      </c>
      <c r="C10" s="604" t="s">
        <v>2923</v>
      </c>
      <c r="D10" s="604"/>
      <c r="E10" s="604"/>
      <c r="F10" s="639">
        <f>Config!$D$14</f>
        <v>5.5</v>
      </c>
    </row>
    <row r="11" spans="1:6" s="189" customFormat="1" ht="18.75" x14ac:dyDescent="0.35">
      <c r="A11" s="603"/>
      <c r="B11" s="1054" t="s">
        <v>3276</v>
      </c>
      <c r="C11" s="604" t="s">
        <v>3274</v>
      </c>
      <c r="D11" s="604"/>
      <c r="E11" s="604"/>
      <c r="F11" s="639">
        <f>Config!$D$15</f>
        <v>10</v>
      </c>
    </row>
    <row r="12" spans="1:6" s="189" customFormat="1" ht="18.75" x14ac:dyDescent="0.35">
      <c r="A12" s="603"/>
      <c r="B12" s="1054" t="s">
        <v>3277</v>
      </c>
      <c r="C12" s="604" t="s">
        <v>3275</v>
      </c>
      <c r="D12" s="604"/>
      <c r="E12" s="604"/>
      <c r="F12" s="639">
        <f>Config!$D$16</f>
        <v>1</v>
      </c>
    </row>
    <row r="13" spans="1:6" s="189" customFormat="1" ht="33" hidden="1" outlineLevel="1" x14ac:dyDescent="0.3">
      <c r="A13" s="603"/>
      <c r="B13" s="1054" t="s">
        <v>3387</v>
      </c>
      <c r="C13" s="1142" t="s">
        <v>3399</v>
      </c>
      <c r="D13" s="604"/>
      <c r="E13" s="604"/>
      <c r="F13" s="639"/>
    </row>
    <row r="14" spans="1:6" s="189" customFormat="1" ht="18.75" hidden="1" outlineLevel="1" x14ac:dyDescent="0.35">
      <c r="A14" s="603"/>
      <c r="B14" s="1054" t="s">
        <v>3388</v>
      </c>
      <c r="C14" s="1143" t="s">
        <v>3400</v>
      </c>
      <c r="D14" s="604"/>
      <c r="E14" s="604"/>
      <c r="F14" s="639"/>
    </row>
    <row r="15" spans="1:6" s="190" customFormat="1" ht="31.5" hidden="1" outlineLevel="1" x14ac:dyDescent="0.25">
      <c r="A15" s="352"/>
      <c r="B15" s="1055" t="s">
        <v>3389</v>
      </c>
      <c r="C15" s="1142" t="s">
        <v>3401</v>
      </c>
      <c r="D15" s="863"/>
      <c r="E15" s="863"/>
      <c r="F15" s="864"/>
    </row>
    <row r="16" spans="1:6" s="189" customFormat="1" hidden="1" outlineLevel="1" x14ac:dyDescent="0.25">
      <c r="A16" s="603"/>
      <c r="B16" s="1054" t="s">
        <v>3390</v>
      </c>
      <c r="C16" s="1143" t="s">
        <v>3402</v>
      </c>
      <c r="D16" s="604"/>
      <c r="E16" s="604"/>
      <c r="F16" s="639"/>
    </row>
    <row r="17" spans="1:6" s="189" customFormat="1" collapsed="1" x14ac:dyDescent="0.25">
      <c r="A17" s="603"/>
      <c r="B17" s="1065"/>
      <c r="C17" s="1149"/>
      <c r="D17" s="603"/>
      <c r="E17" s="603"/>
      <c r="F17" s="637"/>
    </row>
    <row r="18" spans="1:6" s="840" customFormat="1" ht="12.75" x14ac:dyDescent="0.2">
      <c r="A18" s="606" t="s">
        <v>15</v>
      </c>
      <c r="B18" s="1056" t="s">
        <v>293</v>
      </c>
      <c r="C18" s="1144" t="s">
        <v>294</v>
      </c>
      <c r="D18" s="606" t="s">
        <v>272</v>
      </c>
      <c r="E18" s="606" t="s">
        <v>270</v>
      </c>
      <c r="F18" s="839" t="s">
        <v>2924</v>
      </c>
    </row>
    <row r="19" spans="1:6" x14ac:dyDescent="0.2">
      <c r="A19" s="42"/>
      <c r="B19" s="1066"/>
      <c r="C19" s="594" t="s">
        <v>295</v>
      </c>
      <c r="D19" s="42"/>
      <c r="E19" s="42"/>
      <c r="F19" s="641"/>
    </row>
    <row r="20" spans="1:6" x14ac:dyDescent="0.2">
      <c r="A20" s="44"/>
      <c r="B20" s="1067" t="s">
        <v>296</v>
      </c>
      <c r="C20" s="46" t="s">
        <v>86</v>
      </c>
      <c r="D20" s="44" t="s">
        <v>296</v>
      </c>
      <c r="E20" s="44" t="s">
        <v>1166</v>
      </c>
      <c r="F20" s="642"/>
    </row>
    <row r="21" spans="1:6" hidden="1" x14ac:dyDescent="0.2">
      <c r="A21" s="44"/>
      <c r="B21" s="1067" t="s">
        <v>297</v>
      </c>
      <c r="C21" s="46" t="s">
        <v>298</v>
      </c>
      <c r="D21" s="44" t="s">
        <v>297</v>
      </c>
      <c r="E21" s="44"/>
      <c r="F21" s="642"/>
    </row>
    <row r="22" spans="1:6" x14ac:dyDescent="0.2">
      <c r="A22" s="44"/>
      <c r="B22" s="1067" t="s">
        <v>299</v>
      </c>
      <c r="C22" s="46" t="s">
        <v>88</v>
      </c>
      <c r="D22" s="44" t="s">
        <v>299</v>
      </c>
      <c r="E22" s="44" t="s">
        <v>1167</v>
      </c>
      <c r="F22" s="642"/>
    </row>
    <row r="23" spans="1:6" x14ac:dyDescent="0.2">
      <c r="A23" s="44"/>
      <c r="B23" s="1067" t="s">
        <v>300</v>
      </c>
      <c r="C23" s="46" t="s">
        <v>301</v>
      </c>
      <c r="D23" s="44" t="s">
        <v>300</v>
      </c>
      <c r="E23" s="44" t="s">
        <v>1167</v>
      </c>
      <c r="F23" s="642"/>
    </row>
    <row r="24" spans="1:6" x14ac:dyDescent="0.2">
      <c r="A24" s="44" t="s">
        <v>59</v>
      </c>
      <c r="B24" s="1067"/>
      <c r="C24" s="46" t="s">
        <v>302</v>
      </c>
      <c r="D24" s="44"/>
      <c r="E24" s="44"/>
      <c r="F24" s="642"/>
    </row>
    <row r="25" spans="1:6" ht="18.75" x14ac:dyDescent="0.2">
      <c r="A25" s="44">
        <v>1</v>
      </c>
      <c r="B25" s="1067" t="s">
        <v>87</v>
      </c>
      <c r="C25" s="46" t="s">
        <v>86</v>
      </c>
      <c r="D25" s="44" t="s">
        <v>87</v>
      </c>
      <c r="E25" s="44" t="s">
        <v>575</v>
      </c>
      <c r="F25" s="642">
        <f xml:space="preserve"> F$20*Config!$D$9</f>
        <v>0</v>
      </c>
    </row>
    <row r="26" spans="1:6" ht="18.75" x14ac:dyDescent="0.2">
      <c r="A26" s="44">
        <v>2</v>
      </c>
      <c r="B26" s="1067" t="s">
        <v>89</v>
      </c>
      <c r="C26" s="46" t="s">
        <v>88</v>
      </c>
      <c r="D26" s="44" t="s">
        <v>89</v>
      </c>
      <c r="E26" s="44" t="s">
        <v>582</v>
      </c>
      <c r="F26" s="642">
        <f xml:space="preserve"> F$22*Config!$D$10</f>
        <v>0</v>
      </c>
    </row>
    <row r="27" spans="1:6" ht="18.75" x14ac:dyDescent="0.2">
      <c r="A27" s="44">
        <v>3</v>
      </c>
      <c r="B27" s="1067" t="s">
        <v>303</v>
      </c>
      <c r="C27" s="46" t="s">
        <v>90</v>
      </c>
      <c r="D27" s="44" t="s">
        <v>303</v>
      </c>
      <c r="E27" s="44" t="s">
        <v>583</v>
      </c>
      <c r="F27" s="642">
        <f xml:space="preserve"> F$23*Config!$D$11</f>
        <v>0</v>
      </c>
    </row>
    <row r="28" spans="1:6" x14ac:dyDescent="0.2">
      <c r="A28" s="44">
        <v>4</v>
      </c>
      <c r="B28" s="1067" t="s">
        <v>93</v>
      </c>
      <c r="C28" s="46" t="s">
        <v>92</v>
      </c>
      <c r="D28" s="44" t="s">
        <v>93</v>
      </c>
      <c r="E28" s="44"/>
      <c r="F28" s="643"/>
    </row>
    <row r="29" spans="1:6" s="644" customFormat="1" x14ac:dyDescent="0.2">
      <c r="A29" s="655"/>
      <c r="B29" s="1068" t="s">
        <v>95</v>
      </c>
      <c r="C29" s="49" t="s">
        <v>1153</v>
      </c>
      <c r="D29" s="655" t="s">
        <v>1168</v>
      </c>
      <c r="E29" s="655" t="s">
        <v>1156</v>
      </c>
      <c r="F29" s="715">
        <f xml:space="preserve"> F$25+F$26+F$27</f>
        <v>0</v>
      </c>
    </row>
    <row r="30" spans="1:6" ht="18.75" x14ac:dyDescent="0.2">
      <c r="A30" s="44" t="s">
        <v>64</v>
      </c>
      <c r="B30" s="1067" t="s">
        <v>96</v>
      </c>
      <c r="C30" s="46" t="s">
        <v>75</v>
      </c>
      <c r="D30" s="44" t="s">
        <v>96</v>
      </c>
      <c r="E30" s="44" t="s">
        <v>2917</v>
      </c>
      <c r="F30" s="642">
        <f xml:space="preserve"> F$29*Config!$D$13%</f>
        <v>0</v>
      </c>
    </row>
    <row r="31" spans="1:6" s="644" customFormat="1" x14ac:dyDescent="0.2">
      <c r="A31" s="655"/>
      <c r="B31" s="1068" t="s">
        <v>97</v>
      </c>
      <c r="C31" s="49" t="s">
        <v>304</v>
      </c>
      <c r="D31" s="655" t="s">
        <v>97</v>
      </c>
      <c r="E31" s="655" t="s">
        <v>305</v>
      </c>
      <c r="F31" s="715">
        <f xml:space="preserve"> F$29+F$30</f>
        <v>0</v>
      </c>
    </row>
    <row r="32" spans="1:6" ht="18.75" x14ac:dyDescent="0.2">
      <c r="A32" s="44" t="s">
        <v>79</v>
      </c>
      <c r="B32" s="1067" t="s">
        <v>98</v>
      </c>
      <c r="C32" s="46" t="s">
        <v>76</v>
      </c>
      <c r="D32" s="44" t="s">
        <v>98</v>
      </c>
      <c r="E32" s="44" t="s">
        <v>2918</v>
      </c>
      <c r="F32" s="642">
        <f xml:space="preserve"> (F$29+F$30)*Config!$D$14%</f>
        <v>0</v>
      </c>
    </row>
    <row r="33" spans="1:6" s="644" customFormat="1" x14ac:dyDescent="0.2">
      <c r="A33" s="655"/>
      <c r="B33" s="1068" t="s">
        <v>99</v>
      </c>
      <c r="C33" s="51" t="s">
        <v>306</v>
      </c>
      <c r="D33" s="655" t="s">
        <v>99</v>
      </c>
      <c r="E33" s="655" t="s">
        <v>307</v>
      </c>
      <c r="F33" s="715">
        <f xml:space="preserve"> F$29+F$30+F$32</f>
        <v>0</v>
      </c>
    </row>
    <row r="34" spans="1:6" x14ac:dyDescent="0.2">
      <c r="A34" s="44" t="s">
        <v>308</v>
      </c>
      <c r="B34" s="1067" t="s">
        <v>101</v>
      </c>
      <c r="C34" s="46" t="s">
        <v>77</v>
      </c>
      <c r="D34" s="44" t="s">
        <v>101</v>
      </c>
      <c r="E34" s="44" t="str">
        <f xml:space="preserve"> Config!$D$15&amp;"%*G"</f>
        <v>10%*G</v>
      </c>
      <c r="F34" s="642">
        <f xml:space="preserve"> F$33*Config!$D$15%</f>
        <v>0</v>
      </c>
    </row>
    <row r="35" spans="1:6" s="644" customFormat="1" x14ac:dyDescent="0.2">
      <c r="A35" s="655"/>
      <c r="B35" s="1068" t="s">
        <v>102</v>
      </c>
      <c r="C35" s="51" t="s">
        <v>309</v>
      </c>
      <c r="D35" s="655" t="s">
        <v>102</v>
      </c>
      <c r="E35" s="655" t="s">
        <v>1169</v>
      </c>
      <c r="F35" s="715">
        <f xml:space="preserve"> F$33+F$34</f>
        <v>0</v>
      </c>
    </row>
    <row r="36" spans="1:6" ht="31.5" x14ac:dyDescent="0.2">
      <c r="A36" s="44" t="s">
        <v>1345</v>
      </c>
      <c r="B36" s="1067" t="s">
        <v>104</v>
      </c>
      <c r="C36" s="597" t="s">
        <v>1394</v>
      </c>
      <c r="D36" s="44" t="s">
        <v>104</v>
      </c>
      <c r="E36" s="44"/>
      <c r="F36" s="643"/>
    </row>
    <row r="37" spans="1:6" s="644" customFormat="1" x14ac:dyDescent="0.2">
      <c r="A37" s="595"/>
      <c r="B37" s="1069" t="s">
        <v>106</v>
      </c>
      <c r="C37" s="595" t="s">
        <v>1395</v>
      </c>
      <c r="D37" s="595"/>
      <c r="E37" s="595"/>
      <c r="F37" s="645">
        <f>F35+F36</f>
        <v>0</v>
      </c>
    </row>
    <row r="38" spans="1:6" x14ac:dyDescent="0.2">
      <c r="A38" s="598"/>
      <c r="B38" s="1067" t="s">
        <v>1396</v>
      </c>
      <c r="C38" s="599" t="s">
        <v>3648</v>
      </c>
      <c r="D38" s="600"/>
      <c r="E38" s="600"/>
      <c r="F38" s="646"/>
    </row>
    <row r="39" spans="1:6" x14ac:dyDescent="0.25">
      <c r="A39" s="6"/>
      <c r="B39" s="1061"/>
      <c r="C39" s="1145"/>
      <c r="D39" s="6"/>
      <c r="E39" s="6"/>
      <c r="F39" s="647"/>
    </row>
    <row r="40" spans="1:6" x14ac:dyDescent="0.25">
      <c r="A40" s="53"/>
      <c r="B40" s="1062"/>
      <c r="C40" s="1146"/>
      <c r="D40" s="53"/>
      <c r="E40" s="53"/>
      <c r="F40" s="648"/>
    </row>
    <row r="41" spans="1:6" x14ac:dyDescent="0.25">
      <c r="A41" s="6"/>
      <c r="B41" s="1061"/>
      <c r="C41" s="1145"/>
      <c r="D41" s="6"/>
      <c r="E41" s="6"/>
      <c r="F41" s="647"/>
    </row>
    <row r="42" spans="1:6" x14ac:dyDescent="0.25">
      <c r="A42" s="6"/>
      <c r="B42" s="1061"/>
      <c r="C42" s="1145"/>
      <c r="D42" s="6"/>
      <c r="E42" s="6"/>
      <c r="F42" s="647"/>
    </row>
    <row r="43" spans="1:6" x14ac:dyDescent="0.25">
      <c r="A43" s="20"/>
      <c r="B43" s="1063"/>
      <c r="C43" s="1147" t="s">
        <v>311</v>
      </c>
      <c r="D43" s="8"/>
      <c r="E43" s="8" t="s">
        <v>312</v>
      </c>
      <c r="F43" s="649"/>
    </row>
    <row r="44" spans="1:6" x14ac:dyDescent="0.25">
      <c r="A44" s="6"/>
      <c r="B44" s="1061"/>
      <c r="C44" s="1145"/>
      <c r="D44" s="6"/>
      <c r="E44" s="6"/>
      <c r="F44" s="647"/>
    </row>
    <row r="45" spans="1:6" x14ac:dyDescent="0.25">
      <c r="A45" s="6"/>
      <c r="B45" s="1061"/>
      <c r="C45" s="1145"/>
      <c r="D45" s="6"/>
      <c r="E45" s="6"/>
      <c r="F45" s="647"/>
    </row>
    <row r="46" spans="1:6" x14ac:dyDescent="0.25">
      <c r="A46" s="6"/>
      <c r="B46" s="1061"/>
      <c r="C46" s="1145"/>
      <c r="D46" s="6"/>
      <c r="E46" s="6"/>
      <c r="F46" s="647"/>
    </row>
    <row r="47" spans="1:6" x14ac:dyDescent="0.25">
      <c r="A47" s="6"/>
      <c r="B47" s="1061"/>
      <c r="C47" s="1145"/>
      <c r="D47" s="6"/>
      <c r="E47" s="6"/>
      <c r="F47" s="647"/>
    </row>
    <row r="48" spans="1:6" x14ac:dyDescent="0.25">
      <c r="A48" s="6"/>
      <c r="B48" s="1061"/>
      <c r="C48" s="1145"/>
      <c r="D48" s="6"/>
      <c r="E48" s="6"/>
      <c r="F48" s="647"/>
    </row>
    <row r="49" spans="1:6" x14ac:dyDescent="0.25">
      <c r="A49" s="6"/>
      <c r="B49" s="1061"/>
      <c r="C49" s="1145"/>
      <c r="D49" s="6"/>
      <c r="E49" s="6"/>
      <c r="F49" s="647"/>
    </row>
    <row r="50" spans="1:6" x14ac:dyDescent="0.25">
      <c r="A50" s="6"/>
      <c r="B50" s="1061" t="s">
        <v>3521</v>
      </c>
      <c r="C50" s="1148" t="s">
        <v>313</v>
      </c>
      <c r="D50" s="9"/>
      <c r="E50" s="57" t="s">
        <v>313</v>
      </c>
      <c r="F50" s="650"/>
    </row>
    <row r="51" spans="1:6" x14ac:dyDescent="0.25">
      <c r="A51" s="6"/>
      <c r="B51" s="1061" t="s">
        <v>3558</v>
      </c>
      <c r="C51" s="1145"/>
      <c r="D51" s="9"/>
      <c r="E51" s="9" t="s">
        <v>314</v>
      </c>
      <c r="F51" s="651"/>
    </row>
  </sheetData>
  <phoneticPr fontId="2" type="noConversion"/>
  <dataValidations disablePrompts="1" count="2">
    <dataValidation allowBlank="1" showInputMessage="1" showErrorMessage="1" promptTitle="Lưu ý" prompt="Bạn không được xóa và sửa thông thin trong cột này" sqref="B18 B28 B36:B37 B39:B51"/>
    <dataValidation allowBlank="1" showInputMessage="1" showErrorMessage="1" promptTitle="Lưu ý" prompt="Bạn không được xóa và sửa thông tin trong cột này" sqref="B29:B35 B19:B27 B5:B16"/>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C5"/>
  <sheetViews>
    <sheetView showGridLines="0" workbookViewId="0"/>
  </sheetViews>
  <sheetFormatPr defaultRowHeight="15" outlineLevelCol="1" x14ac:dyDescent="0.2"/>
  <cols>
    <col min="1" max="1" width="4.85546875" style="119" customWidth="1"/>
    <col min="2" max="2" width="11.28515625" style="119" customWidth="1"/>
    <col min="3" max="3" width="11.5703125" style="119" hidden="1" customWidth="1" outlineLevel="1"/>
    <col min="4" max="4" width="38.140625" style="119" customWidth="1" collapsed="1"/>
    <col min="5" max="5" width="7.140625" style="124" bestFit="1" customWidth="1"/>
    <col min="6" max="6" width="26.42578125" style="119" hidden="1" customWidth="1"/>
    <col min="7" max="7" width="11.140625" style="262" customWidth="1"/>
    <col min="8" max="8" width="6.140625" style="119" hidden="1" customWidth="1"/>
    <col min="9" max="9" width="12" style="259" customWidth="1"/>
    <col min="10" max="10" width="12.5703125" style="259" customWidth="1"/>
    <col min="11" max="11" width="13.85546875" style="119" hidden="1" customWidth="1"/>
    <col min="12" max="12" width="10.7109375" style="119" hidden="1" customWidth="1"/>
    <col min="13" max="18" width="10.5703125" style="119" hidden="1" customWidth="1" outlineLevel="1"/>
    <col min="19" max="19" width="15.28515625" style="119" hidden="1" customWidth="1" outlineLevel="1"/>
    <col min="20" max="28" width="10.5703125" style="119" hidden="1" customWidth="1" outlineLevel="1"/>
    <col min="29" max="29" width="9.140625" style="119" collapsed="1"/>
    <col min="30" max="16384" width="9.140625" style="119"/>
  </cols>
  <sheetData>
    <row r="1" spans="1:28" s="103" customFormat="1" ht="20.25" x14ac:dyDescent="0.3">
      <c r="A1" s="242" t="s">
        <v>709</v>
      </c>
      <c r="B1" s="243"/>
      <c r="C1" s="243"/>
      <c r="D1" s="243"/>
      <c r="E1" s="243"/>
      <c r="F1" s="243"/>
      <c r="G1" s="260"/>
      <c r="H1" s="243" t="s">
        <v>421</v>
      </c>
      <c r="I1" s="244"/>
      <c r="J1" s="244"/>
      <c r="K1" s="243"/>
      <c r="L1" s="243"/>
      <c r="M1" s="243"/>
      <c r="N1" s="243"/>
      <c r="O1" s="243"/>
      <c r="P1" s="243"/>
      <c r="Q1" s="243"/>
      <c r="R1" s="243"/>
      <c r="S1" s="243"/>
      <c r="T1" s="243"/>
      <c r="U1" s="243"/>
      <c r="V1" s="243"/>
      <c r="W1" s="243"/>
      <c r="X1" s="243"/>
      <c r="Y1" s="243"/>
      <c r="Z1" s="243"/>
      <c r="AA1" s="243"/>
      <c r="AB1" s="243"/>
    </row>
    <row r="2" spans="1:28" s="264" customFormat="1" ht="14.25" x14ac:dyDescent="0.2">
      <c r="A2" s="263" t="str">
        <f>"CÔNG TRÌNH : "&amp;'Bia du toan'!$G$12</f>
        <v>CÔNG TRÌNH : TRƯỜNG CAO ĐẲNG LÝ TỰ TRỌNG</v>
      </c>
      <c r="B2" s="263"/>
      <c r="C2" s="263"/>
      <c r="D2" s="263"/>
      <c r="E2" s="263"/>
      <c r="F2" s="263"/>
      <c r="G2" s="265"/>
      <c r="H2" s="263"/>
      <c r="I2" s="266"/>
      <c r="J2" s="266"/>
      <c r="K2" s="263"/>
      <c r="L2" s="263"/>
      <c r="M2" s="263"/>
      <c r="N2" s="263"/>
      <c r="O2" s="263"/>
      <c r="P2" s="263"/>
      <c r="Q2" s="263"/>
      <c r="R2" s="263"/>
      <c r="S2" s="263"/>
      <c r="T2" s="263"/>
      <c r="U2" s="263"/>
      <c r="V2" s="263"/>
      <c r="W2" s="263"/>
      <c r="X2" s="263"/>
      <c r="Y2" s="263"/>
      <c r="Z2" s="263"/>
      <c r="AA2" s="263"/>
      <c r="AB2" s="263"/>
    </row>
    <row r="3" spans="1:28" s="264" customFormat="1" ht="14.25" x14ac:dyDescent="0.2">
      <c r="A3" s="263" t="str">
        <f>"HẠNG MỤC : "&amp; 'Bia du toan'!$G$13</f>
        <v>HẠNG MỤC : CẢI TẠO THƯ VIỆN GIAI ĐOẠN 2 - NĂM 2019</v>
      </c>
      <c r="B3" s="263"/>
      <c r="C3" s="263"/>
      <c r="D3" s="263"/>
      <c r="E3" s="263"/>
      <c r="F3" s="263"/>
      <c r="G3" s="265"/>
      <c r="H3" s="263"/>
      <c r="I3" s="266"/>
      <c r="J3" s="266"/>
      <c r="K3" s="263"/>
      <c r="L3" s="263"/>
      <c r="M3" s="263"/>
      <c r="N3" s="263"/>
      <c r="O3" s="263"/>
      <c r="P3" s="263"/>
      <c r="Q3" s="263"/>
      <c r="R3" s="263"/>
      <c r="S3" s="263"/>
      <c r="T3" s="263"/>
      <c r="U3" s="263"/>
      <c r="V3" s="263"/>
      <c r="W3" s="263"/>
      <c r="X3" s="263"/>
      <c r="Y3" s="263"/>
      <c r="Z3" s="263"/>
      <c r="AA3" s="263"/>
      <c r="AB3" s="263"/>
    </row>
    <row r="4" spans="1:28" s="103" customFormat="1" x14ac:dyDescent="0.25">
      <c r="A4" s="243"/>
      <c r="B4" s="243"/>
      <c r="C4" s="243"/>
      <c r="D4" s="243"/>
      <c r="E4" s="243"/>
      <c r="F4" s="243"/>
      <c r="G4" s="260"/>
      <c r="H4" s="243"/>
      <c r="I4" s="244"/>
      <c r="J4" s="244"/>
      <c r="K4" s="243"/>
      <c r="L4" s="243"/>
      <c r="M4" s="243"/>
      <c r="N4" s="243"/>
      <c r="O4" s="243"/>
      <c r="P4" s="243"/>
      <c r="Q4" s="243"/>
      <c r="R4" s="243"/>
      <c r="S4" s="243"/>
      <c r="T4" s="243"/>
      <c r="U4" s="243"/>
      <c r="V4" s="243"/>
      <c r="W4" s="243"/>
      <c r="X4" s="243"/>
      <c r="Y4" s="243"/>
      <c r="Z4" s="243"/>
      <c r="AA4" s="243"/>
      <c r="AB4" s="243"/>
    </row>
    <row r="5" spans="1:28" s="103" customFormat="1" ht="28.5" customHeight="1" x14ac:dyDescent="0.25">
      <c r="A5" s="330" t="s">
        <v>15</v>
      </c>
      <c r="B5" s="161" t="s">
        <v>266</v>
      </c>
      <c r="C5" s="330" t="s">
        <v>256</v>
      </c>
      <c r="D5" s="330" t="s">
        <v>257</v>
      </c>
      <c r="E5" s="330" t="s">
        <v>236</v>
      </c>
      <c r="F5" s="330" t="s">
        <v>270</v>
      </c>
      <c r="G5" s="261" t="s">
        <v>233</v>
      </c>
      <c r="H5" s="331" t="s">
        <v>241</v>
      </c>
      <c r="I5" s="331" t="s">
        <v>238</v>
      </c>
      <c r="J5" s="331" t="s">
        <v>239</v>
      </c>
      <c r="K5" s="241" t="s">
        <v>271</v>
      </c>
      <c r="L5" s="241" t="s">
        <v>272</v>
      </c>
      <c r="M5" s="241" t="s">
        <v>273</v>
      </c>
      <c r="N5" s="241" t="s">
        <v>274</v>
      </c>
      <c r="O5" s="241" t="s">
        <v>275</v>
      </c>
      <c r="P5" s="241" t="s">
        <v>276</v>
      </c>
      <c r="Q5" s="241" t="s">
        <v>277</v>
      </c>
      <c r="R5" s="241" t="s">
        <v>278</v>
      </c>
      <c r="S5" s="241" t="s">
        <v>279</v>
      </c>
      <c r="T5" s="241" t="s">
        <v>280</v>
      </c>
      <c r="U5" s="241" t="s">
        <v>281</v>
      </c>
      <c r="V5" s="241" t="s">
        <v>282</v>
      </c>
      <c r="W5" s="241" t="s">
        <v>283</v>
      </c>
      <c r="X5" s="241" t="s">
        <v>284</v>
      </c>
      <c r="Y5" s="241" t="s">
        <v>285</v>
      </c>
      <c r="Z5" s="241" t="s">
        <v>286</v>
      </c>
      <c r="AA5" s="241" t="s">
        <v>252</v>
      </c>
      <c r="AB5" s="241" t="s">
        <v>253</v>
      </c>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DGCT"/>
  <dimension ref="A1:AV5"/>
  <sheetViews>
    <sheetView showZeros="0" workbookViewId="0"/>
  </sheetViews>
  <sheetFormatPr defaultRowHeight="15" outlineLevelCol="1" x14ac:dyDescent="0.2"/>
  <cols>
    <col min="1" max="1" width="4.85546875" style="119" customWidth="1"/>
    <col min="2" max="2" width="11.28515625" style="119" customWidth="1"/>
    <col min="3" max="3" width="11.5703125" style="119" hidden="1" customWidth="1" outlineLevel="1"/>
    <col min="4" max="4" width="38.140625" style="119" customWidth="1" collapsed="1"/>
    <col min="5" max="5" width="7.140625" style="124" bestFit="1" customWidth="1"/>
    <col min="6" max="6" width="26.42578125" style="119" hidden="1" customWidth="1"/>
    <col min="7" max="7" width="11.140625" style="262" customWidth="1"/>
    <col min="8" max="8" width="6.140625" style="119" hidden="1" customWidth="1"/>
    <col min="9" max="9" width="8.140625" style="259" bestFit="1" customWidth="1"/>
    <col min="10" max="10" width="10.5703125" style="259" bestFit="1" customWidth="1"/>
    <col min="11" max="11" width="13.85546875" style="259" hidden="1" customWidth="1"/>
    <col min="12" max="12" width="10.7109375" style="259" hidden="1" customWidth="1"/>
    <col min="13" max="18" width="10.5703125" style="852" hidden="1" customWidth="1" outlineLevel="1"/>
    <col min="19" max="19" width="15.28515625" style="852" hidden="1" customWidth="1" outlineLevel="1"/>
    <col min="20" max="28" width="10.5703125" style="852" hidden="1" customWidth="1" outlineLevel="1"/>
    <col min="29" max="31" width="9.140625" style="856" hidden="1" customWidth="1" outlineLevel="1"/>
    <col min="32" max="33" width="9.140625" style="852" hidden="1" customWidth="1" outlineLevel="1"/>
    <col min="34" max="37" width="9.140625" style="852" hidden="1" customWidth="1"/>
    <col min="38" max="43" width="9.140625" style="852" hidden="1" customWidth="1" outlineLevel="1"/>
    <col min="44" max="45" width="9.140625" style="119" hidden="1" customWidth="1" outlineLevel="1"/>
    <col min="46" max="48" width="9.140625" style="119" hidden="1" customWidth="1"/>
    <col min="49" max="16384" width="9.140625" style="119"/>
  </cols>
  <sheetData>
    <row r="1" spans="1:48" s="103" customFormat="1" ht="20.25" x14ac:dyDescent="0.3">
      <c r="A1" s="242" t="s">
        <v>3380</v>
      </c>
      <c r="B1" s="243"/>
      <c r="C1" s="243"/>
      <c r="D1" s="243"/>
      <c r="E1" s="243"/>
      <c r="F1" s="243"/>
      <c r="G1" s="260"/>
      <c r="H1" s="243" t="s">
        <v>421</v>
      </c>
      <c r="I1" s="244"/>
      <c r="J1" s="244"/>
      <c r="K1" s="244"/>
      <c r="L1" s="244"/>
      <c r="M1" s="847"/>
      <c r="N1" s="847"/>
      <c r="O1" s="847"/>
      <c r="P1" s="847"/>
      <c r="Q1" s="847"/>
      <c r="R1" s="847"/>
      <c r="S1" s="847"/>
      <c r="T1" s="847"/>
      <c r="U1" s="847"/>
      <c r="V1" s="847"/>
      <c r="W1" s="847"/>
      <c r="X1" s="847"/>
      <c r="Y1" s="847"/>
      <c r="Z1" s="847"/>
      <c r="AA1" s="847"/>
      <c r="AB1" s="847"/>
      <c r="AC1" s="853"/>
      <c r="AD1" s="853"/>
      <c r="AE1" s="853"/>
      <c r="AF1" s="848"/>
      <c r="AG1" s="848"/>
      <c r="AH1" s="848"/>
      <c r="AI1" s="848"/>
      <c r="AJ1" s="848"/>
      <c r="AK1" s="848"/>
      <c r="AL1" s="848"/>
      <c r="AM1" s="848"/>
      <c r="AN1" s="848"/>
      <c r="AO1" s="848"/>
      <c r="AP1" s="848"/>
      <c r="AQ1" s="848"/>
    </row>
    <row r="2" spans="1:48" s="264" customFormat="1" ht="14.25" x14ac:dyDescent="0.2">
      <c r="A2" s="263" t="str">
        <f>"CÔNG TRÌNH : "&amp;'Bia du toan'!$G$12</f>
        <v>CÔNG TRÌNH : TRƯỜNG CAO ĐẲNG LÝ TỰ TRỌNG</v>
      </c>
      <c r="B2" s="263"/>
      <c r="C2" s="263"/>
      <c r="D2" s="263"/>
      <c r="E2" s="263"/>
      <c r="F2" s="263"/>
      <c r="G2" s="265"/>
      <c r="H2" s="263"/>
      <c r="I2" s="266"/>
      <c r="J2" s="266"/>
      <c r="K2" s="266"/>
      <c r="L2" s="266"/>
      <c r="M2" s="849"/>
      <c r="N2" s="849"/>
      <c r="O2" s="849"/>
      <c r="P2" s="849"/>
      <c r="Q2" s="849"/>
      <c r="R2" s="849"/>
      <c r="S2" s="849"/>
      <c r="T2" s="849"/>
      <c r="U2" s="849"/>
      <c r="V2" s="849"/>
      <c r="W2" s="849"/>
      <c r="X2" s="849"/>
      <c r="Y2" s="849"/>
      <c r="Z2" s="849"/>
      <c r="AA2" s="849"/>
      <c r="AB2" s="849"/>
      <c r="AC2" s="854"/>
      <c r="AD2" s="854"/>
      <c r="AE2" s="854"/>
      <c r="AF2" s="850"/>
      <c r="AG2" s="850"/>
      <c r="AH2" s="850"/>
      <c r="AI2" s="850"/>
      <c r="AJ2" s="850"/>
      <c r="AK2" s="850"/>
      <c r="AL2" s="850"/>
      <c r="AM2" s="850"/>
      <c r="AN2" s="850"/>
      <c r="AO2" s="850"/>
      <c r="AP2" s="850"/>
      <c r="AQ2" s="850"/>
    </row>
    <row r="3" spans="1:48" s="264" customFormat="1" ht="14.25" x14ac:dyDescent="0.2">
      <c r="A3" s="263" t="str">
        <f>"HẠNG MỤC : "&amp; 'Bia du toan'!$G$13</f>
        <v>HẠNG MỤC : CẢI TẠO THƯ VIỆN GIAI ĐOẠN 2 - NĂM 2019</v>
      </c>
      <c r="B3" s="263"/>
      <c r="C3" s="263"/>
      <c r="D3" s="263"/>
      <c r="E3" s="263"/>
      <c r="F3" s="263"/>
      <c r="G3" s="265"/>
      <c r="H3" s="263"/>
      <c r="I3" s="266"/>
      <c r="J3" s="266"/>
      <c r="K3" s="266"/>
      <c r="L3" s="266"/>
      <c r="M3" s="849"/>
      <c r="N3" s="849"/>
      <c r="O3" s="849"/>
      <c r="P3" s="849"/>
      <c r="Q3" s="849"/>
      <c r="R3" s="849"/>
      <c r="S3" s="849"/>
      <c r="T3" s="849"/>
      <c r="U3" s="849"/>
      <c r="V3" s="849"/>
      <c r="W3" s="849"/>
      <c r="X3" s="849"/>
      <c r="Y3" s="849"/>
      <c r="Z3" s="849"/>
      <c r="AA3" s="849"/>
      <c r="AB3" s="849"/>
      <c r="AC3" s="854"/>
      <c r="AD3" s="854"/>
      <c r="AE3" s="854"/>
      <c r="AF3" s="850"/>
      <c r="AG3" s="850"/>
      <c r="AH3" s="850"/>
      <c r="AI3" s="850"/>
      <c r="AJ3" s="850"/>
      <c r="AK3" s="850"/>
      <c r="AL3" s="850"/>
      <c r="AM3" s="850"/>
      <c r="AN3" s="850"/>
      <c r="AO3" s="850"/>
      <c r="AP3" s="850"/>
      <c r="AQ3" s="850"/>
    </row>
    <row r="4" spans="1:48" s="103" customFormat="1" x14ac:dyDescent="0.25">
      <c r="A4" s="243"/>
      <c r="B4" s="243"/>
      <c r="C4" s="243"/>
      <c r="D4" s="243"/>
      <c r="E4" s="243"/>
      <c r="F4" s="243"/>
      <c r="G4" s="260"/>
      <c r="H4" s="243"/>
      <c r="I4" s="244"/>
      <c r="J4" s="244"/>
      <c r="K4" s="244"/>
      <c r="L4" s="244"/>
      <c r="M4" s="847"/>
      <c r="N4" s="847"/>
      <c r="O4" s="847"/>
      <c r="P4" s="847"/>
      <c r="Q4" s="847"/>
      <c r="R4" s="847"/>
      <c r="S4" s="847"/>
      <c r="T4" s="847"/>
      <c r="U4" s="847"/>
      <c r="V4" s="847"/>
      <c r="W4" s="847"/>
      <c r="X4" s="847"/>
      <c r="Y4" s="847"/>
      <c r="Z4" s="847"/>
      <c r="AA4" s="847"/>
      <c r="AB4" s="847"/>
      <c r="AC4" s="853"/>
      <c r="AD4" s="853"/>
      <c r="AE4" s="853"/>
      <c r="AF4" s="848"/>
      <c r="AG4" s="848"/>
      <c r="AH4" s="848"/>
      <c r="AI4" s="848"/>
      <c r="AJ4" s="848"/>
      <c r="AK4" s="848"/>
      <c r="AL4" s="848"/>
      <c r="AM4" s="848"/>
      <c r="AN4" s="848"/>
      <c r="AO4" s="848"/>
      <c r="AP4" s="848"/>
      <c r="AQ4" s="848"/>
    </row>
    <row r="5" spans="1:48" s="103" customFormat="1" ht="28.5" customHeight="1" x14ac:dyDescent="0.25">
      <c r="A5" s="857" t="s">
        <v>15</v>
      </c>
      <c r="B5" s="395" t="s">
        <v>266</v>
      </c>
      <c r="C5" s="857" t="s">
        <v>256</v>
      </c>
      <c r="D5" s="857" t="s">
        <v>257</v>
      </c>
      <c r="E5" s="857" t="s">
        <v>236</v>
      </c>
      <c r="F5" s="857" t="s">
        <v>270</v>
      </c>
      <c r="G5" s="287" t="s">
        <v>233</v>
      </c>
      <c r="H5" s="858" t="s">
        <v>241</v>
      </c>
      <c r="I5" s="858" t="s">
        <v>238</v>
      </c>
      <c r="J5" s="858" t="s">
        <v>239</v>
      </c>
      <c r="K5" s="858" t="s">
        <v>271</v>
      </c>
      <c r="L5" s="858" t="s">
        <v>272</v>
      </c>
      <c r="M5" s="859" t="s">
        <v>273</v>
      </c>
      <c r="N5" s="859" t="s">
        <v>274</v>
      </c>
      <c r="O5" s="859" t="s">
        <v>275</v>
      </c>
      <c r="P5" s="859" t="s">
        <v>276</v>
      </c>
      <c r="Q5" s="859" t="s">
        <v>277</v>
      </c>
      <c r="R5" s="859" t="s">
        <v>278</v>
      </c>
      <c r="S5" s="859" t="s">
        <v>279</v>
      </c>
      <c r="T5" s="859" t="s">
        <v>280</v>
      </c>
      <c r="U5" s="859" t="s">
        <v>281</v>
      </c>
      <c r="V5" s="859" t="s">
        <v>282</v>
      </c>
      <c r="W5" s="859" t="s">
        <v>283</v>
      </c>
      <c r="X5" s="859" t="s">
        <v>284</v>
      </c>
      <c r="Y5" s="859" t="s">
        <v>285</v>
      </c>
      <c r="Z5" s="859" t="s">
        <v>286</v>
      </c>
      <c r="AA5" s="851" t="s">
        <v>252</v>
      </c>
      <c r="AB5" s="851" t="s">
        <v>253</v>
      </c>
      <c r="AC5" s="855" t="s">
        <v>3265</v>
      </c>
      <c r="AD5" s="855" t="s">
        <v>3266</v>
      </c>
      <c r="AE5" s="855" t="s">
        <v>3267</v>
      </c>
      <c r="AF5" s="851" t="s">
        <v>238</v>
      </c>
      <c r="AG5" s="851" t="s">
        <v>239</v>
      </c>
      <c r="AH5" s="851" t="s">
        <v>3268</v>
      </c>
      <c r="AI5" s="851" t="s">
        <v>3271</v>
      </c>
      <c r="AJ5" s="851" t="s">
        <v>3269</v>
      </c>
      <c r="AK5" s="851" t="s">
        <v>3270</v>
      </c>
      <c r="AL5" s="851" t="s">
        <v>3392</v>
      </c>
      <c r="AM5" s="851" t="s">
        <v>3393</v>
      </c>
      <c r="AN5" s="851" t="s">
        <v>3394</v>
      </c>
      <c r="AO5" s="851" t="s">
        <v>3376</v>
      </c>
      <c r="AP5" s="851" t="s">
        <v>3377</v>
      </c>
      <c r="AQ5" s="851" t="s">
        <v>3378</v>
      </c>
      <c r="AR5" s="851" t="s">
        <v>3379</v>
      </c>
      <c r="AS5" s="851" t="s">
        <v>1210</v>
      </c>
      <c r="AT5" s="851" t="s">
        <v>1209</v>
      </c>
      <c r="AU5" s="851" t="s">
        <v>3397</v>
      </c>
      <c r="AV5" s="851" t="s">
        <v>3398</v>
      </c>
    </row>
  </sheetData>
  <phoneticPr fontId="2" type="noConversion"/>
  <pageMargins left="0.55118110236220497" right="0.196850393700787" top="0.43307086614173201" bottom="0.59055118110236204" header="0.15748031496063" footer="0.23622047244094499"/>
  <pageSetup paperSize="9" orientation="portrait" r:id="rId1"/>
  <headerFooter alignWithMargins="0">
    <oddHeader>&amp;L&amp;"Times New Roman,Bold Italic"&amp;9Dự toán Bắc Nam  - ÐT: 0966.966.455</oddHeader>
    <oddFooter>&amp;R&amp;9Trang &amp;P/&amp;N</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Duthau"/>
  <dimension ref="A1:BB6"/>
  <sheetViews>
    <sheetView zoomScaleNormal="100" workbookViewId="0"/>
  </sheetViews>
  <sheetFormatPr defaultRowHeight="15" outlineLevelCol="1" x14ac:dyDescent="0.25"/>
  <cols>
    <col min="1" max="1" width="4.42578125" style="103" customWidth="1"/>
    <col min="2" max="2" width="9.28515625" style="103" bestFit="1" customWidth="1"/>
    <col min="3" max="3" width="38.28515625" style="103" customWidth="1"/>
    <col min="4" max="4" width="7.140625" style="140" customWidth="1"/>
    <col min="5" max="5" width="7.140625" style="269" bestFit="1" customWidth="1"/>
    <col min="6" max="7" width="21.42578125" style="270" hidden="1" customWidth="1"/>
    <col min="8" max="8" width="6.140625" style="103" hidden="1" customWidth="1" outlineLevel="1"/>
    <col min="9" max="9" width="7.140625" style="103" hidden="1" customWidth="1" outlineLevel="1"/>
    <col min="10" max="10" width="6.5703125" style="103" hidden="1" customWidth="1" outlineLevel="1"/>
    <col min="11" max="11" width="8" style="103" hidden="1" customWidth="1" outlineLevel="1"/>
    <col min="12" max="12" width="5.5703125" style="103" hidden="1" customWidth="1" outlineLevel="1"/>
    <col min="13" max="13" width="11.28515625" style="103" hidden="1" customWidth="1" outlineLevel="1"/>
    <col min="14" max="14" width="4.5703125" style="103" hidden="1" customWidth="1" outlineLevel="1"/>
    <col min="15" max="15" width="11.28515625" style="103" hidden="1" customWidth="1" outlineLevel="1"/>
    <col min="16" max="16" width="8.140625" style="103" hidden="1" customWidth="1" outlineLevel="1"/>
    <col min="17" max="17" width="11.140625" style="103" hidden="1" customWidth="1" outlineLevel="1"/>
    <col min="18" max="18" width="4.42578125" style="103" hidden="1" customWidth="1" outlineLevel="1"/>
    <col min="19" max="19" width="10.28515625" style="103" hidden="1" customWidth="1" outlineLevel="1"/>
    <col min="20" max="20" width="9" style="103" hidden="1" customWidth="1" outlineLevel="1"/>
    <col min="21" max="21" width="6.140625" style="103" hidden="1" customWidth="1" outlineLevel="1"/>
    <col min="22" max="22" width="8.5703125" style="103" hidden="1" customWidth="1" outlineLevel="1"/>
    <col min="23" max="23" width="6.42578125" style="103" hidden="1" customWidth="1" outlineLevel="1"/>
    <col min="24" max="24" width="4.85546875" style="103" hidden="1" customWidth="1" outlineLevel="1"/>
    <col min="25" max="25" width="8.5703125" style="103" hidden="1" customWidth="1" outlineLevel="1"/>
    <col min="26" max="26" width="11.7109375" style="103" hidden="1" customWidth="1" outlineLevel="1"/>
    <col min="27" max="27" width="4.85546875" style="103" hidden="1" customWidth="1" outlineLevel="1"/>
    <col min="28" max="28" width="13.42578125" style="103" hidden="1" customWidth="1" outlineLevel="1"/>
    <col min="29" max="29" width="7.85546875" style="103" hidden="1" customWidth="1" outlineLevel="1"/>
    <col min="30" max="30" width="6" style="103" hidden="1" customWidth="1"/>
    <col min="31" max="31" width="7" style="103" hidden="1" customWidth="1"/>
    <col min="32" max="32" width="6.28515625" style="103" hidden="1" customWidth="1"/>
    <col min="33" max="33" width="7.42578125" style="103" hidden="1" customWidth="1"/>
    <col min="34" max="36" width="5.85546875" style="103" hidden="1" customWidth="1" outlineLevel="1"/>
    <col min="37" max="37" width="5" style="103" hidden="1" customWidth="1" outlineLevel="1"/>
    <col min="38" max="38" width="7.7109375" style="103" hidden="1" customWidth="1" outlineLevel="1"/>
    <col min="39" max="39" width="10.28515625" style="103" hidden="1" customWidth="1" outlineLevel="1"/>
    <col min="40" max="40" width="7.140625" style="103" hidden="1" customWidth="1" outlineLevel="1"/>
    <col min="41" max="41" width="9.140625" style="103" hidden="1" customWidth="1" outlineLevel="1"/>
    <col min="42" max="42" width="8.140625" style="103" bestFit="1" customWidth="1" collapsed="1"/>
    <col min="43" max="43" width="16.28515625" style="103" customWidth="1"/>
    <col min="44" max="45" width="0" style="103" hidden="1" customWidth="1"/>
    <col min="46" max="53" width="0" style="103" hidden="1" customWidth="1" outlineLevel="1"/>
    <col min="54" max="54" width="9.140625" style="103" collapsed="1"/>
    <col min="55" max="16384" width="9.140625" style="103"/>
  </cols>
  <sheetData>
    <row r="1" spans="1:53" ht="20.25" x14ac:dyDescent="0.3">
      <c r="A1" s="242" t="s">
        <v>292</v>
      </c>
      <c r="B1" s="243"/>
      <c r="C1" s="243"/>
      <c r="D1" s="243"/>
      <c r="E1" s="267"/>
      <c r="F1" s="244"/>
      <c r="G1" s="244"/>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row>
    <row r="2" spans="1:53" s="264" customFormat="1" ht="14.25" x14ac:dyDescent="0.2">
      <c r="A2" s="263" t="str">
        <f>"CÔNG TRÌNH : "&amp;'Bia du toan'!$G$12</f>
        <v>CÔNG TRÌNH : TRƯỜNG CAO ĐẲNG LÝ TỰ TRỌNG</v>
      </c>
      <c r="B2" s="263"/>
      <c r="C2" s="263"/>
      <c r="D2" s="263"/>
      <c r="E2" s="268"/>
      <c r="F2" s="266"/>
      <c r="G2" s="266"/>
      <c r="H2" s="263"/>
      <c r="I2" s="263"/>
      <c r="J2" s="263"/>
      <c r="K2" s="263"/>
      <c r="L2" s="263"/>
      <c r="M2" s="263"/>
      <c r="N2" s="263"/>
      <c r="O2" s="263"/>
      <c r="P2" s="263"/>
      <c r="Q2" s="263"/>
      <c r="R2" s="263"/>
      <c r="S2" s="263"/>
      <c r="T2" s="263"/>
      <c r="U2" s="263"/>
      <c r="V2" s="263"/>
      <c r="W2" s="263"/>
      <c r="X2" s="263"/>
      <c r="Y2" s="263"/>
      <c r="Z2" s="263"/>
      <c r="AA2" s="263"/>
      <c r="AB2" s="263"/>
      <c r="AC2" s="263"/>
      <c r="AD2" s="263"/>
      <c r="AE2" s="263"/>
      <c r="AF2" s="263"/>
      <c r="AG2" s="263"/>
      <c r="AH2" s="263"/>
      <c r="AI2" s="263"/>
      <c r="AJ2" s="263"/>
      <c r="AK2" s="263"/>
      <c r="AL2" s="263"/>
      <c r="AM2" s="263"/>
      <c r="AN2" s="263"/>
      <c r="AO2" s="263"/>
      <c r="AP2" s="263"/>
      <c r="AQ2" s="263"/>
    </row>
    <row r="3" spans="1:53" s="264" customFormat="1" ht="14.25" x14ac:dyDescent="0.2">
      <c r="A3" s="263" t="str">
        <f>"HẠNG MỤC : "&amp; 'Bia du toan'!$G$13</f>
        <v>HẠNG MỤC : CẢI TẠO THƯ VIỆN GIAI ĐOẠN 2 - NĂM 2019</v>
      </c>
      <c r="B3" s="263"/>
      <c r="C3" s="263"/>
      <c r="D3" s="263"/>
      <c r="E3" s="268"/>
      <c r="F3" s="266"/>
      <c r="G3" s="266"/>
      <c r="H3" s="263"/>
      <c r="I3" s="263"/>
      <c r="J3" s="263"/>
      <c r="K3" s="263"/>
      <c r="L3" s="263"/>
      <c r="M3" s="263"/>
      <c r="N3" s="263"/>
      <c r="O3" s="263"/>
      <c r="P3" s="263"/>
      <c r="Q3" s="263"/>
      <c r="R3" s="263"/>
      <c r="S3" s="263"/>
      <c r="T3" s="263"/>
      <c r="U3" s="263"/>
      <c r="V3" s="263"/>
      <c r="W3" s="263"/>
      <c r="X3" s="263"/>
      <c r="Y3" s="263"/>
      <c r="Z3" s="263"/>
      <c r="AA3" s="263"/>
      <c r="AB3" s="263"/>
      <c r="AC3" s="263"/>
      <c r="AD3" s="263"/>
      <c r="AE3" s="263"/>
      <c r="AF3" s="263"/>
      <c r="AG3" s="263"/>
      <c r="AH3" s="263"/>
      <c r="AI3" s="263"/>
      <c r="AJ3" s="263"/>
      <c r="AK3" s="263"/>
      <c r="AL3" s="263"/>
      <c r="AM3" s="263"/>
      <c r="AN3" s="263"/>
      <c r="AO3" s="263"/>
      <c r="AP3" s="263"/>
      <c r="AQ3" s="263"/>
    </row>
    <row r="4" spans="1:53" x14ac:dyDescent="0.25">
      <c r="A4" s="243"/>
      <c r="B4" s="243"/>
      <c r="C4" s="243"/>
      <c r="D4" s="243"/>
      <c r="E4" s="267"/>
      <c r="F4" s="244"/>
      <c r="G4" s="244"/>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3"/>
      <c r="AG4" s="243"/>
      <c r="AH4" s="243"/>
      <c r="AI4" s="243"/>
      <c r="AJ4" s="243"/>
      <c r="AK4" s="243"/>
      <c r="AL4" s="243"/>
      <c r="AM4" s="243"/>
      <c r="AN4" s="243"/>
      <c r="AO4" s="243"/>
      <c r="AP4" s="243"/>
      <c r="AQ4" s="243"/>
    </row>
    <row r="5" spans="1:53" ht="15" customHeight="1" x14ac:dyDescent="0.25">
      <c r="A5" s="1753" t="s">
        <v>15</v>
      </c>
      <c r="B5" s="1752" t="s">
        <v>234</v>
      </c>
      <c r="C5" s="1753" t="s">
        <v>235</v>
      </c>
      <c r="D5" s="1753" t="s">
        <v>236</v>
      </c>
      <c r="E5" s="1756" t="s">
        <v>690</v>
      </c>
      <c r="F5" s="1785" t="s">
        <v>3744</v>
      </c>
      <c r="G5" s="1785" t="s">
        <v>3391</v>
      </c>
      <c r="H5" s="184" t="s">
        <v>287</v>
      </c>
      <c r="I5" s="184"/>
      <c r="J5" s="184"/>
      <c r="K5" s="184"/>
      <c r="L5" s="184" t="s">
        <v>288</v>
      </c>
      <c r="M5" s="184"/>
      <c r="N5" s="184"/>
      <c r="O5" s="184"/>
      <c r="P5" s="184"/>
      <c r="Q5" s="184"/>
      <c r="R5" s="184"/>
      <c r="S5" s="184"/>
      <c r="T5" s="184"/>
      <c r="U5" s="184"/>
      <c r="V5" s="1786" t="s">
        <v>289</v>
      </c>
      <c r="W5" s="1786"/>
      <c r="X5" s="1786"/>
      <c r="Y5" s="1786" t="s">
        <v>290</v>
      </c>
      <c r="Z5" s="1786"/>
      <c r="AA5" s="1786"/>
      <c r="AB5" s="1786" t="s">
        <v>291</v>
      </c>
      <c r="AC5" s="1786" t="s">
        <v>253</v>
      </c>
      <c r="AD5" s="1787" t="s">
        <v>3268</v>
      </c>
      <c r="AE5" s="1787" t="s">
        <v>3271</v>
      </c>
      <c r="AF5" s="1787" t="s">
        <v>3269</v>
      </c>
      <c r="AG5" s="1787" t="s">
        <v>3270</v>
      </c>
      <c r="AH5" s="1787" t="s">
        <v>3392</v>
      </c>
      <c r="AI5" s="1787" t="s">
        <v>3393</v>
      </c>
      <c r="AJ5" s="1787" t="s">
        <v>3394</v>
      </c>
      <c r="AK5" s="1787" t="s">
        <v>3376</v>
      </c>
      <c r="AL5" s="1787" t="s">
        <v>3377</v>
      </c>
      <c r="AM5" s="1787" t="s">
        <v>3378</v>
      </c>
      <c r="AN5" s="1787" t="s">
        <v>3379</v>
      </c>
      <c r="AO5" s="1787" t="s">
        <v>1210</v>
      </c>
      <c r="AP5" s="1787" t="s">
        <v>1209</v>
      </c>
      <c r="AQ5" s="1785" t="s">
        <v>239</v>
      </c>
      <c r="AR5" s="1788" t="s">
        <v>3397</v>
      </c>
      <c r="AS5" s="1788" t="s">
        <v>3398</v>
      </c>
      <c r="AT5" s="1785" t="s">
        <v>3645</v>
      </c>
      <c r="AU5" s="1785"/>
      <c r="AV5" s="1785"/>
      <c r="AW5" s="1785"/>
      <c r="AX5" s="1785" t="s">
        <v>241</v>
      </c>
      <c r="AY5" s="1785"/>
      <c r="AZ5" s="1785"/>
      <c r="BA5" s="1785"/>
    </row>
    <row r="6" spans="1:53" ht="24" x14ac:dyDescent="0.25">
      <c r="A6" s="1753"/>
      <c r="B6" s="1752"/>
      <c r="C6" s="1753"/>
      <c r="D6" s="1753"/>
      <c r="E6" s="1756"/>
      <c r="F6" s="1785"/>
      <c r="G6" s="1785"/>
      <c r="H6" s="1150" t="s">
        <v>273</v>
      </c>
      <c r="I6" s="1150" t="s">
        <v>274</v>
      </c>
      <c r="J6" s="1150" t="s">
        <v>275</v>
      </c>
      <c r="K6" s="1150" t="s">
        <v>276</v>
      </c>
      <c r="L6" s="1150" t="s">
        <v>277</v>
      </c>
      <c r="M6" s="1150" t="s">
        <v>278</v>
      </c>
      <c r="N6" s="1150" t="s">
        <v>484</v>
      </c>
      <c r="O6" s="1150" t="s">
        <v>280</v>
      </c>
      <c r="P6" s="1150" t="s">
        <v>281</v>
      </c>
      <c r="Q6" s="1150" t="s">
        <v>282</v>
      </c>
      <c r="R6" s="1150" t="s">
        <v>283</v>
      </c>
      <c r="S6" s="1150" t="s">
        <v>284</v>
      </c>
      <c r="T6" s="1150" t="s">
        <v>285</v>
      </c>
      <c r="U6" s="1150" t="s">
        <v>286</v>
      </c>
      <c r="V6" s="1150" t="s">
        <v>245</v>
      </c>
      <c r="W6" s="1150" t="s">
        <v>247</v>
      </c>
      <c r="X6" s="1150" t="s">
        <v>248</v>
      </c>
      <c r="Y6" s="1150" t="s">
        <v>245</v>
      </c>
      <c r="Z6" s="1150" t="s">
        <v>247</v>
      </c>
      <c r="AA6" s="1150" t="s">
        <v>248</v>
      </c>
      <c r="AB6" s="1786"/>
      <c r="AC6" s="1786"/>
      <c r="AD6" s="1787"/>
      <c r="AE6" s="1787"/>
      <c r="AF6" s="1787"/>
      <c r="AG6" s="1787"/>
      <c r="AH6" s="1787"/>
      <c r="AI6" s="1787"/>
      <c r="AJ6" s="1787"/>
      <c r="AK6" s="1787"/>
      <c r="AL6" s="1787"/>
      <c r="AM6" s="1787"/>
      <c r="AN6" s="1787"/>
      <c r="AO6" s="1787"/>
      <c r="AP6" s="1787"/>
      <c r="AQ6" s="1785"/>
      <c r="AR6" s="1788"/>
      <c r="AS6" s="1788"/>
      <c r="AT6" s="1151" t="s">
        <v>245</v>
      </c>
      <c r="AU6" s="1151" t="s">
        <v>3642</v>
      </c>
      <c r="AV6" s="1151" t="s">
        <v>89</v>
      </c>
      <c r="AW6" s="1151" t="s">
        <v>3646</v>
      </c>
      <c r="AX6" s="1151" t="s">
        <v>245</v>
      </c>
      <c r="AY6" s="1151" t="s">
        <v>3642</v>
      </c>
      <c r="AZ6" s="1151" t="s">
        <v>89</v>
      </c>
      <c r="BA6" s="1151" t="s">
        <v>3646</v>
      </c>
    </row>
  </sheetData>
  <mergeCells count="29">
    <mergeCell ref="V5:X5"/>
    <mergeCell ref="AT5:AW5"/>
    <mergeCell ref="AO5:AO6"/>
    <mergeCell ref="A5:A6"/>
    <mergeCell ref="B5:B6"/>
    <mergeCell ref="C5:C6"/>
    <mergeCell ref="D5:D6"/>
    <mergeCell ref="Y5:AA5"/>
    <mergeCell ref="E5:E6"/>
    <mergeCell ref="F5:F6"/>
    <mergeCell ref="G5:G6"/>
    <mergeCell ref="AG5:AG6"/>
    <mergeCell ref="AP5:AP6"/>
    <mergeCell ref="AE5:AE6"/>
    <mergeCell ref="AS5:AS6"/>
    <mergeCell ref="AR5:AR6"/>
    <mergeCell ref="AX5:BA5"/>
    <mergeCell ref="AB5:AB6"/>
    <mergeCell ref="AL5:AL6"/>
    <mergeCell ref="AC5:AC6"/>
    <mergeCell ref="AD5:AD6"/>
    <mergeCell ref="AM5:AM6"/>
    <mergeCell ref="AF5:AF6"/>
    <mergeCell ref="AQ5:AQ6"/>
    <mergeCell ref="AN5:AN6"/>
    <mergeCell ref="AK5:AK6"/>
    <mergeCell ref="AH5:AH6"/>
    <mergeCell ref="AJ5:AJ6"/>
    <mergeCell ref="AI5:AI6"/>
  </mergeCells>
  <phoneticPr fontId="2" type="noConversion"/>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DT_Goithau"/>
  <dimension ref="A1:J25"/>
  <sheetViews>
    <sheetView showGridLines="0" workbookViewId="0">
      <selection activeCell="D23" sqref="D23"/>
    </sheetView>
  </sheetViews>
  <sheetFormatPr defaultRowHeight="12.75" outlineLevelRow="1" outlineLevelCol="1" x14ac:dyDescent="0.2"/>
  <cols>
    <col min="1" max="1" width="5" style="1" bestFit="1" customWidth="1"/>
    <col min="2" max="2" width="9.140625" style="1" hidden="1" customWidth="1" outlineLevel="1"/>
    <col min="3" max="3" width="62.42578125" style="1" customWidth="1" collapsed="1"/>
    <col min="4" max="4" width="28" style="1" bestFit="1" customWidth="1"/>
    <col min="5" max="5" width="14.7109375" style="1" customWidth="1"/>
    <col min="6" max="6" width="12.42578125" style="1" bestFit="1" customWidth="1"/>
    <col min="7" max="7" width="17.140625" style="1" customWidth="1"/>
    <col min="8" max="8" width="9.85546875" style="1" bestFit="1" customWidth="1"/>
    <col min="9" max="9" width="10.140625" style="1" customWidth="1" outlineLevel="1"/>
    <col min="10" max="10" width="9.140625" style="1" customWidth="1" outlineLevel="1"/>
    <col min="11" max="16384" width="9.140625" style="1"/>
  </cols>
  <sheetData>
    <row r="1" spans="1:10" s="350" customFormat="1" ht="20.25" x14ac:dyDescent="0.3">
      <c r="A1" s="349" t="s">
        <v>1087</v>
      </c>
      <c r="B1" s="349"/>
      <c r="C1" s="349"/>
      <c r="D1" s="349"/>
      <c r="E1" s="349"/>
      <c r="F1" s="349"/>
      <c r="G1" s="349"/>
      <c r="H1" s="349"/>
    </row>
    <row r="2" spans="1:10" s="348" customFormat="1" ht="15.75" x14ac:dyDescent="0.25">
      <c r="A2" s="245" t="str">
        <f>"CÔNG TRÌNH : "&amp;'Bia du toan'!$G$12</f>
        <v>CÔNG TRÌNH : TRƯỜNG CAO ĐẲNG LÝ TỰ TRỌNG</v>
      </c>
      <c r="B2" s="352"/>
      <c r="C2" s="352"/>
      <c r="D2" s="352"/>
      <c r="E2" s="352"/>
      <c r="F2" s="352"/>
      <c r="G2" s="352"/>
      <c r="H2" s="352"/>
    </row>
    <row r="3" spans="1:10" s="348" customFormat="1" ht="15.75" x14ac:dyDescent="0.25">
      <c r="A3" s="556" t="str">
        <f>"GÓI THẦU : "&amp; 'Bia du toan'!$G$13</f>
        <v>GÓI THẦU : CẢI TẠO THƯ VIỆN GIAI ĐOẠN 2 - NĂM 2019</v>
      </c>
      <c r="B3" s="352"/>
      <c r="C3" s="352"/>
      <c r="D3" s="352"/>
      <c r="E3" s="352"/>
      <c r="F3" s="352"/>
      <c r="G3" s="352"/>
      <c r="H3" s="352"/>
      <c r="I3" s="351"/>
    </row>
    <row r="5" spans="1:10" s="350" customFormat="1" ht="28.5" x14ac:dyDescent="0.2">
      <c r="A5" s="382" t="s">
        <v>15</v>
      </c>
      <c r="B5" s="382" t="s">
        <v>266</v>
      </c>
      <c r="C5" s="382" t="s">
        <v>666</v>
      </c>
      <c r="D5" s="367" t="s">
        <v>554</v>
      </c>
      <c r="E5" s="367" t="s">
        <v>1157</v>
      </c>
      <c r="F5" s="382" t="s">
        <v>1091</v>
      </c>
      <c r="G5" s="367" t="s">
        <v>1144</v>
      </c>
      <c r="H5" s="382" t="s">
        <v>667</v>
      </c>
      <c r="I5" s="367" t="s">
        <v>712</v>
      </c>
      <c r="J5" s="367" t="s">
        <v>3595</v>
      </c>
    </row>
    <row r="6" spans="1:10" s="351" customFormat="1" ht="18.75" x14ac:dyDescent="0.25">
      <c r="A6" s="353">
        <v>1</v>
      </c>
      <c r="B6" s="359" t="s">
        <v>1076</v>
      </c>
      <c r="C6" s="356" t="s">
        <v>1089</v>
      </c>
      <c r="D6" s="353" t="s">
        <v>1150</v>
      </c>
      <c r="E6" s="385">
        <f>TH_CPXD!E8</f>
        <v>383074470.00081599</v>
      </c>
      <c r="F6" s="385">
        <f>E6*Config!D15%</f>
        <v>38307447.000081599</v>
      </c>
      <c r="G6" s="385">
        <f>F6+E6</f>
        <v>421381917.00089759</v>
      </c>
      <c r="H6" s="353" t="s">
        <v>1170</v>
      </c>
      <c r="I6" s="398"/>
      <c r="J6" s="398"/>
    </row>
    <row r="7" spans="1:10" s="351" customFormat="1" ht="18.75" x14ac:dyDescent="0.25">
      <c r="A7" s="353">
        <v>2</v>
      </c>
      <c r="B7" s="359" t="s">
        <v>1088</v>
      </c>
      <c r="C7" s="356" t="s">
        <v>1068</v>
      </c>
      <c r="D7" s="723" t="s">
        <v>1123</v>
      </c>
      <c r="E7" s="385">
        <f>'CP HMC'!E14</f>
        <v>13407606.450028559</v>
      </c>
      <c r="F7" s="385">
        <f>'CP HMC'!F14</f>
        <v>1340760.6450028559</v>
      </c>
      <c r="G7" s="557">
        <f>'CP HMC'!G14</f>
        <v>14748367.095031416</v>
      </c>
      <c r="H7" s="353" t="s">
        <v>1171</v>
      </c>
      <c r="I7" s="441">
        <f>IF(G7=0,0,G7/$G$6)</f>
        <v>3.5000000000000003E-2</v>
      </c>
      <c r="J7" s="441">
        <f>I7</f>
        <v>3.5000000000000003E-2</v>
      </c>
    </row>
    <row r="8" spans="1:10" s="757" customFormat="1" ht="15.75" hidden="1" outlineLevel="1" x14ac:dyDescent="0.2">
      <c r="A8" s="752"/>
      <c r="B8" s="753"/>
      <c r="C8" s="754" t="str">
        <f>'CP HMC'!C6</f>
        <v xml:space="preserve">Chi phí xây dựng nhà tạm tại hiện trường để ở và điều hành thi công </v>
      </c>
      <c r="D8" s="353" t="str">
        <f>'CP HMC'!D6</f>
        <v>(GXD+GTB_LD)*1%</v>
      </c>
      <c r="E8" s="385">
        <f>'CP HMC'!E6</f>
        <v>3830744.70000816</v>
      </c>
      <c r="F8" s="385">
        <f>'CP HMC'!F6</f>
        <v>383074.47000081604</v>
      </c>
      <c r="G8" s="385">
        <f>'CP HMC'!G6</f>
        <v>4213819.170008976</v>
      </c>
      <c r="H8" s="353"/>
      <c r="I8" s="756"/>
      <c r="J8" s="756"/>
    </row>
    <row r="9" spans="1:10" s="757" customFormat="1" ht="15.75" hidden="1" outlineLevel="1" x14ac:dyDescent="0.2">
      <c r="A9" s="752"/>
      <c r="B9" s="753"/>
      <c r="C9" s="754" t="str">
        <f>'CP HMC'!C7</f>
        <v>Chi phí một số công tác không xác định được khối lượng từ thiết kế</v>
      </c>
      <c r="D9" s="353" t="str">
        <f>'CP HMC'!D7</f>
        <v>(GXD+GTB_LD)*2.5%</v>
      </c>
      <c r="E9" s="385">
        <f>'CP HMC'!E7</f>
        <v>9576861.7500203997</v>
      </c>
      <c r="F9" s="385">
        <f>'CP HMC'!F7</f>
        <v>957686.17500203999</v>
      </c>
      <c r="G9" s="385">
        <f>'CP HMC'!G7</f>
        <v>10534547.92502244</v>
      </c>
      <c r="H9" s="353"/>
      <c r="I9" s="756"/>
      <c r="J9" s="756"/>
    </row>
    <row r="10" spans="1:10" s="757" customFormat="1" ht="15.75" hidden="1" outlineLevel="1" x14ac:dyDescent="0.2">
      <c r="A10" s="752"/>
      <c r="B10" s="753"/>
      <c r="C10" s="754" t="str">
        <f>'CP HMC'!C8</f>
        <v>Các chi phí hạng mục chung còn lại</v>
      </c>
      <c r="D10" s="353">
        <f>'CP HMC'!D8</f>
        <v>0</v>
      </c>
      <c r="E10" s="385">
        <f>'CP HMC'!E8</f>
        <v>0</v>
      </c>
      <c r="F10" s="385">
        <f>'CP HMC'!F8</f>
        <v>0</v>
      </c>
      <c r="G10" s="385">
        <f>'CP HMC'!G8</f>
        <v>0</v>
      </c>
      <c r="H10" s="353"/>
      <c r="I10" s="756"/>
      <c r="J10" s="756"/>
    </row>
    <row r="11" spans="1:10" s="757" customFormat="1" ht="47.25" hidden="1" outlineLevel="1" x14ac:dyDescent="0.2">
      <c r="A11" s="752"/>
      <c r="B11" s="753"/>
      <c r="C11" s="755" t="str">
        <f>'CP HMC'!C9</f>
        <v>Chi phí di chuyển máy, thiết bị thi công đặc chủng và lực lượng lao động (có tay nghề thuộc biên chế quản lý của doanh nghiệp) đến và ra khỏi công trường</v>
      </c>
      <c r="D11" s="353">
        <f>'CP HMC'!D9</f>
        <v>0</v>
      </c>
      <c r="E11" s="385">
        <f>'CP HMC'!E9</f>
        <v>0</v>
      </c>
      <c r="F11" s="385">
        <f>'CP HMC'!F9</f>
        <v>0</v>
      </c>
      <c r="G11" s="385">
        <f>'CP HMC'!G9</f>
        <v>0</v>
      </c>
      <c r="H11" s="353"/>
      <c r="I11" s="756"/>
      <c r="J11" s="756"/>
    </row>
    <row r="12" spans="1:10" s="757" customFormat="1" ht="15.75" hidden="1" outlineLevel="1" x14ac:dyDescent="0.2">
      <c r="A12" s="752"/>
      <c r="B12" s="753"/>
      <c r="C12" s="755" t="str">
        <f>'CP HMC'!C10</f>
        <v>Chi phí bảo đảm an toàn giao thông phục vụ thi công (nếu có)</v>
      </c>
      <c r="D12" s="353">
        <f>'CP HMC'!D10</f>
        <v>0</v>
      </c>
      <c r="E12" s="385">
        <f>'CP HMC'!E10</f>
        <v>0</v>
      </c>
      <c r="F12" s="385">
        <f>'CP HMC'!F10</f>
        <v>0</v>
      </c>
      <c r="G12" s="385">
        <f>'CP HMC'!G10</f>
        <v>0</v>
      </c>
      <c r="H12" s="353"/>
      <c r="I12" s="756"/>
      <c r="J12" s="756"/>
    </row>
    <row r="13" spans="1:10" s="757" customFormat="1" ht="31.5" hidden="1" outlineLevel="1" x14ac:dyDescent="0.2">
      <c r="A13" s="752"/>
      <c r="B13" s="753"/>
      <c r="C13" s="755" t="str">
        <f>'CP HMC'!C11</f>
        <v>Chi phí hoàn trả hạ tầng kỹ thuật do bị ảnh hưởng khi thi công xây dựng công trình (nếu có)</v>
      </c>
      <c r="D13" s="353">
        <f>'CP HMC'!D11</f>
        <v>0</v>
      </c>
      <c r="E13" s="385">
        <f>'CP HMC'!E11</f>
        <v>0</v>
      </c>
      <c r="F13" s="385">
        <f>'CP HMC'!F11</f>
        <v>0</v>
      </c>
      <c r="G13" s="385">
        <f>'CP HMC'!G11</f>
        <v>0</v>
      </c>
      <c r="H13" s="353"/>
      <c r="I13" s="756"/>
      <c r="J13" s="756"/>
    </row>
    <row r="14" spans="1:10" s="757" customFormat="1" ht="15.75" hidden="1" outlineLevel="1" x14ac:dyDescent="0.2">
      <c r="A14" s="752"/>
      <c r="B14" s="753"/>
      <c r="C14" s="755" t="str">
        <f>'CP HMC'!C12</f>
        <v>Chi phí kho bãi chứa vật liệu (nếu có)</v>
      </c>
      <c r="D14" s="353">
        <f>'CP HMC'!D12</f>
        <v>0</v>
      </c>
      <c r="E14" s="385">
        <f>'CP HMC'!E12</f>
        <v>0</v>
      </c>
      <c r="F14" s="385">
        <f>'CP HMC'!F12</f>
        <v>0</v>
      </c>
      <c r="G14" s="385">
        <f>'CP HMC'!G12</f>
        <v>0</v>
      </c>
      <c r="H14" s="353"/>
      <c r="I14" s="756"/>
      <c r="J14" s="756"/>
    </row>
    <row r="15" spans="1:10" s="757" customFormat="1" ht="110.25" hidden="1" outlineLevel="1" x14ac:dyDescent="0.2">
      <c r="A15" s="752"/>
      <c r="B15" s="753"/>
      <c r="C15" s="755" t="str">
        <f>'CP HMC'!C13</f>
        <v>Chi phí xây dựng nhà bao che cho máy, nền móng máy, hệ thống cấp điện, khí nén, hệ thống cấp thoát nước tại hiện trường, lắp đặt, tháo dỡ một số loại máy (như trạm trộn bê tông xi măng, trạm trộn bê tông nhựa, cần trục di chuyển trên ray, cần trục tháp, một số loại máy, thiết bị thi công xây dựng khác có tính chất tương tự) và được xác định bằng phương pháp lập dự toán hoặc dự tính chi phí</v>
      </c>
      <c r="D15" s="353">
        <f>'CP HMC'!D13</f>
        <v>0</v>
      </c>
      <c r="E15" s="385">
        <f>'CP HMC'!E13</f>
        <v>0</v>
      </c>
      <c r="F15" s="385">
        <f>'CP HMC'!F13</f>
        <v>0</v>
      </c>
      <c r="G15" s="385">
        <f>'CP HMC'!G13</f>
        <v>0</v>
      </c>
      <c r="H15" s="353"/>
      <c r="I15" s="756"/>
      <c r="J15" s="756"/>
    </row>
    <row r="16" spans="1:10" s="351" customFormat="1" ht="18.75" collapsed="1" x14ac:dyDescent="0.25">
      <c r="A16" s="353">
        <v>3</v>
      </c>
      <c r="B16" s="359" t="s">
        <v>1075</v>
      </c>
      <c r="C16" s="356" t="s">
        <v>1079</v>
      </c>
      <c r="D16" s="353" t="s">
        <v>3324</v>
      </c>
      <c r="E16" s="385">
        <f>SUM(E17:E18)</f>
        <v>21806514.204796452</v>
      </c>
      <c r="F16" s="385">
        <f>SUM(F17:F18)</f>
        <v>0</v>
      </c>
      <c r="G16" s="385">
        <f>SUM(G17:G18)</f>
        <v>21806514.204796452</v>
      </c>
      <c r="H16" s="353" t="s">
        <v>1172</v>
      </c>
      <c r="I16" s="442"/>
      <c r="J16" s="442"/>
    </row>
    <row r="17" spans="1:10" s="351" customFormat="1" ht="18.75" x14ac:dyDescent="0.25">
      <c r="A17" s="353"/>
      <c r="B17" s="359" t="s">
        <v>534</v>
      </c>
      <c r="C17" s="356" t="s">
        <v>1090</v>
      </c>
      <c r="D17" s="353" t="str">
        <f>"(GXD + GHMC )*"&amp; I17*100&amp;"%"</f>
        <v>(GXD + GHMC )*5%</v>
      </c>
      <c r="E17" s="385">
        <f>(G6+G7)*I17</f>
        <v>21806514.204796452</v>
      </c>
      <c r="F17" s="385"/>
      <c r="G17" s="385">
        <f>F17+E17</f>
        <v>21806514.204796452</v>
      </c>
      <c r="H17" s="353" t="s">
        <v>1173</v>
      </c>
      <c r="I17" s="441">
        <v>0.05</v>
      </c>
      <c r="J17" s="441">
        <f>I17</f>
        <v>0.05</v>
      </c>
    </row>
    <row r="18" spans="1:10" s="351" customFormat="1" ht="18.75" x14ac:dyDescent="0.25">
      <c r="A18" s="353"/>
      <c r="B18" s="359" t="s">
        <v>535</v>
      </c>
      <c r="C18" s="356" t="s">
        <v>1072</v>
      </c>
      <c r="D18" s="353" t="s">
        <v>1123</v>
      </c>
      <c r="E18" s="385">
        <f>DP2C!H40</f>
        <v>0</v>
      </c>
      <c r="F18" s="385"/>
      <c r="G18" s="385">
        <f>F18+E18</f>
        <v>0</v>
      </c>
      <c r="H18" s="353" t="s">
        <v>1174</v>
      </c>
      <c r="I18" s="441">
        <f>IF(G6+G7=0,0,E18/(G6+G7))</f>
        <v>0</v>
      </c>
      <c r="J18" s="441">
        <f>I18</f>
        <v>0</v>
      </c>
    </row>
    <row r="19" spans="1:10" s="348" customFormat="1" ht="15.75" x14ac:dyDescent="0.25">
      <c r="A19" s="354"/>
      <c r="B19" s="358" t="s">
        <v>106</v>
      </c>
      <c r="C19" s="355" t="s">
        <v>105</v>
      </c>
      <c r="D19" s="354" t="s">
        <v>1099</v>
      </c>
      <c r="E19" s="384">
        <f>E6+E7+E16</f>
        <v>418288590.65564096</v>
      </c>
      <c r="F19" s="384">
        <f>F6+F7+F16</f>
        <v>39648207.645084456</v>
      </c>
      <c r="G19" s="384">
        <f>G6+G7+G16</f>
        <v>457936798.30072546</v>
      </c>
      <c r="H19" s="354" t="s">
        <v>1092</v>
      </c>
      <c r="I19" s="399"/>
      <c r="J19" s="399"/>
    </row>
    <row r="20" spans="1:10" s="351" customFormat="1" ht="15.75" x14ac:dyDescent="0.25"/>
    <row r="21" spans="1:10" s="351" customFormat="1" ht="15.75" x14ac:dyDescent="0.25"/>
    <row r="22" spans="1:10" s="348" customFormat="1" ht="10.5" customHeight="1" x14ac:dyDescent="0.25">
      <c r="C22" s="758" t="s">
        <v>311</v>
      </c>
      <c r="D22" s="758" t="s">
        <v>312</v>
      </c>
    </row>
    <row r="23" spans="1:10" s="351" customFormat="1" ht="77.25" customHeight="1" x14ac:dyDescent="0.25"/>
    <row r="24" spans="1:10" s="351" customFormat="1" ht="15.75" x14ac:dyDescent="0.25">
      <c r="C24" s="759" t="s">
        <v>3322</v>
      </c>
      <c r="D24" s="759" t="s">
        <v>3322</v>
      </c>
    </row>
    <row r="25" spans="1:10" s="351" customFormat="1" ht="31.5" x14ac:dyDescent="0.25">
      <c r="C25" s="760"/>
      <c r="D25" s="761" t="s">
        <v>3323</v>
      </c>
    </row>
  </sheetData>
  <dataValidations count="1">
    <dataValidation allowBlank="1" showInputMessage="1" showErrorMessage="1" promptTitle="Ghi chú" prompt="Người sử dụng nhập vào đây tỷ lệ phần trăm các khoản mục khi lập hồ sơ dự thầu." sqref="J6:J19"/>
  </dataValidations>
  <hyperlinks>
    <hyperlink ref="D6" location="TH_CPXD!E8" display="Xem bảng tinh"/>
    <hyperlink ref="D7" location="CP_HMC" display="Xem bảng tính"/>
    <hyperlink ref="D18" location="DP2C!H40" display="Xem bảng tính"/>
  </hyperlinks>
  <pageMargins left="0.55118110236220497" right="0.196850393700787" top="0.43307086614173201" bottom="0.59055118110236204" header="0.15748031496063" footer="0.23622047244094499"/>
  <pageSetup paperSize="9" orientation="landscape" r:id="rId1"/>
  <headerFooter alignWithMargins="0">
    <oddHeader>&amp;L&amp;"Times New Roman,Bold Italic"&amp;9Dự toán Bắc Nam  - ÐT: 0966.966.455</oddHeader>
    <oddFooter>&amp;R&amp;9Trang &amp;P/&amp;N</oddFooter>
  </headerFooter>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CPHMC">
    <tabColor rgb="FFFFFF00"/>
  </sheetPr>
  <dimension ref="A1:K19"/>
  <sheetViews>
    <sheetView showGridLines="0" zoomScaleNormal="100" workbookViewId="0">
      <selection activeCell="D13" sqref="D13"/>
    </sheetView>
  </sheetViews>
  <sheetFormatPr defaultRowHeight="12.75" outlineLevelRow="1" outlineLevelCol="1" x14ac:dyDescent="0.2"/>
  <cols>
    <col min="1" max="1" width="5.140625" style="1" bestFit="1" customWidth="1"/>
    <col min="2" max="2" width="9.140625" style="1" hidden="1" customWidth="1" outlineLevel="1"/>
    <col min="3" max="3" width="61.28515625" style="1" customWidth="1" collapsed="1"/>
    <col min="4" max="4" width="23" style="1" bestFit="1" customWidth="1"/>
    <col min="5" max="5" width="14.85546875" style="1" customWidth="1"/>
    <col min="6" max="6" width="12.42578125" style="1" bestFit="1" customWidth="1"/>
    <col min="7" max="7" width="13.5703125" style="1" customWidth="1"/>
    <col min="8" max="8" width="8.28515625" style="1" bestFit="1" customWidth="1"/>
    <col min="9" max="9" width="10.5703125" style="1" bestFit="1" customWidth="1" outlineLevel="1"/>
    <col min="10" max="10" width="11.28515625" style="1" bestFit="1" customWidth="1" outlineLevel="1"/>
    <col min="11" max="11" width="7.7109375" style="1" bestFit="1" customWidth="1" outlineLevel="1"/>
    <col min="12" max="16384" width="9.140625" style="1"/>
  </cols>
  <sheetData>
    <row r="1" spans="1:11" s="350" customFormat="1" ht="20.25" x14ac:dyDescent="0.3">
      <c r="A1" s="349" t="s">
        <v>1085</v>
      </c>
      <c r="B1" s="349"/>
      <c r="C1" s="349"/>
      <c r="D1" s="349"/>
      <c r="E1" s="349"/>
      <c r="F1" s="349"/>
      <c r="G1" s="349"/>
      <c r="H1" s="349"/>
    </row>
    <row r="2" spans="1:11" s="348" customFormat="1" ht="15.75" x14ac:dyDescent="0.25">
      <c r="A2" s="245" t="str">
        <f>"CÔNG TRÌNH : "&amp;'Bia du toan'!$G$12</f>
        <v>CÔNG TRÌNH : TRƯỜNG CAO ĐẲNG LÝ TỰ TRỌNG</v>
      </c>
      <c r="B2" s="352"/>
      <c r="C2" s="352"/>
      <c r="D2" s="352"/>
      <c r="E2" s="352"/>
      <c r="F2" s="352"/>
      <c r="G2" s="352"/>
      <c r="H2" s="352"/>
    </row>
    <row r="3" spans="1:11" s="348" customFormat="1" ht="15.75" x14ac:dyDescent="0.25">
      <c r="A3" s="245" t="str">
        <f>"HẠNG MỤC : "&amp; 'Bia du toan'!$G$13</f>
        <v>HẠNG MỤC : CẢI TẠO THƯ VIỆN GIAI ĐOẠN 2 - NĂM 2019</v>
      </c>
      <c r="B3" s="352"/>
      <c r="C3" s="352"/>
      <c r="D3" s="352"/>
      <c r="E3" s="352"/>
      <c r="F3" s="352"/>
      <c r="G3" s="352"/>
      <c r="H3" s="352"/>
      <c r="I3" s="351"/>
    </row>
    <row r="5" spans="1:11" s="861" customFormat="1" ht="28.5" x14ac:dyDescent="0.2">
      <c r="A5" s="382" t="s">
        <v>15</v>
      </c>
      <c r="B5" s="367" t="s">
        <v>335</v>
      </c>
      <c r="C5" s="382" t="s">
        <v>1140</v>
      </c>
      <c r="D5" s="367" t="s">
        <v>554</v>
      </c>
      <c r="E5" s="367" t="s">
        <v>1122</v>
      </c>
      <c r="F5" s="367" t="s">
        <v>1091</v>
      </c>
      <c r="G5" s="367" t="s">
        <v>1144</v>
      </c>
      <c r="H5" s="382" t="s">
        <v>667</v>
      </c>
      <c r="I5" s="367" t="s">
        <v>3395</v>
      </c>
      <c r="J5" s="860" t="s">
        <v>3396</v>
      </c>
      <c r="K5" s="860" t="s">
        <v>3596</v>
      </c>
    </row>
    <row r="6" spans="1:11" s="351" customFormat="1" ht="18.75" x14ac:dyDescent="0.25">
      <c r="A6" s="353">
        <v>1</v>
      </c>
      <c r="B6" s="353" t="s">
        <v>1141</v>
      </c>
      <c r="C6" s="356" t="s">
        <v>1082</v>
      </c>
      <c r="D6" s="353" t="str">
        <f>"(GXD+GTB_LD)*"&amp;I6&amp;"%"</f>
        <v>(GXD+GTB_LD)*1%</v>
      </c>
      <c r="E6" s="386">
        <f>('Tong hop DT XDCT'!GXD+TH_CPTB!$F$12)*I6%</f>
        <v>3830744.70000816</v>
      </c>
      <c r="F6" s="386">
        <f>E6*10%</f>
        <v>383074.47000081604</v>
      </c>
      <c r="G6" s="386">
        <f>E6+F6</f>
        <v>4213819.170008976</v>
      </c>
      <c r="H6" s="353" t="s">
        <v>3325</v>
      </c>
      <c r="I6" s="398">
        <v>1</v>
      </c>
      <c r="J6" s="398">
        <f>IF(CP_HMC=0,0,G6/CP_HMC)</f>
        <v>0.2857142857142857</v>
      </c>
      <c r="K6" s="398">
        <f>J6</f>
        <v>0.2857142857142857</v>
      </c>
    </row>
    <row r="7" spans="1:11" s="351" customFormat="1" ht="18.75" x14ac:dyDescent="0.25">
      <c r="A7" s="353">
        <v>2</v>
      </c>
      <c r="B7" s="353" t="s">
        <v>1142</v>
      </c>
      <c r="C7" s="356" t="s">
        <v>1083</v>
      </c>
      <c r="D7" s="353" t="str">
        <f>"(GXD+GTB_LD)*"&amp;I7&amp;"%"</f>
        <v>(GXD+GTB_LD)*2.5%</v>
      </c>
      <c r="E7" s="386">
        <f>('Tong hop DT XDCT'!GXD+TH_CPTB!$F$12)*I7%</f>
        <v>9576861.7500203997</v>
      </c>
      <c r="F7" s="386">
        <f>E7*10%</f>
        <v>957686.17500203999</v>
      </c>
      <c r="G7" s="386">
        <f>E7+F7</f>
        <v>10534547.92502244</v>
      </c>
      <c r="H7" s="353" t="s">
        <v>3326</v>
      </c>
      <c r="I7" s="398">
        <f>VLOOKUP(i_CPC,Config!$O$504:$P$512,2,)</f>
        <v>2.5</v>
      </c>
      <c r="J7" s="398">
        <f>IF(CP_HMC=0,0,G7/CP_HMC)</f>
        <v>0.7142857142857143</v>
      </c>
      <c r="K7" s="398">
        <f>J7</f>
        <v>0.7142857142857143</v>
      </c>
    </row>
    <row r="8" spans="1:11" s="351" customFormat="1" ht="18.75" x14ac:dyDescent="0.25">
      <c r="A8" s="353">
        <v>3</v>
      </c>
      <c r="B8" s="353" t="s">
        <v>1143</v>
      </c>
      <c r="C8" s="356" t="s">
        <v>1084</v>
      </c>
      <c r="D8" s="353"/>
      <c r="E8" s="386">
        <f>SUM(E9:E13)</f>
        <v>0</v>
      </c>
      <c r="F8" s="386">
        <f>SUM(F9:F13)</f>
        <v>0</v>
      </c>
      <c r="G8" s="386">
        <f>SUM(G9:G13)</f>
        <v>0</v>
      </c>
      <c r="H8" s="353" t="s">
        <v>3327</v>
      </c>
      <c r="I8" s="398">
        <f>IF(('Tong hop DT XDCT'!$G$8+TH_CPTB!$F$12)=0,0,E8/('Tong hop DT XDCT'!$G$8+TH_CPTB!$F$12))</f>
        <v>0</v>
      </c>
      <c r="J8" s="398">
        <f>IF($G$14=0,0,G8/$G$14)</f>
        <v>0</v>
      </c>
      <c r="K8" s="398">
        <f>J8</f>
        <v>0</v>
      </c>
    </row>
    <row r="9" spans="1:11" s="351" customFormat="1" ht="47.25" outlineLevel="1" x14ac:dyDescent="0.25">
      <c r="A9" s="406"/>
      <c r="B9" s="406"/>
      <c r="C9" s="762" t="s">
        <v>3317</v>
      </c>
      <c r="D9" s="406"/>
      <c r="E9" s="407"/>
      <c r="F9" s="407">
        <f>E9*10%</f>
        <v>0</v>
      </c>
      <c r="G9" s="407">
        <f>F9+E9</f>
        <v>0</v>
      </c>
      <c r="H9" s="353"/>
      <c r="I9" s="398"/>
      <c r="J9" s="398"/>
      <c r="K9" s="398"/>
    </row>
    <row r="10" spans="1:11" s="351" customFormat="1" ht="15.75" outlineLevel="1" x14ac:dyDescent="0.25">
      <c r="A10" s="406"/>
      <c r="B10" s="406"/>
      <c r="C10" s="762" t="s">
        <v>3318</v>
      </c>
      <c r="D10" s="406"/>
      <c r="E10" s="407"/>
      <c r="F10" s="407">
        <f>E10*10%</f>
        <v>0</v>
      </c>
      <c r="G10" s="407">
        <f>F10+E10</f>
        <v>0</v>
      </c>
      <c r="H10" s="353"/>
      <c r="I10" s="398"/>
      <c r="J10" s="398"/>
      <c r="K10" s="398"/>
    </row>
    <row r="11" spans="1:11" s="351" customFormat="1" ht="31.5" outlineLevel="1" x14ac:dyDescent="0.25">
      <c r="A11" s="406"/>
      <c r="B11" s="406"/>
      <c r="C11" s="762" t="s">
        <v>3319</v>
      </c>
      <c r="D11" s="406"/>
      <c r="E11" s="407"/>
      <c r="F11" s="407">
        <f>E11*10%</f>
        <v>0</v>
      </c>
      <c r="G11" s="407">
        <f>F11+E11</f>
        <v>0</v>
      </c>
      <c r="H11" s="353"/>
      <c r="I11" s="398"/>
      <c r="J11" s="398"/>
      <c r="K11" s="398"/>
    </row>
    <row r="12" spans="1:11" s="351" customFormat="1" ht="15.75" outlineLevel="1" x14ac:dyDescent="0.25">
      <c r="A12" s="406"/>
      <c r="B12" s="406"/>
      <c r="C12" s="762" t="s">
        <v>3320</v>
      </c>
      <c r="D12" s="406"/>
      <c r="E12" s="407"/>
      <c r="F12" s="407">
        <f>E12*10%</f>
        <v>0</v>
      </c>
      <c r="G12" s="407">
        <f>F12+E12</f>
        <v>0</v>
      </c>
      <c r="H12" s="353"/>
      <c r="I12" s="398"/>
      <c r="J12" s="398"/>
      <c r="K12" s="398"/>
    </row>
    <row r="13" spans="1:11" s="351" customFormat="1" ht="110.25" outlineLevel="1" x14ac:dyDescent="0.25">
      <c r="A13" s="406"/>
      <c r="B13" s="406"/>
      <c r="C13" s="762" t="s">
        <v>3321</v>
      </c>
      <c r="D13" s="406"/>
      <c r="E13" s="407"/>
      <c r="F13" s="407">
        <f>E13*10%</f>
        <v>0</v>
      </c>
      <c r="G13" s="407">
        <f>F13+E13</f>
        <v>0</v>
      </c>
      <c r="H13" s="353"/>
      <c r="I13" s="398"/>
      <c r="J13" s="398"/>
      <c r="K13" s="398"/>
    </row>
    <row r="14" spans="1:11" s="348" customFormat="1" ht="17.25" x14ac:dyDescent="0.25">
      <c r="A14" s="354"/>
      <c r="B14" s="354" t="s">
        <v>106</v>
      </c>
      <c r="C14" s="355" t="s">
        <v>105</v>
      </c>
      <c r="D14" s="354" t="s">
        <v>1099</v>
      </c>
      <c r="E14" s="387">
        <f>SUM(E6:E8)</f>
        <v>13407606.450028559</v>
      </c>
      <c r="F14" s="387">
        <f>SUM(F6:F8)</f>
        <v>1340760.6450028559</v>
      </c>
      <c r="G14" s="387">
        <f>SUM(G6:G8)</f>
        <v>14748367.095031416</v>
      </c>
      <c r="H14" s="354" t="s">
        <v>3328</v>
      </c>
      <c r="I14" s="399"/>
      <c r="J14" s="398"/>
      <c r="K14" s="398"/>
    </row>
    <row r="15" spans="1:11" s="351" customFormat="1" ht="15.75" x14ac:dyDescent="0.25"/>
    <row r="16" spans="1:11" s="348" customFormat="1" ht="15.75" x14ac:dyDescent="0.25">
      <c r="C16" s="758" t="s">
        <v>311</v>
      </c>
      <c r="D16" s="758" t="s">
        <v>312</v>
      </c>
    </row>
    <row r="17" spans="3:4" s="351" customFormat="1" ht="58.5" customHeight="1" x14ac:dyDescent="0.25"/>
    <row r="18" spans="3:4" s="351" customFormat="1" ht="15.75" x14ac:dyDescent="0.25">
      <c r="C18" s="759" t="s">
        <v>3322</v>
      </c>
      <c r="D18" s="759" t="s">
        <v>3322</v>
      </c>
    </row>
    <row r="19" spans="3:4" s="351" customFormat="1" ht="47.25" x14ac:dyDescent="0.25">
      <c r="C19" s="760"/>
      <c r="D19" s="761" t="s">
        <v>3323</v>
      </c>
    </row>
  </sheetData>
  <dataValidations disablePrompts="1" count="1">
    <dataValidation allowBlank="1" showInputMessage="1" showErrorMessage="1" promptTitle="Ghi chú" prompt="Người sử dụng nhập vào đây tỷ lệ phần trăm các khoản mục khi lập hồ sơ dự thầu." sqref="K6:K14"/>
  </dataValidations>
  <pageMargins left="0.55118110236220497" right="0.196850393700787" top="0.43307086614173201" bottom="0.59055118110236204" header="0.15748031496063" footer="0.23622047244094499"/>
  <pageSetup paperSize="9" orientation="landscape" r:id="rId1"/>
  <headerFooter alignWithMargins="0">
    <oddHeader>&amp;L&amp;"Times New Roman,Bold Italic"&amp;9Dự toán Bắc Nam  - ÐT: 0966.966.455</oddHeader>
    <oddFooter>&amp;R&amp;9Trang &amp;P/&amp;N</oddFooter>
  </headerFooter>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THKP2_KS"/>
  <dimension ref="A1:J44"/>
  <sheetViews>
    <sheetView showZeros="0" topLeftCell="A25" workbookViewId="0">
      <selection activeCell="A7" sqref="A7:IV17"/>
    </sheetView>
  </sheetViews>
  <sheetFormatPr defaultRowHeight="15" outlineLevelCol="1" x14ac:dyDescent="0.25"/>
  <cols>
    <col min="1" max="1" width="5.5703125" style="2" customWidth="1"/>
    <col min="2" max="2" width="10.5703125" style="2" hidden="1" customWidth="1" outlineLevel="1"/>
    <col min="3" max="3" width="43.42578125" style="2" customWidth="1" collapsed="1"/>
    <col min="4" max="4" width="8.7109375" style="2" bestFit="1" customWidth="1"/>
    <col min="5" max="5" width="8.7109375" style="611" customWidth="1"/>
    <col min="6" max="6" width="24.5703125" style="2" bestFit="1" customWidth="1"/>
    <col min="7" max="7" width="10" style="591" bestFit="1" customWidth="1"/>
    <col min="8" max="9" width="9.140625" style="591"/>
    <col min="10" max="10" width="14.28515625" style="591" bestFit="1" customWidth="1"/>
    <col min="11" max="16384" width="9.140625" style="591"/>
  </cols>
  <sheetData>
    <row r="1" spans="1:10" ht="20.25" x14ac:dyDescent="0.25">
      <c r="A1" s="58" t="s">
        <v>1336</v>
      </c>
      <c r="B1" s="40"/>
      <c r="C1" s="40"/>
      <c r="D1" s="40"/>
      <c r="E1" s="489"/>
      <c r="F1" s="40"/>
      <c r="G1" s="660"/>
    </row>
    <row r="2" spans="1:10" s="662" customFormat="1" ht="14.25" x14ac:dyDescent="0.2">
      <c r="A2" s="105" t="str">
        <f>"CÔNG TRÌNH : "&amp;'Bia du toan'!$G$12</f>
        <v>CÔNG TRÌNH : TRƯỜNG CAO ĐẲNG LÝ TỰ TRỌNG</v>
      </c>
      <c r="B2" s="105"/>
      <c r="C2" s="105"/>
      <c r="D2" s="105"/>
      <c r="E2" s="615"/>
      <c r="F2" s="105"/>
      <c r="G2" s="661"/>
    </row>
    <row r="3" spans="1:10" s="662" customFormat="1" ht="14.25" x14ac:dyDescent="0.2">
      <c r="A3" s="105" t="str">
        <f>"HẠNG MỤC : "&amp; 'Bia du toan'!$G$13</f>
        <v>HẠNG MỤC : CẢI TẠO THƯ VIỆN GIAI ĐOẠN 2 - NĂM 2019</v>
      </c>
      <c r="B3" s="105"/>
      <c r="C3" s="105"/>
      <c r="D3" s="105"/>
      <c r="E3" s="615"/>
      <c r="F3" s="105"/>
      <c r="G3" s="661"/>
    </row>
    <row r="4" spans="1:10" x14ac:dyDescent="0.25">
      <c r="A4" s="40"/>
      <c r="B4" s="40"/>
      <c r="C4" s="40"/>
      <c r="D4" s="40"/>
      <c r="E4" s="489"/>
      <c r="F4" s="40"/>
      <c r="G4" s="660"/>
    </row>
    <row r="5" spans="1:10" s="844" customFormat="1" ht="12.75" x14ac:dyDescent="0.2">
      <c r="A5" s="842" t="s">
        <v>15</v>
      </c>
      <c r="B5" s="842" t="s">
        <v>293</v>
      </c>
      <c r="C5" s="842" t="s">
        <v>294</v>
      </c>
      <c r="D5" s="842" t="s">
        <v>272</v>
      </c>
      <c r="E5" s="1527" t="s">
        <v>241</v>
      </c>
      <c r="F5" s="842" t="s">
        <v>270</v>
      </c>
      <c r="G5" s="843" t="s">
        <v>584</v>
      </c>
      <c r="J5" s="841"/>
    </row>
    <row r="6" spans="1:10" s="640" customFormat="1" ht="15.75" x14ac:dyDescent="0.2">
      <c r="A6" s="536"/>
      <c r="B6" s="537"/>
      <c r="C6" s="538" t="s">
        <v>295</v>
      </c>
      <c r="D6" s="536"/>
      <c r="E6" s="1528"/>
      <c r="F6" s="536"/>
      <c r="G6" s="657"/>
      <c r="J6" s="647"/>
    </row>
    <row r="7" spans="1:10" s="640" customFormat="1" ht="15.75" x14ac:dyDescent="0.2">
      <c r="A7" s="44"/>
      <c r="B7" s="45" t="s">
        <v>296</v>
      </c>
      <c r="C7" s="46" t="s">
        <v>86</v>
      </c>
      <c r="D7" s="44" t="s">
        <v>296</v>
      </c>
      <c r="E7" s="1529"/>
      <c r="F7" s="44"/>
      <c r="G7" s="643"/>
    </row>
    <row r="8" spans="1:10" s="640" customFormat="1" ht="15.75" x14ac:dyDescent="0.2">
      <c r="A8" s="44"/>
      <c r="B8" s="45" t="s">
        <v>297</v>
      </c>
      <c r="C8" s="46" t="s">
        <v>298</v>
      </c>
      <c r="D8" s="44" t="s">
        <v>297</v>
      </c>
      <c r="E8" s="1529"/>
      <c r="F8" s="44"/>
      <c r="G8" s="643"/>
    </row>
    <row r="9" spans="1:10" s="640" customFormat="1" ht="15.75" x14ac:dyDescent="0.2">
      <c r="A9" s="44"/>
      <c r="B9" s="45" t="s">
        <v>299</v>
      </c>
      <c r="C9" s="46" t="s">
        <v>88</v>
      </c>
      <c r="D9" s="44" t="s">
        <v>299</v>
      </c>
      <c r="E9" s="1529"/>
      <c r="F9" s="44"/>
      <c r="G9" s="643"/>
    </row>
    <row r="10" spans="1:10" s="640" customFormat="1" ht="15.75" x14ac:dyDescent="0.2">
      <c r="A10" s="44"/>
      <c r="B10" s="45" t="s">
        <v>3114</v>
      </c>
      <c r="C10" s="46" t="s">
        <v>3115</v>
      </c>
      <c r="D10" s="44" t="s">
        <v>3114</v>
      </c>
      <c r="E10" s="1529"/>
      <c r="F10" s="44"/>
      <c r="G10" s="643"/>
    </row>
    <row r="11" spans="1:10" s="640" customFormat="1" ht="15.75" x14ac:dyDescent="0.2">
      <c r="A11" s="44"/>
      <c r="B11" s="45" t="s">
        <v>300</v>
      </c>
      <c r="C11" s="46" t="s">
        <v>301</v>
      </c>
      <c r="D11" s="44" t="s">
        <v>300</v>
      </c>
      <c r="E11" s="1529"/>
      <c r="F11" s="44"/>
      <c r="G11" s="643"/>
    </row>
    <row r="12" spans="1:10" s="640" customFormat="1" ht="15.75" x14ac:dyDescent="0.2">
      <c r="A12" s="44"/>
      <c r="B12" s="45" t="s">
        <v>3116</v>
      </c>
      <c r="C12" s="46" t="s">
        <v>3117</v>
      </c>
      <c r="D12" s="44" t="s">
        <v>3116</v>
      </c>
      <c r="E12" s="1529"/>
      <c r="F12" s="44"/>
      <c r="G12" s="643"/>
    </row>
    <row r="13" spans="1:10" s="644" customFormat="1" ht="15.75" x14ac:dyDescent="0.2">
      <c r="A13" s="92" t="s">
        <v>59</v>
      </c>
      <c r="B13" s="540"/>
      <c r="C13" s="50" t="s">
        <v>302</v>
      </c>
      <c r="D13" s="92"/>
      <c r="E13" s="1530"/>
      <c r="F13" s="92"/>
      <c r="G13" s="658"/>
    </row>
    <row r="14" spans="1:10" s="640" customFormat="1" ht="15.75" x14ac:dyDescent="0.25">
      <c r="A14" s="44">
        <v>1</v>
      </c>
      <c r="B14" s="45" t="s">
        <v>87</v>
      </c>
      <c r="C14" s="46" t="s">
        <v>86</v>
      </c>
      <c r="D14" s="44" t="s">
        <v>87</v>
      </c>
      <c r="E14" s="1531">
        <f xml:space="preserve"> Config!$D$9</f>
        <v>1</v>
      </c>
      <c r="F14" s="44"/>
      <c r="G14" s="643">
        <f xml:space="preserve"> G7*Config!$D$9</f>
        <v>0</v>
      </c>
    </row>
    <row r="15" spans="1:10" s="640" customFormat="1" ht="15.75" x14ac:dyDescent="0.25">
      <c r="A15" s="44">
        <v>2</v>
      </c>
      <c r="B15" s="45" t="s">
        <v>89</v>
      </c>
      <c r="C15" s="46" t="s">
        <v>88</v>
      </c>
      <c r="D15" s="44" t="s">
        <v>89</v>
      </c>
      <c r="E15" s="1531">
        <f xml:space="preserve"> Config!$D$10</f>
        <v>1</v>
      </c>
      <c r="F15" s="44"/>
      <c r="G15" s="643">
        <f xml:space="preserve"> G9*Config!$D$10</f>
        <v>0</v>
      </c>
    </row>
    <row r="16" spans="1:10" s="640" customFormat="1" ht="15.75" x14ac:dyDescent="0.25">
      <c r="A16" s="44">
        <v>3</v>
      </c>
      <c r="B16" s="45" t="s">
        <v>303</v>
      </c>
      <c r="C16" s="46" t="s">
        <v>90</v>
      </c>
      <c r="D16" s="44" t="s">
        <v>303</v>
      </c>
      <c r="E16" s="1531">
        <f xml:space="preserve"> Config!$D$11</f>
        <v>1</v>
      </c>
      <c r="F16" s="44"/>
      <c r="G16" s="643">
        <f xml:space="preserve"> G11*Config!$D$11</f>
        <v>0</v>
      </c>
    </row>
    <row r="17" spans="1:7" s="644" customFormat="1" ht="15.75" x14ac:dyDescent="0.2">
      <c r="A17" s="655"/>
      <c r="B17" s="656" t="s">
        <v>1337</v>
      </c>
      <c r="C17" s="49" t="s">
        <v>1153</v>
      </c>
      <c r="D17" s="655" t="s">
        <v>95</v>
      </c>
      <c r="E17" s="1532"/>
      <c r="F17" s="655" t="s">
        <v>1156</v>
      </c>
      <c r="G17" s="658">
        <f xml:space="preserve"> G14+G15+G16</f>
        <v>0</v>
      </c>
    </row>
    <row r="18" spans="1:7" s="1230" customFormat="1" ht="15.75" x14ac:dyDescent="0.25">
      <c r="A18" s="1227" t="s">
        <v>64</v>
      </c>
      <c r="B18" s="1227" t="s">
        <v>421</v>
      </c>
      <c r="C18" s="1228" t="s">
        <v>279</v>
      </c>
      <c r="D18" s="1227" t="s">
        <v>96</v>
      </c>
      <c r="E18" s="1531">
        <f xml:space="preserve"> Config!$D$13</f>
        <v>6.5</v>
      </c>
      <c r="F18" s="1227" t="str">
        <f>"NC * "&amp; Config!D13&amp;"%"</f>
        <v>NC * 6.5%</v>
      </c>
      <c r="G18" s="1229">
        <f>G15* Config!D13%</f>
        <v>0</v>
      </c>
    </row>
    <row r="19" spans="1:7" s="644" customFormat="1" ht="15.75" x14ac:dyDescent="0.25">
      <c r="A19" s="92" t="s">
        <v>79</v>
      </c>
      <c r="B19" s="540" t="s">
        <v>1338</v>
      </c>
      <c r="C19" s="50" t="s">
        <v>3709</v>
      </c>
      <c r="D19" s="92" t="s">
        <v>98</v>
      </c>
      <c r="E19" s="1531">
        <f xml:space="preserve"> Config!$D$14</f>
        <v>5.5</v>
      </c>
      <c r="F19" s="92" t="str">
        <f>"("&amp;D17&amp;"+"&amp;D18&amp;")*"&amp;Config!D14&amp;"%"</f>
        <v>(T+C)*5.5%</v>
      </c>
      <c r="G19" s="658">
        <f xml:space="preserve"> (G17+G18)*Config!D14%</f>
        <v>0</v>
      </c>
    </row>
    <row r="20" spans="1:7" s="644" customFormat="1" ht="15.75" x14ac:dyDescent="0.2">
      <c r="A20" s="92" t="s">
        <v>308</v>
      </c>
      <c r="B20" s="540" t="s">
        <v>99</v>
      </c>
      <c r="C20" s="50" t="s">
        <v>3724</v>
      </c>
      <c r="D20" s="92" t="s">
        <v>99</v>
      </c>
      <c r="E20" s="1530"/>
      <c r="F20" s="92" t="s">
        <v>307</v>
      </c>
      <c r="G20" s="658">
        <f>G17+G18+G19</f>
        <v>0</v>
      </c>
    </row>
    <row r="21" spans="1:7" s="644" customFormat="1" ht="28.5" x14ac:dyDescent="0.2">
      <c r="A21" s="92"/>
      <c r="B21" s="540" t="s">
        <v>3743</v>
      </c>
      <c r="C21" s="50" t="s">
        <v>3710</v>
      </c>
      <c r="D21" s="92" t="s">
        <v>3713</v>
      </c>
      <c r="E21" s="1530"/>
      <c r="F21" s="92" t="s">
        <v>3725</v>
      </c>
      <c r="G21" s="658">
        <f>G22+G25</f>
        <v>0</v>
      </c>
    </row>
    <row r="22" spans="1:7" s="712" customFormat="1" ht="30" x14ac:dyDescent="0.2">
      <c r="A22" s="1224"/>
      <c r="B22" s="1225" t="s">
        <v>3742</v>
      </c>
      <c r="C22" s="1226" t="s">
        <v>3723</v>
      </c>
      <c r="D22" s="1224" t="s">
        <v>3727</v>
      </c>
      <c r="E22" s="1533"/>
      <c r="F22" s="1224" t="s">
        <v>3728</v>
      </c>
      <c r="G22" s="659">
        <f>G23+G24</f>
        <v>0</v>
      </c>
    </row>
    <row r="23" spans="1:7" s="640" customFormat="1" ht="15.75" x14ac:dyDescent="0.2">
      <c r="A23" s="47"/>
      <c r="B23" s="539" t="s">
        <v>1339</v>
      </c>
      <c r="C23" s="48" t="s">
        <v>1340</v>
      </c>
      <c r="D23" s="47" t="s">
        <v>1339</v>
      </c>
      <c r="E23" s="1534">
        <v>2</v>
      </c>
      <c r="F23" s="47" t="str">
        <f>"G * "&amp;E23&amp;"%"</f>
        <v>G * 2%</v>
      </c>
      <c r="G23" s="643">
        <f>E23%*G20</f>
        <v>0</v>
      </c>
    </row>
    <row r="24" spans="1:7" s="640" customFormat="1" ht="15.75" x14ac:dyDescent="0.2">
      <c r="A24" s="47"/>
      <c r="B24" s="539" t="s">
        <v>1341</v>
      </c>
      <c r="C24" s="48" t="s">
        <v>1342</v>
      </c>
      <c r="D24" s="47" t="s">
        <v>1341</v>
      </c>
      <c r="E24" s="1534">
        <v>3</v>
      </c>
      <c r="F24" s="47" t="str">
        <f>"G * "&amp;E24&amp;"%"</f>
        <v>G * 3%</v>
      </c>
      <c r="G24" s="643">
        <f>E24%*G20</f>
        <v>0</v>
      </c>
    </row>
    <row r="25" spans="1:7" s="712" customFormat="1" ht="16.5" x14ac:dyDescent="0.2">
      <c r="A25" s="1224"/>
      <c r="B25" s="1225" t="s">
        <v>1343</v>
      </c>
      <c r="C25" s="541" t="s">
        <v>1068</v>
      </c>
      <c r="D25" s="1224" t="s">
        <v>3726</v>
      </c>
      <c r="E25" s="1533">
        <v>6</v>
      </c>
      <c r="F25" s="1224" t="str">
        <f>"G *"&amp;E25&amp;"%"</f>
        <v>G *6%</v>
      </c>
      <c r="G25" s="659">
        <f>G20*E25%</f>
        <v>0</v>
      </c>
    </row>
    <row r="26" spans="1:7" s="644" customFormat="1" ht="17.25" x14ac:dyDescent="0.2">
      <c r="A26" s="655"/>
      <c r="B26" s="656" t="s">
        <v>1346</v>
      </c>
      <c r="C26" s="49" t="s">
        <v>1347</v>
      </c>
      <c r="D26" s="655" t="s">
        <v>1346</v>
      </c>
      <c r="E26" s="1532"/>
      <c r="F26" s="655" t="s">
        <v>3729</v>
      </c>
      <c r="G26" s="658">
        <f>G20+G21</f>
        <v>0</v>
      </c>
    </row>
    <row r="27" spans="1:7" s="644" customFormat="1" ht="16.5" x14ac:dyDescent="0.25">
      <c r="A27" s="92" t="s">
        <v>1345</v>
      </c>
      <c r="B27" s="540" t="s">
        <v>101</v>
      </c>
      <c r="C27" s="50" t="s">
        <v>3711</v>
      </c>
      <c r="D27" s="92" t="s">
        <v>3714</v>
      </c>
      <c r="E27" s="1535">
        <f xml:space="preserve"> Config!$D$15</f>
        <v>10</v>
      </c>
      <c r="F27" s="92" t="str">
        <f xml:space="preserve"> Config!$D$15&amp;"%*Gt"</f>
        <v>10%*Gt</v>
      </c>
      <c r="G27" s="658">
        <f xml:space="preserve"> G26*Config!$D$15%</f>
        <v>0</v>
      </c>
    </row>
    <row r="28" spans="1:7" s="644" customFormat="1" ht="17.25" x14ac:dyDescent="0.2">
      <c r="A28" s="92"/>
      <c r="B28" s="540" t="s">
        <v>1350</v>
      </c>
      <c r="C28" s="541" t="s">
        <v>1351</v>
      </c>
      <c r="D28" s="92" t="s">
        <v>3730</v>
      </c>
      <c r="E28" s="1530"/>
      <c r="F28" s="92" t="s">
        <v>3732</v>
      </c>
      <c r="G28" s="658">
        <f xml:space="preserve"> G26+G27</f>
        <v>0</v>
      </c>
    </row>
    <row r="29" spans="1:7" s="644" customFormat="1" ht="17.25" x14ac:dyDescent="0.2">
      <c r="A29" s="92" t="s">
        <v>1348</v>
      </c>
      <c r="B29" s="540" t="s">
        <v>1352</v>
      </c>
      <c r="C29" s="50" t="s">
        <v>3712</v>
      </c>
      <c r="D29" s="92" t="s">
        <v>3715</v>
      </c>
      <c r="E29" s="1530">
        <v>10</v>
      </c>
      <c r="F29" s="92" t="str">
        <f>"Gks*"&amp;E29&amp;"%"</f>
        <v>Gks*10%</v>
      </c>
      <c r="G29" s="658">
        <f>G28*E29%</f>
        <v>0</v>
      </c>
    </row>
    <row r="30" spans="1:7" s="644" customFormat="1" ht="17.25" x14ac:dyDescent="0.2">
      <c r="A30" s="52"/>
      <c r="B30" s="542" t="s">
        <v>106</v>
      </c>
      <c r="C30" s="420" t="s">
        <v>105</v>
      </c>
      <c r="D30" s="52"/>
      <c r="E30" s="1536"/>
      <c r="F30" s="52" t="s">
        <v>3731</v>
      </c>
      <c r="G30" s="645">
        <f>G29+G28</f>
        <v>0</v>
      </c>
    </row>
    <row r="31" spans="1:7" s="640" customFormat="1" ht="15.75" x14ac:dyDescent="0.2">
      <c r="A31" s="543"/>
      <c r="B31" s="543" t="s">
        <v>1396</v>
      </c>
      <c r="C31" s="544" t="e">
        <f ca="1">"Bằng chữ : "&amp;[3]!docsoUNI(G30)&amp;" đồng"</f>
        <v>#NAME?</v>
      </c>
      <c r="D31" s="545"/>
      <c r="E31" s="1537"/>
      <c r="F31" s="545"/>
      <c r="G31" s="646"/>
    </row>
    <row r="32" spans="1:7" s="640" customFormat="1" ht="15.75" x14ac:dyDescent="0.25">
      <c r="A32" s="6"/>
      <c r="B32" s="6"/>
      <c r="C32" s="6"/>
      <c r="D32" s="6"/>
      <c r="E32" s="1538"/>
      <c r="F32" s="6"/>
      <c r="G32" s="647"/>
    </row>
    <row r="33" spans="1:7" s="640" customFormat="1" ht="15.75" x14ac:dyDescent="0.25">
      <c r="A33" s="53"/>
      <c r="B33" s="53"/>
      <c r="C33" s="53"/>
      <c r="D33" s="53"/>
      <c r="E33" s="1539"/>
      <c r="F33" s="53"/>
      <c r="G33" s="648"/>
    </row>
    <row r="34" spans="1:7" s="640" customFormat="1" ht="15.75" x14ac:dyDescent="0.25">
      <c r="A34" s="6"/>
      <c r="B34" s="6"/>
      <c r="C34" s="6"/>
      <c r="D34" s="6"/>
      <c r="E34" s="1538"/>
      <c r="F34" s="6"/>
      <c r="G34" s="647"/>
    </row>
    <row r="35" spans="1:7" s="640" customFormat="1" ht="15.75" x14ac:dyDescent="0.25">
      <c r="A35" s="6"/>
      <c r="B35" s="6"/>
      <c r="C35" s="6"/>
      <c r="D35" s="6"/>
      <c r="E35" s="1538"/>
      <c r="F35" s="6"/>
      <c r="G35" s="647"/>
    </row>
    <row r="36" spans="1:7" s="640" customFormat="1" ht="15.75" x14ac:dyDescent="0.25">
      <c r="A36" s="20"/>
      <c r="B36" s="20"/>
      <c r="C36" s="54" t="s">
        <v>311</v>
      </c>
      <c r="D36" s="55"/>
      <c r="E36" s="1540"/>
      <c r="F36" s="55" t="s">
        <v>312</v>
      </c>
      <c r="G36" s="649"/>
    </row>
    <row r="37" spans="1:7" s="640" customFormat="1" ht="15.75" x14ac:dyDescent="0.25">
      <c r="A37" s="6"/>
      <c r="B37" s="6"/>
      <c r="C37" s="6"/>
      <c r="D37" s="6"/>
      <c r="E37" s="1538"/>
      <c r="F37" s="6"/>
      <c r="G37" s="647"/>
    </row>
    <row r="38" spans="1:7" s="640" customFormat="1" ht="15.75" x14ac:dyDescent="0.25">
      <c r="A38" s="6"/>
      <c r="B38" s="6"/>
      <c r="C38" s="6"/>
      <c r="D38" s="6"/>
      <c r="E38" s="1538"/>
      <c r="F38" s="6"/>
      <c r="G38" s="647"/>
    </row>
    <row r="39" spans="1:7" s="640" customFormat="1" ht="15.75" x14ac:dyDescent="0.25">
      <c r="A39" s="6"/>
      <c r="B39" s="6"/>
      <c r="C39" s="6"/>
      <c r="D39" s="6"/>
      <c r="E39" s="1538"/>
      <c r="F39" s="6"/>
      <c r="G39" s="647"/>
    </row>
    <row r="40" spans="1:7" s="640" customFormat="1" ht="15.75" x14ac:dyDescent="0.25">
      <c r="A40" s="6"/>
      <c r="B40" s="6"/>
      <c r="C40" s="6"/>
      <c r="D40" s="6"/>
      <c r="E40" s="1538"/>
      <c r="F40" s="6"/>
      <c r="G40" s="647"/>
    </row>
    <row r="41" spans="1:7" s="640" customFormat="1" ht="15.75" x14ac:dyDescent="0.25">
      <c r="A41" s="6"/>
      <c r="B41" s="6"/>
      <c r="C41" s="6"/>
      <c r="D41" s="6"/>
      <c r="E41" s="1538"/>
      <c r="F41" s="6"/>
      <c r="G41" s="647"/>
    </row>
    <row r="42" spans="1:7" s="640" customFormat="1" ht="15.75" x14ac:dyDescent="0.25">
      <c r="A42" s="6"/>
      <c r="B42" s="6"/>
      <c r="C42" s="6"/>
      <c r="D42" s="6"/>
      <c r="E42" s="1538"/>
      <c r="F42" s="6"/>
      <c r="G42" s="647"/>
    </row>
    <row r="43" spans="1:7" s="640" customFormat="1" ht="15.75" x14ac:dyDescent="0.25">
      <c r="A43" s="6"/>
      <c r="B43" s="6"/>
      <c r="C43" s="56" t="s">
        <v>313</v>
      </c>
      <c r="D43" s="9"/>
      <c r="E43" s="1541"/>
      <c r="F43" s="57" t="s">
        <v>313</v>
      </c>
      <c r="G43" s="650"/>
    </row>
    <row r="44" spans="1:7" s="640" customFormat="1" ht="15.75" x14ac:dyDescent="0.25">
      <c r="A44" s="6"/>
      <c r="B44" s="6"/>
      <c r="C44" s="6"/>
      <c r="D44" s="9"/>
      <c r="E44" s="1541"/>
      <c r="F44" s="9" t="s">
        <v>314</v>
      </c>
      <c r="G44" s="651"/>
    </row>
  </sheetData>
  <dataValidations count="1">
    <dataValidation allowBlank="1" showInputMessage="1" showErrorMessage="1" promptTitle="Lưu ý" prompt="Bạn không được xóa và sửa thông thin trong cột này" sqref="B5:B30"/>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THKP_Goc"/>
  <dimension ref="A1:I35"/>
  <sheetViews>
    <sheetView showGridLines="0" topLeftCell="A16" workbookViewId="0">
      <selection activeCell="A7" sqref="A7:IV17"/>
    </sheetView>
  </sheetViews>
  <sheetFormatPr defaultRowHeight="15.75" outlineLevelCol="1" x14ac:dyDescent="0.25"/>
  <cols>
    <col min="1" max="1" width="4.42578125" style="2" bestFit="1" customWidth="1"/>
    <col min="2" max="2" width="9.140625" style="2" hidden="1" customWidth="1" outlineLevel="1"/>
    <col min="3" max="3" width="40.140625" style="2" customWidth="1" collapsed="1"/>
    <col min="4" max="4" width="15.28515625" style="2" bestFit="1" customWidth="1"/>
    <col min="5" max="5" width="17" style="2" bestFit="1" customWidth="1"/>
    <col min="6" max="6" width="14.140625" style="188" customWidth="1"/>
    <col min="7" max="8" width="9.140625" style="188"/>
    <col min="9" max="9" width="14.28515625" style="188" bestFit="1" customWidth="1"/>
    <col min="10" max="16384" width="9.140625" style="188"/>
  </cols>
  <sheetData>
    <row r="1" spans="1:9" ht="20.25" x14ac:dyDescent="0.25">
      <c r="A1" s="58" t="s">
        <v>3295</v>
      </c>
      <c r="B1" s="40"/>
      <c r="C1" s="40"/>
      <c r="D1" s="40"/>
      <c r="E1" s="40"/>
      <c r="F1" s="652"/>
    </row>
    <row r="2" spans="1:9" s="392" customFormat="1" x14ac:dyDescent="0.2">
      <c r="A2" s="105" t="str">
        <f>"CÔNG TRÌNH : "&amp;'Bia du toan'!$G$12</f>
        <v>CÔNG TRÌNH : TRƯỜNG CAO ĐẲNG LÝ TỰ TRỌNG</v>
      </c>
      <c r="B2" s="105"/>
      <c r="C2" s="105"/>
      <c r="D2" s="105"/>
      <c r="E2" s="105"/>
      <c r="F2" s="653"/>
    </row>
    <row r="3" spans="1:9" s="392" customFormat="1" x14ac:dyDescent="0.2">
      <c r="A3" s="105" t="str">
        <f>"HẠNG MỤC : "&amp; 'Bia du toan'!$G$13</f>
        <v>HẠNG MỤC : CẢI TẠO THƯ VIỆN GIAI ĐOẠN 2 - NĂM 2019</v>
      </c>
      <c r="B3" s="105"/>
      <c r="C3" s="105"/>
      <c r="D3" s="105"/>
      <c r="E3" s="105"/>
      <c r="F3" s="653"/>
    </row>
    <row r="4" spans="1:9" x14ac:dyDescent="0.25">
      <c r="A4" s="40"/>
      <c r="B4" s="40"/>
      <c r="C4" s="40"/>
      <c r="D4" s="40"/>
      <c r="E4" s="40"/>
      <c r="F4" s="652"/>
    </row>
    <row r="5" spans="1:9" s="840" customFormat="1" ht="12.75" x14ac:dyDescent="0.2">
      <c r="A5" s="606" t="s">
        <v>15</v>
      </c>
      <c r="B5" s="606" t="s">
        <v>293</v>
      </c>
      <c r="C5" s="606" t="s">
        <v>294</v>
      </c>
      <c r="D5" s="606" t="s">
        <v>272</v>
      </c>
      <c r="E5" s="606" t="s">
        <v>270</v>
      </c>
      <c r="F5" s="839" t="s">
        <v>584</v>
      </c>
      <c r="I5" s="841"/>
    </row>
    <row r="6" spans="1:9" s="640" customFormat="1" x14ac:dyDescent="0.2">
      <c r="A6" s="42"/>
      <c r="B6" s="43"/>
      <c r="C6" s="594" t="s">
        <v>295</v>
      </c>
      <c r="D6" s="42"/>
      <c r="E6" s="42"/>
      <c r="F6" s="654"/>
      <c r="I6" s="647"/>
    </row>
    <row r="7" spans="1:9" s="640" customFormat="1" x14ac:dyDescent="0.2">
      <c r="A7" s="44"/>
      <c r="B7" s="45" t="s">
        <v>296</v>
      </c>
      <c r="C7" s="46" t="s">
        <v>86</v>
      </c>
      <c r="D7" s="44" t="s">
        <v>296</v>
      </c>
      <c r="E7" s="44" t="s">
        <v>1166</v>
      </c>
      <c r="F7" s="643"/>
    </row>
    <row r="8" spans="1:9" s="640" customFormat="1" x14ac:dyDescent="0.2">
      <c r="A8" s="44"/>
      <c r="B8" s="45" t="s">
        <v>297</v>
      </c>
      <c r="C8" s="46" t="s">
        <v>298</v>
      </c>
      <c r="D8" s="44" t="s">
        <v>297</v>
      </c>
      <c r="E8" s="44"/>
      <c r="F8" s="643"/>
    </row>
    <row r="9" spans="1:9" s="640" customFormat="1" x14ac:dyDescent="0.2">
      <c r="A9" s="44"/>
      <c r="B9" s="45" t="s">
        <v>299</v>
      </c>
      <c r="C9" s="46" t="s">
        <v>88</v>
      </c>
      <c r="D9" s="44" t="s">
        <v>299</v>
      </c>
      <c r="E9" s="44" t="s">
        <v>1167</v>
      </c>
      <c r="F9" s="643"/>
    </row>
    <row r="10" spans="1:9" s="640" customFormat="1" x14ac:dyDescent="0.2">
      <c r="A10" s="44"/>
      <c r="B10" s="45" t="s">
        <v>300</v>
      </c>
      <c r="C10" s="46" t="s">
        <v>301</v>
      </c>
      <c r="D10" s="44" t="s">
        <v>300</v>
      </c>
      <c r="E10" s="44" t="s">
        <v>1167</v>
      </c>
      <c r="F10" s="643"/>
    </row>
    <row r="11" spans="1:9" s="640" customFormat="1" x14ac:dyDescent="0.2">
      <c r="A11" s="44" t="s">
        <v>59</v>
      </c>
      <c r="B11" s="45"/>
      <c r="C11" s="46" t="s">
        <v>302</v>
      </c>
      <c r="D11" s="44"/>
      <c r="E11" s="44"/>
      <c r="F11" s="643"/>
    </row>
    <row r="12" spans="1:9" s="640" customFormat="1" x14ac:dyDescent="0.2">
      <c r="A12" s="44">
        <v>1</v>
      </c>
      <c r="B12" s="45" t="s">
        <v>87</v>
      </c>
      <c r="C12" s="46" t="s">
        <v>86</v>
      </c>
      <c r="D12" s="44" t="s">
        <v>87</v>
      </c>
      <c r="E12" s="44" t="str">
        <f xml:space="preserve"> "A1*"&amp;Config!$D$9</f>
        <v>A1*1</v>
      </c>
      <c r="F12" s="643">
        <f xml:space="preserve"> F$7*Config!$D$9</f>
        <v>0</v>
      </c>
    </row>
    <row r="13" spans="1:9" s="640" customFormat="1" x14ac:dyDescent="0.2">
      <c r="A13" s="44">
        <v>2</v>
      </c>
      <c r="B13" s="45" t="s">
        <v>89</v>
      </c>
      <c r="C13" s="46" t="s">
        <v>88</v>
      </c>
      <c r="D13" s="44" t="s">
        <v>89</v>
      </c>
      <c r="E13" s="44" t="str">
        <f xml:space="preserve"> "B1*"&amp;Config!$D$10</f>
        <v>B1*1</v>
      </c>
      <c r="F13" s="643">
        <f xml:space="preserve"> F$9*Config!$D$10</f>
        <v>0</v>
      </c>
    </row>
    <row r="14" spans="1:9" s="640" customFormat="1" x14ac:dyDescent="0.2">
      <c r="A14" s="44">
        <v>3</v>
      </c>
      <c r="B14" s="45" t="s">
        <v>303</v>
      </c>
      <c r="C14" s="46" t="s">
        <v>90</v>
      </c>
      <c r="D14" s="44" t="s">
        <v>303</v>
      </c>
      <c r="E14" s="44" t="str">
        <f xml:space="preserve"> "C1*"&amp;Config!$D$11</f>
        <v>C1*1</v>
      </c>
      <c r="F14" s="643">
        <f xml:space="preserve"> F$10*Config!$D$11</f>
        <v>0</v>
      </c>
    </row>
    <row r="15" spans="1:9" s="644" customFormat="1" x14ac:dyDescent="0.2">
      <c r="A15" s="655"/>
      <c r="B15" s="656" t="s">
        <v>95</v>
      </c>
      <c r="C15" s="49" t="s">
        <v>1153</v>
      </c>
      <c r="D15" s="655" t="s">
        <v>1168</v>
      </c>
      <c r="E15" s="655" t="s">
        <v>1156</v>
      </c>
      <c r="F15" s="658">
        <f xml:space="preserve"> F$12+F$13+F$14</f>
        <v>0</v>
      </c>
    </row>
    <row r="16" spans="1:9" s="640" customFormat="1" x14ac:dyDescent="0.2">
      <c r="A16" s="44" t="s">
        <v>64</v>
      </c>
      <c r="B16" s="45" t="s">
        <v>96</v>
      </c>
      <c r="C16" s="46" t="s">
        <v>3296</v>
      </c>
      <c r="D16" s="44" t="s">
        <v>96</v>
      </c>
      <c r="E16" s="44" t="str">
        <f>"NC * "&amp;Config!$D$13&amp;"%"</f>
        <v>NC * 6.5%</v>
      </c>
      <c r="F16" s="643">
        <f xml:space="preserve"> F13*Config!$D$13%</f>
        <v>0</v>
      </c>
    </row>
    <row r="17" spans="1:6" s="644" customFormat="1" x14ac:dyDescent="0.2">
      <c r="A17" s="655"/>
      <c r="B17" s="656" t="s">
        <v>97</v>
      </c>
      <c r="C17" s="49" t="s">
        <v>3105</v>
      </c>
      <c r="D17" s="655" t="s">
        <v>97</v>
      </c>
      <c r="E17" s="655" t="s">
        <v>305</v>
      </c>
      <c r="F17" s="658">
        <f xml:space="preserve"> F$15+F$16</f>
        <v>0</v>
      </c>
    </row>
    <row r="18" spans="1:6" s="640" customFormat="1" x14ac:dyDescent="0.2">
      <c r="A18" s="44" t="s">
        <v>79</v>
      </c>
      <c r="B18" s="45" t="s">
        <v>98</v>
      </c>
      <c r="C18" s="46" t="s">
        <v>3106</v>
      </c>
      <c r="D18" s="44" t="s">
        <v>98</v>
      </c>
      <c r="E18" s="44" t="str">
        <f>CONCATENATE("(T+C) * ",Config!D14,"%")</f>
        <v>(T+C) * 5.5%</v>
      </c>
      <c r="F18" s="643">
        <f xml:space="preserve"> (F$15+F$16)*Config!$D$14%</f>
        <v>0</v>
      </c>
    </row>
    <row r="19" spans="1:6" s="712" customFormat="1" x14ac:dyDescent="0.2">
      <c r="A19" s="713"/>
      <c r="B19" s="714" t="s">
        <v>99</v>
      </c>
      <c r="C19" s="51" t="s">
        <v>3297</v>
      </c>
      <c r="D19" s="713" t="s">
        <v>99</v>
      </c>
      <c r="E19" s="713" t="s">
        <v>307</v>
      </c>
      <c r="F19" s="659">
        <f xml:space="preserve"> F$15+F$16+F$18</f>
        <v>0</v>
      </c>
    </row>
    <row r="20" spans="1:6" s="640" customFormat="1" x14ac:dyDescent="0.2">
      <c r="A20" s="44" t="s">
        <v>308</v>
      </c>
      <c r="B20" s="45" t="s">
        <v>101</v>
      </c>
      <c r="C20" s="46" t="s">
        <v>3298</v>
      </c>
      <c r="D20" s="44" t="s">
        <v>101</v>
      </c>
      <c r="E20" s="44" t="str">
        <f>Config!$D$15&amp;"%*VL"</f>
        <v>10%*VL</v>
      </c>
      <c r="F20" s="643">
        <f xml:space="preserve"> F$12*Config!$D$15%</f>
        <v>0</v>
      </c>
    </row>
    <row r="21" spans="1:6" s="644" customFormat="1" x14ac:dyDescent="0.2">
      <c r="A21" s="595"/>
      <c r="B21" s="596" t="s">
        <v>106</v>
      </c>
      <c r="C21" s="595" t="s">
        <v>1395</v>
      </c>
      <c r="D21" s="595"/>
      <c r="E21" s="595"/>
      <c r="F21" s="645">
        <f>F19+F20</f>
        <v>0</v>
      </c>
    </row>
    <row r="22" spans="1:6" s="640" customFormat="1" x14ac:dyDescent="0.2">
      <c r="A22" s="598"/>
      <c r="B22" s="45" t="s">
        <v>1396</v>
      </c>
      <c r="C22" s="599" t="s">
        <v>3648</v>
      </c>
      <c r="D22" s="600"/>
      <c r="E22" s="600"/>
      <c r="F22" s="646"/>
    </row>
    <row r="23" spans="1:6" s="640" customFormat="1" x14ac:dyDescent="0.25">
      <c r="A23" s="6"/>
      <c r="B23" s="6"/>
      <c r="C23" s="6"/>
      <c r="D23" s="6"/>
      <c r="E23" s="6"/>
      <c r="F23" s="647"/>
    </row>
    <row r="24" spans="1:6" s="640" customFormat="1" x14ac:dyDescent="0.25">
      <c r="A24" s="53"/>
      <c r="B24" s="53"/>
      <c r="C24" s="53"/>
      <c r="D24" s="53"/>
      <c r="E24" s="53"/>
      <c r="F24" s="648"/>
    </row>
    <row r="25" spans="1:6" s="640" customFormat="1" x14ac:dyDescent="0.25">
      <c r="A25" s="6"/>
      <c r="B25" s="6"/>
      <c r="C25" s="6"/>
      <c r="D25" s="6"/>
      <c r="E25" s="6"/>
      <c r="F25" s="647"/>
    </row>
    <row r="26" spans="1:6" s="640" customFormat="1" x14ac:dyDescent="0.25">
      <c r="A26" s="6"/>
      <c r="B26" s="6"/>
      <c r="C26" s="6"/>
      <c r="D26" s="6"/>
      <c r="E26" s="6"/>
      <c r="F26" s="647"/>
    </row>
    <row r="27" spans="1:6" s="640" customFormat="1" x14ac:dyDescent="0.25">
      <c r="A27" s="20"/>
      <c r="B27" s="20"/>
      <c r="C27" s="601" t="s">
        <v>311</v>
      </c>
      <c r="D27" s="8"/>
      <c r="E27" s="8" t="s">
        <v>312</v>
      </c>
      <c r="F27" s="649"/>
    </row>
    <row r="28" spans="1:6" s="640" customFormat="1" x14ac:dyDescent="0.25">
      <c r="A28" s="6"/>
      <c r="B28" s="6"/>
      <c r="C28" s="6"/>
      <c r="D28" s="6"/>
      <c r="E28" s="6"/>
      <c r="F28" s="647"/>
    </row>
    <row r="29" spans="1:6" s="640" customFormat="1" x14ac:dyDescent="0.25">
      <c r="A29" s="6"/>
      <c r="B29" s="6"/>
      <c r="C29" s="6"/>
      <c r="D29" s="6"/>
      <c r="E29" s="6"/>
      <c r="F29" s="647"/>
    </row>
    <row r="30" spans="1:6" s="640" customFormat="1" x14ac:dyDescent="0.25">
      <c r="A30" s="6"/>
      <c r="B30" s="6"/>
      <c r="C30" s="6"/>
      <c r="D30" s="6"/>
      <c r="E30" s="6"/>
      <c r="F30" s="647"/>
    </row>
    <row r="31" spans="1:6" s="640" customFormat="1" x14ac:dyDescent="0.25">
      <c r="A31" s="6"/>
      <c r="B31" s="6"/>
      <c r="C31" s="6"/>
      <c r="D31" s="6"/>
      <c r="E31" s="6"/>
      <c r="F31" s="647"/>
    </row>
    <row r="32" spans="1:6" s="640" customFormat="1" x14ac:dyDescent="0.25">
      <c r="A32" s="6"/>
      <c r="B32" s="6"/>
      <c r="C32" s="6"/>
      <c r="D32" s="6"/>
      <c r="E32" s="6"/>
      <c r="F32" s="647"/>
    </row>
    <row r="33" spans="1:6" s="640" customFormat="1" x14ac:dyDescent="0.25">
      <c r="A33" s="6"/>
      <c r="B33" s="6"/>
      <c r="C33" s="6"/>
      <c r="D33" s="6"/>
      <c r="E33" s="6"/>
      <c r="F33" s="647"/>
    </row>
    <row r="34" spans="1:6" s="640" customFormat="1" x14ac:dyDescent="0.25">
      <c r="A34" s="6"/>
      <c r="B34" s="6"/>
      <c r="C34" s="56" t="s">
        <v>313</v>
      </c>
      <c r="D34" s="9"/>
      <c r="E34" s="57" t="s">
        <v>313</v>
      </c>
      <c r="F34" s="650"/>
    </row>
    <row r="35" spans="1:6" s="640" customFormat="1" x14ac:dyDescent="0.25">
      <c r="A35" s="6"/>
      <c r="B35" s="6"/>
      <c r="C35" s="6"/>
      <c r="D35" s="9"/>
      <c r="E35" s="9" t="s">
        <v>314</v>
      </c>
      <c r="F35" s="651"/>
    </row>
  </sheetData>
  <dataValidations disablePrompts="1" count="1">
    <dataValidation allowBlank="1" showInputMessage="1" showErrorMessage="1" promptTitle="Lưu ý" prompt="Bạn không được xóa và sửa thông thin trong cột này" sqref="B5:B21"/>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Tonghopkinhphi_Goc"/>
  <dimension ref="A1:F42"/>
  <sheetViews>
    <sheetView showGridLines="0" topLeftCell="A25" workbookViewId="0">
      <selection activeCell="A7" sqref="A7:IV17"/>
    </sheetView>
  </sheetViews>
  <sheetFormatPr defaultRowHeight="15.75" outlineLevelCol="1" x14ac:dyDescent="0.25"/>
  <cols>
    <col min="1" max="1" width="4.42578125" style="2" bestFit="1" customWidth="1"/>
    <col min="2" max="2" width="10.5703125" style="2" hidden="1" customWidth="1" outlineLevel="1"/>
    <col min="3" max="3" width="46" style="2" customWidth="1" collapsed="1"/>
    <col min="4" max="4" width="15.28515625" style="2" bestFit="1" customWidth="1"/>
    <col min="5" max="5" width="22.7109375" style="2" customWidth="1"/>
    <col min="6" max="6" width="13.28515625" style="640" customWidth="1"/>
    <col min="7" max="8" width="9.140625" style="640"/>
    <col min="9" max="9" width="0.140625" style="640" customWidth="1"/>
    <col min="10" max="16384" width="9.140625" style="640"/>
  </cols>
  <sheetData>
    <row r="1" spans="1:6" s="189" customFormat="1" ht="20.25" x14ac:dyDescent="0.25">
      <c r="A1" s="58" t="s">
        <v>315</v>
      </c>
      <c r="B1" s="40"/>
      <c r="C1" s="40"/>
      <c r="D1" s="40"/>
      <c r="E1" s="40"/>
      <c r="F1" s="637"/>
    </row>
    <row r="2" spans="1:6" s="190" customFormat="1" x14ac:dyDescent="0.2">
      <c r="A2" s="105" t="str">
        <f>"CÔNG TRÌNH : "&amp;'Bia du toan'!$G$12</f>
        <v>CÔNG TRÌNH : TRƯỜNG CAO ĐẲNG LÝ TỰ TRỌNG</v>
      </c>
      <c r="B2" s="105"/>
      <c r="C2" s="105"/>
      <c r="D2" s="105"/>
      <c r="E2" s="105"/>
      <c r="F2" s="638"/>
    </row>
    <row r="3" spans="1:6" s="190" customFormat="1" x14ac:dyDescent="0.2">
      <c r="A3" s="105" t="str">
        <f>"HẠNG MỤC : "&amp; 'Bia du toan'!$G$13</f>
        <v>HẠNG MỤC : CẢI TẠO THƯ VIỆN GIAI ĐOẠN 2 - NĂM 2019</v>
      </c>
      <c r="B3" s="105"/>
      <c r="C3" s="105"/>
      <c r="D3" s="105"/>
      <c r="E3" s="105"/>
      <c r="F3" s="638"/>
    </row>
    <row r="4" spans="1:6" s="189" customFormat="1" x14ac:dyDescent="0.25">
      <c r="A4" s="602" t="s">
        <v>574</v>
      </c>
      <c r="B4" s="603"/>
      <c r="C4" s="603"/>
      <c r="D4" s="603"/>
      <c r="E4" s="603"/>
      <c r="F4" s="637"/>
    </row>
    <row r="5" spans="1:6" s="189" customFormat="1" ht="18.75" x14ac:dyDescent="0.35">
      <c r="A5" s="603"/>
      <c r="B5" s="186" t="s">
        <v>576</v>
      </c>
      <c r="C5" s="604" t="s">
        <v>2919</v>
      </c>
      <c r="D5" s="604"/>
      <c r="E5" s="604"/>
      <c r="F5" s="639">
        <f>Config!$D$9</f>
        <v>1</v>
      </c>
    </row>
    <row r="6" spans="1:6" s="189" customFormat="1" ht="18.75" x14ac:dyDescent="0.35">
      <c r="A6" s="603"/>
      <c r="B6" s="186" t="s">
        <v>577</v>
      </c>
      <c r="C6" s="604" t="s">
        <v>2920</v>
      </c>
      <c r="D6" s="604"/>
      <c r="E6" s="604"/>
      <c r="F6" s="639">
        <f>Config!$D$10</f>
        <v>1</v>
      </c>
    </row>
    <row r="7" spans="1:6" s="189" customFormat="1" ht="18.75" x14ac:dyDescent="0.35">
      <c r="A7" s="603"/>
      <c r="B7" s="186" t="s">
        <v>578</v>
      </c>
      <c r="C7" s="604" t="s">
        <v>2921</v>
      </c>
      <c r="D7" s="604"/>
      <c r="E7" s="604"/>
      <c r="F7" s="639">
        <f>Config!$D$11</f>
        <v>1</v>
      </c>
    </row>
    <row r="8" spans="1:6" s="189" customFormat="1" ht="18.75" x14ac:dyDescent="0.35">
      <c r="A8" s="603"/>
      <c r="B8" s="186" t="s">
        <v>579</v>
      </c>
      <c r="C8" s="604" t="s">
        <v>2922</v>
      </c>
      <c r="D8" s="604"/>
      <c r="E8" s="604"/>
      <c r="F8" s="639">
        <f>Config!$D$13</f>
        <v>6.5</v>
      </c>
    </row>
    <row r="9" spans="1:6" s="189" customFormat="1" ht="18.75" x14ac:dyDescent="0.35">
      <c r="A9" s="603"/>
      <c r="B9" s="186" t="s">
        <v>580</v>
      </c>
      <c r="C9" s="604" t="s">
        <v>3299</v>
      </c>
      <c r="D9" s="604"/>
      <c r="E9" s="604"/>
      <c r="F9" s="639">
        <f>Config!$D$14</f>
        <v>5.5</v>
      </c>
    </row>
    <row r="10" spans="1:6" s="189" customFormat="1" ht="18.75" x14ac:dyDescent="0.35">
      <c r="A10" s="603"/>
      <c r="B10" s="186" t="s">
        <v>3276</v>
      </c>
      <c r="C10" s="604" t="s">
        <v>3274</v>
      </c>
      <c r="D10" s="604"/>
      <c r="E10" s="604"/>
      <c r="F10" s="639">
        <f>Config!$D$15</f>
        <v>10</v>
      </c>
    </row>
    <row r="11" spans="1:6" s="189" customFormat="1" x14ac:dyDescent="0.25">
      <c r="A11" s="603"/>
      <c r="B11" s="603"/>
      <c r="C11" s="603"/>
      <c r="D11" s="603"/>
      <c r="E11" s="603"/>
      <c r="F11" s="637"/>
    </row>
    <row r="12" spans="1:6" s="840" customFormat="1" ht="12.75" x14ac:dyDescent="0.2">
      <c r="A12" s="606" t="s">
        <v>15</v>
      </c>
      <c r="B12" s="606" t="s">
        <v>293</v>
      </c>
      <c r="C12" s="606" t="s">
        <v>294</v>
      </c>
      <c r="D12" s="606" t="s">
        <v>272</v>
      </c>
      <c r="E12" s="606" t="s">
        <v>270</v>
      </c>
      <c r="F12" s="839" t="s">
        <v>2924</v>
      </c>
    </row>
    <row r="13" spans="1:6" x14ac:dyDescent="0.2">
      <c r="A13" s="42"/>
      <c r="B13" s="43"/>
      <c r="C13" s="594" t="s">
        <v>295</v>
      </c>
      <c r="D13" s="42"/>
      <c r="E13" s="42"/>
      <c r="F13" s="641"/>
    </row>
    <row r="14" spans="1:6" x14ac:dyDescent="0.2">
      <c r="A14" s="44"/>
      <c r="B14" s="45" t="s">
        <v>296</v>
      </c>
      <c r="C14" s="46" t="s">
        <v>86</v>
      </c>
      <c r="D14" s="44" t="s">
        <v>296</v>
      </c>
      <c r="E14" s="44" t="s">
        <v>1166</v>
      </c>
      <c r="F14" s="642"/>
    </row>
    <row r="15" spans="1:6" x14ac:dyDescent="0.2">
      <c r="A15" s="44"/>
      <c r="B15" s="45" t="s">
        <v>297</v>
      </c>
      <c r="C15" s="46" t="s">
        <v>298</v>
      </c>
      <c r="D15" s="44" t="s">
        <v>297</v>
      </c>
      <c r="E15" s="44"/>
      <c r="F15" s="642"/>
    </row>
    <row r="16" spans="1:6" x14ac:dyDescent="0.2">
      <c r="A16" s="44"/>
      <c r="B16" s="45" t="s">
        <v>299</v>
      </c>
      <c r="C16" s="46" t="s">
        <v>88</v>
      </c>
      <c r="D16" s="44" t="s">
        <v>299</v>
      </c>
      <c r="E16" s="44" t="s">
        <v>1167</v>
      </c>
      <c r="F16" s="642"/>
    </row>
    <row r="17" spans="1:6" x14ac:dyDescent="0.2">
      <c r="A17" s="44"/>
      <c r="B17" s="45" t="s">
        <v>300</v>
      </c>
      <c r="C17" s="46" t="s">
        <v>301</v>
      </c>
      <c r="D17" s="44" t="s">
        <v>300</v>
      </c>
      <c r="E17" s="44" t="s">
        <v>1167</v>
      </c>
      <c r="F17" s="642"/>
    </row>
    <row r="18" spans="1:6" x14ac:dyDescent="0.2">
      <c r="A18" s="44" t="s">
        <v>59</v>
      </c>
      <c r="B18" s="45"/>
      <c r="C18" s="46" t="s">
        <v>302</v>
      </c>
      <c r="D18" s="44"/>
      <c r="E18" s="44"/>
      <c r="F18" s="642"/>
    </row>
    <row r="19" spans="1:6" ht="18.75" x14ac:dyDescent="0.2">
      <c r="A19" s="44">
        <v>1</v>
      </c>
      <c r="B19" s="45" t="s">
        <v>87</v>
      </c>
      <c r="C19" s="46" t="s">
        <v>86</v>
      </c>
      <c r="D19" s="44" t="s">
        <v>87</v>
      </c>
      <c r="E19" s="44" t="s">
        <v>575</v>
      </c>
      <c r="F19" s="642">
        <f xml:space="preserve"> F$14*Config!$D$9</f>
        <v>0</v>
      </c>
    </row>
    <row r="20" spans="1:6" ht="18.75" x14ac:dyDescent="0.2">
      <c r="A20" s="44">
        <v>2</v>
      </c>
      <c r="B20" s="45" t="s">
        <v>89</v>
      </c>
      <c r="C20" s="46" t="s">
        <v>88</v>
      </c>
      <c r="D20" s="44" t="s">
        <v>89</v>
      </c>
      <c r="E20" s="44" t="s">
        <v>582</v>
      </c>
      <c r="F20" s="642">
        <f xml:space="preserve"> F$16*Config!$D$10</f>
        <v>0</v>
      </c>
    </row>
    <row r="21" spans="1:6" ht="18.75" x14ac:dyDescent="0.2">
      <c r="A21" s="44">
        <v>3</v>
      </c>
      <c r="B21" s="45" t="s">
        <v>303</v>
      </c>
      <c r="C21" s="46" t="s">
        <v>90</v>
      </c>
      <c r="D21" s="44" t="s">
        <v>303</v>
      </c>
      <c r="E21" s="44" t="s">
        <v>583</v>
      </c>
      <c r="F21" s="642">
        <f xml:space="preserve"> F$17*Config!$D$11</f>
        <v>0</v>
      </c>
    </row>
    <row r="22" spans="1:6" s="644" customFormat="1" x14ac:dyDescent="0.2">
      <c r="A22" s="655"/>
      <c r="B22" s="656" t="s">
        <v>95</v>
      </c>
      <c r="C22" s="49" t="s">
        <v>1153</v>
      </c>
      <c r="D22" s="655" t="s">
        <v>1168</v>
      </c>
      <c r="E22" s="655" t="s">
        <v>1156</v>
      </c>
      <c r="F22" s="715">
        <f xml:space="preserve"> F$19+F$20+F$21</f>
        <v>0</v>
      </c>
    </row>
    <row r="23" spans="1:6" ht="18.75" x14ac:dyDescent="0.2">
      <c r="A23" s="44" t="s">
        <v>64</v>
      </c>
      <c r="B23" s="45" t="s">
        <v>96</v>
      </c>
      <c r="C23" s="46" t="s">
        <v>3296</v>
      </c>
      <c r="D23" s="44" t="s">
        <v>96</v>
      </c>
      <c r="E23" s="44" t="s">
        <v>3300</v>
      </c>
      <c r="F23" s="642">
        <f xml:space="preserve"> F$22*Config!$D$13%</f>
        <v>0</v>
      </c>
    </row>
    <row r="24" spans="1:6" s="644" customFormat="1" x14ac:dyDescent="0.2">
      <c r="A24" s="655"/>
      <c r="B24" s="656" t="s">
        <v>97</v>
      </c>
      <c r="C24" s="49" t="s">
        <v>304</v>
      </c>
      <c r="D24" s="655" t="s">
        <v>97</v>
      </c>
      <c r="E24" s="655" t="s">
        <v>305</v>
      </c>
      <c r="F24" s="715">
        <f xml:space="preserve"> F$22+F$23</f>
        <v>0</v>
      </c>
    </row>
    <row r="25" spans="1:6" ht="18.75" x14ac:dyDescent="0.2">
      <c r="A25" s="44" t="s">
        <v>79</v>
      </c>
      <c r="B25" s="45" t="s">
        <v>98</v>
      </c>
      <c r="C25" s="46" t="s">
        <v>3106</v>
      </c>
      <c r="D25" s="44" t="s">
        <v>98</v>
      </c>
      <c r="E25" s="44" t="s">
        <v>3301</v>
      </c>
      <c r="F25" s="642">
        <f xml:space="preserve"> (F$22+F$23)*Config!$D$14%</f>
        <v>0</v>
      </c>
    </row>
    <row r="26" spans="1:6" s="712" customFormat="1" x14ac:dyDescent="0.2">
      <c r="A26" s="713"/>
      <c r="B26" s="714" t="s">
        <v>99</v>
      </c>
      <c r="C26" s="51" t="s">
        <v>306</v>
      </c>
      <c r="D26" s="713" t="s">
        <v>99</v>
      </c>
      <c r="E26" s="713" t="s">
        <v>307</v>
      </c>
      <c r="F26" s="724">
        <f xml:space="preserve"> F$22+F$23+F$25</f>
        <v>0</v>
      </c>
    </row>
    <row r="27" spans="1:6" x14ac:dyDescent="0.2">
      <c r="A27" s="44" t="s">
        <v>308</v>
      </c>
      <c r="B27" s="45" t="s">
        <v>101</v>
      </c>
      <c r="C27" s="46" t="s">
        <v>3302</v>
      </c>
      <c r="D27" s="44" t="s">
        <v>101</v>
      </c>
      <c r="E27" s="44" t="str">
        <f>Config!$D$15&amp;"%*VL"</f>
        <v>10%*VL</v>
      </c>
      <c r="F27" s="642">
        <f xml:space="preserve"> F$19*Config!$D$15%</f>
        <v>0</v>
      </c>
    </row>
    <row r="28" spans="1:6" s="644" customFormat="1" x14ac:dyDescent="0.2">
      <c r="A28" s="595"/>
      <c r="B28" s="596" t="s">
        <v>106</v>
      </c>
      <c r="C28" s="595" t="s">
        <v>1395</v>
      </c>
      <c r="D28" s="595"/>
      <c r="E28" s="595" t="s">
        <v>1169</v>
      </c>
      <c r="F28" s="725">
        <f xml:space="preserve"> F$26+F$27</f>
        <v>0</v>
      </c>
    </row>
    <row r="29" spans="1:6" x14ac:dyDescent="0.2">
      <c r="A29" s="598"/>
      <c r="B29" s="537" t="s">
        <v>1396</v>
      </c>
      <c r="C29" s="599" t="s">
        <v>3648</v>
      </c>
      <c r="D29" s="600"/>
      <c r="E29" s="600"/>
      <c r="F29" s="646"/>
    </row>
    <row r="30" spans="1:6" x14ac:dyDescent="0.25">
      <c r="A30" s="6"/>
      <c r="B30" s="6"/>
      <c r="C30" s="6"/>
      <c r="D30" s="6"/>
      <c r="E30" s="6"/>
      <c r="F30" s="647"/>
    </row>
    <row r="31" spans="1:6" x14ac:dyDescent="0.25">
      <c r="A31" s="53"/>
      <c r="B31" s="53"/>
      <c r="C31" s="53"/>
      <c r="D31" s="53"/>
      <c r="E31" s="53"/>
      <c r="F31" s="648"/>
    </row>
    <row r="32" spans="1:6" x14ac:dyDescent="0.25">
      <c r="A32" s="6"/>
      <c r="B32" s="6"/>
      <c r="C32" s="6"/>
      <c r="D32" s="6"/>
      <c r="E32" s="6"/>
      <c r="F32" s="647"/>
    </row>
    <row r="33" spans="1:6" x14ac:dyDescent="0.25">
      <c r="A33" s="6"/>
      <c r="B33" s="6"/>
      <c r="C33" s="6"/>
      <c r="D33" s="6"/>
      <c r="E33" s="6"/>
      <c r="F33" s="647"/>
    </row>
    <row r="34" spans="1:6" x14ac:dyDescent="0.25">
      <c r="A34" s="20"/>
      <c r="B34" s="20"/>
      <c r="C34" s="601" t="s">
        <v>311</v>
      </c>
      <c r="D34" s="8"/>
      <c r="E34" s="8" t="s">
        <v>312</v>
      </c>
      <c r="F34" s="649"/>
    </row>
    <row r="35" spans="1:6" x14ac:dyDescent="0.25">
      <c r="A35" s="6"/>
      <c r="B35" s="6"/>
      <c r="C35" s="6"/>
      <c r="D35" s="6"/>
      <c r="E35" s="6"/>
      <c r="F35" s="647"/>
    </row>
    <row r="36" spans="1:6" x14ac:dyDescent="0.25">
      <c r="A36" s="6"/>
      <c r="B36" s="6"/>
      <c r="C36" s="6"/>
      <c r="D36" s="6"/>
      <c r="E36" s="6"/>
      <c r="F36" s="647"/>
    </row>
    <row r="37" spans="1:6" x14ac:dyDescent="0.25">
      <c r="A37" s="6"/>
      <c r="B37" s="6"/>
      <c r="C37" s="6"/>
      <c r="D37" s="6"/>
      <c r="E37" s="6"/>
      <c r="F37" s="647"/>
    </row>
    <row r="38" spans="1:6" x14ac:dyDescent="0.25">
      <c r="A38" s="6"/>
      <c r="B38" s="6"/>
      <c r="C38" s="6"/>
      <c r="D38" s="6"/>
      <c r="E38" s="6"/>
      <c r="F38" s="647"/>
    </row>
    <row r="39" spans="1:6" x14ac:dyDescent="0.25">
      <c r="A39" s="6"/>
      <c r="B39" s="6"/>
      <c r="C39" s="6"/>
      <c r="D39" s="6"/>
      <c r="E39" s="6"/>
      <c r="F39" s="647"/>
    </row>
    <row r="40" spans="1:6" x14ac:dyDescent="0.25">
      <c r="A40" s="6"/>
      <c r="B40" s="6"/>
      <c r="C40" s="6"/>
      <c r="D40" s="6"/>
      <c r="E40" s="6"/>
      <c r="F40" s="647"/>
    </row>
    <row r="41" spans="1:6" x14ac:dyDescent="0.25">
      <c r="A41" s="6"/>
      <c r="B41" s="6"/>
      <c r="C41" s="56" t="s">
        <v>313</v>
      </c>
      <c r="D41" s="9"/>
      <c r="E41" s="57" t="s">
        <v>313</v>
      </c>
      <c r="F41" s="650"/>
    </row>
    <row r="42" spans="1:6" x14ac:dyDescent="0.25">
      <c r="A42" s="6"/>
      <c r="B42" s="6"/>
      <c r="C42" s="6"/>
      <c r="D42" s="9"/>
      <c r="E42" s="9" t="s">
        <v>314</v>
      </c>
      <c r="F42" s="651"/>
    </row>
  </sheetData>
  <dataValidations count="2">
    <dataValidation allowBlank="1" showInputMessage="1" showErrorMessage="1" promptTitle="Lưu ý" prompt="Bạn không được xóa và sửa thông thin trong cột này" sqref="B12 B28"/>
    <dataValidation allowBlank="1" showInputMessage="1" showErrorMessage="1" promptTitle="Lưu ý" prompt="Bạn không được xóa và sửa thông tin trong cột này" sqref="B5:B10 B13:B27"/>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DP2A">
    <tabColor rgb="FFFFFF00"/>
  </sheetPr>
  <dimension ref="A1:H40"/>
  <sheetViews>
    <sheetView workbookViewId="0">
      <selection activeCell="A7" sqref="A7:IV17"/>
    </sheetView>
  </sheetViews>
  <sheetFormatPr defaultRowHeight="15" outlineLevelCol="1" x14ac:dyDescent="0.25"/>
  <cols>
    <col min="1" max="1" width="5.85546875" style="2" customWidth="1"/>
    <col min="2" max="2" width="8.140625" style="2" hidden="1" customWidth="1" outlineLevel="1"/>
    <col min="3" max="3" width="43.7109375" style="2" bestFit="1" customWidth="1" collapsed="1"/>
    <col min="4" max="4" width="8.28515625" style="2" bestFit="1" customWidth="1"/>
    <col min="5" max="5" width="13.5703125" style="2" customWidth="1"/>
    <col min="6" max="8" width="11.5703125" style="2" bestFit="1" customWidth="1"/>
    <col min="9" max="16384" width="9.140625" style="2"/>
  </cols>
  <sheetData>
    <row r="1" spans="1:8" s="189" customFormat="1" ht="20.25" x14ac:dyDescent="0.25">
      <c r="A1" s="58" t="s">
        <v>1392</v>
      </c>
      <c r="B1" s="58"/>
      <c r="C1" s="400"/>
      <c r="D1" s="40"/>
      <c r="E1" s="40"/>
      <c r="F1" s="40"/>
      <c r="G1" s="40"/>
      <c r="H1" s="40"/>
    </row>
    <row r="2" spans="1:8" s="190" customFormat="1" ht="15.75" x14ac:dyDescent="0.2">
      <c r="A2" s="105" t="str">
        <f xml:space="preserve"> "CÔNG TRÌNH : "&amp;'Bia du toan'!$G$12</f>
        <v>CÔNG TRÌNH : TRƯỜNG CAO ĐẲNG LÝ TỰ TRỌNG</v>
      </c>
      <c r="B2" s="105"/>
      <c r="C2" s="401"/>
      <c r="D2" s="105"/>
      <c r="E2" s="105"/>
      <c r="F2" s="105"/>
      <c r="G2" s="105"/>
      <c r="H2" s="105"/>
    </row>
    <row r="3" spans="1:8" s="190" customFormat="1" ht="15.75" x14ac:dyDescent="0.2">
      <c r="A3" s="105" t="str">
        <f xml:space="preserve"> "HẠNG MỤC : "&amp; 'Bia du toan'!$G$13</f>
        <v>HẠNG MỤC : CẢI TẠO THƯ VIỆN GIAI ĐOẠN 2 - NĂM 2019</v>
      </c>
      <c r="B3" s="105"/>
      <c r="C3" s="401"/>
      <c r="D3" s="105"/>
      <c r="E3" s="105"/>
      <c r="F3" s="105"/>
      <c r="G3" s="105"/>
      <c r="H3" s="105"/>
    </row>
    <row r="4" spans="1:8" s="1" customFormat="1" ht="12.75" x14ac:dyDescent="0.2"/>
    <row r="5" spans="1:8" s="1" customFormat="1" ht="16.5" customHeight="1" x14ac:dyDescent="0.2">
      <c r="A5" s="300" t="s">
        <v>665</v>
      </c>
      <c r="B5" s="300"/>
    </row>
    <row r="6" spans="1:8" x14ac:dyDescent="0.25">
      <c r="A6" s="292" t="s">
        <v>15</v>
      </c>
      <c r="B6" s="292" t="s">
        <v>1389</v>
      </c>
      <c r="C6" s="292" t="s">
        <v>666</v>
      </c>
      <c r="D6" s="292" t="s">
        <v>667</v>
      </c>
      <c r="E6" s="292" t="s">
        <v>668</v>
      </c>
    </row>
    <row r="7" spans="1:8" ht="16.5" x14ac:dyDescent="0.3">
      <c r="A7" s="295">
        <v>1</v>
      </c>
      <c r="B7" s="295" t="s">
        <v>1373</v>
      </c>
      <c r="C7" s="294" t="s">
        <v>678</v>
      </c>
      <c r="D7" s="295" t="s">
        <v>670</v>
      </c>
      <c r="E7" s="297">
        <f>'DT Goi thau XD'!G6</f>
        <v>421381917.00089759</v>
      </c>
    </row>
    <row r="8" spans="1:8" ht="16.5" x14ac:dyDescent="0.3">
      <c r="A8" s="295">
        <v>2</v>
      </c>
      <c r="B8" s="295" t="s">
        <v>1374</v>
      </c>
      <c r="C8" s="294" t="s">
        <v>1068</v>
      </c>
      <c r="D8" s="295" t="s">
        <v>1177</v>
      </c>
      <c r="E8" s="297">
        <f>'DT Goi thau XD'!G7</f>
        <v>14748367.095031416</v>
      </c>
    </row>
    <row r="9" spans="1:8" ht="16.5" x14ac:dyDescent="0.3">
      <c r="A9" s="295"/>
      <c r="B9" s="295" t="s">
        <v>1375</v>
      </c>
      <c r="C9" s="296" t="s">
        <v>1175</v>
      </c>
      <c r="D9" s="295" t="s">
        <v>1176</v>
      </c>
      <c r="E9" s="298">
        <f xml:space="preserve"> SUM(E7:E8)</f>
        <v>436130284.09592903</v>
      </c>
    </row>
    <row r="10" spans="1:8" hidden="1" x14ac:dyDescent="0.25"/>
    <row r="11" spans="1:8" ht="17.25" x14ac:dyDescent="0.3">
      <c r="B11" s="101" t="s">
        <v>1372</v>
      </c>
      <c r="C11" s="101" t="s">
        <v>1391</v>
      </c>
      <c r="D11" s="558"/>
    </row>
    <row r="12" spans="1:8" x14ac:dyDescent="0.25">
      <c r="B12" s="101" t="s">
        <v>1390</v>
      </c>
      <c r="C12" s="101" t="s">
        <v>1371</v>
      </c>
      <c r="D12" s="558"/>
    </row>
    <row r="13" spans="1:8" hidden="1" x14ac:dyDescent="0.25"/>
    <row r="14" spans="1:8" ht="17.25" x14ac:dyDescent="0.3">
      <c r="A14" s="299" t="s">
        <v>679</v>
      </c>
      <c r="B14" s="299"/>
    </row>
    <row r="18" spans="1:8" ht="15.75" x14ac:dyDescent="0.25">
      <c r="A18" s="301" t="s">
        <v>1180</v>
      </c>
      <c r="B18" s="301"/>
    </row>
    <row r="19" spans="1:8" ht="15.75" x14ac:dyDescent="0.25">
      <c r="A19" s="301" t="s">
        <v>1181</v>
      </c>
      <c r="B19" s="301"/>
    </row>
    <row r="20" spans="1:8" ht="18.75" x14ac:dyDescent="0.35">
      <c r="A20" s="303" t="s">
        <v>1179</v>
      </c>
      <c r="B20" s="303"/>
    </row>
    <row r="21" spans="1:8" ht="56.25" customHeight="1" x14ac:dyDescent="0.25">
      <c r="A21" s="1789" t="s">
        <v>1189</v>
      </c>
      <c r="B21" s="1789"/>
      <c r="C21" s="1789"/>
      <c r="D21" s="1789"/>
      <c r="E21" s="1789"/>
      <c r="F21" s="1789"/>
      <c r="G21" s="1789"/>
      <c r="H21" s="1789"/>
    </row>
    <row r="22" spans="1:8" ht="18.75" x14ac:dyDescent="0.3">
      <c r="A22" s="402" t="s">
        <v>1178</v>
      </c>
      <c r="B22" s="402"/>
    </row>
    <row r="24" spans="1:8" ht="17.25" x14ac:dyDescent="0.3">
      <c r="A24" s="101" t="s">
        <v>1182</v>
      </c>
      <c r="B24" s="101"/>
    </row>
    <row r="26" spans="1:8" ht="17.25" x14ac:dyDescent="0.25">
      <c r="A26" s="1791" t="s">
        <v>15</v>
      </c>
      <c r="B26" s="1791" t="s">
        <v>1389</v>
      </c>
      <c r="C26" s="1791" t="s">
        <v>680</v>
      </c>
      <c r="D26" s="306" t="s">
        <v>3381</v>
      </c>
      <c r="E26" s="306"/>
      <c r="F26" s="306"/>
      <c r="G26" s="306"/>
      <c r="H26" s="306"/>
    </row>
    <row r="27" spans="1:8" ht="15.75" x14ac:dyDescent="0.25">
      <c r="A27" s="1792"/>
      <c r="B27" s="1792"/>
      <c r="C27" s="1792"/>
      <c r="D27" s="307">
        <v>1</v>
      </c>
      <c r="E27" s="307">
        <v>2</v>
      </c>
      <c r="F27" s="307">
        <v>3</v>
      </c>
      <c r="G27" s="307">
        <v>4</v>
      </c>
      <c r="H27" s="307">
        <v>5</v>
      </c>
    </row>
    <row r="28" spans="1:8" ht="18.75" x14ac:dyDescent="0.25">
      <c r="A28" s="313">
        <v>1</v>
      </c>
      <c r="B28" s="313" t="s">
        <v>1379</v>
      </c>
      <c r="C28" s="314" t="s">
        <v>1183</v>
      </c>
      <c r="D28" s="315">
        <v>100</v>
      </c>
      <c r="E28" s="315">
        <v>100</v>
      </c>
      <c r="F28" s="315">
        <v>100</v>
      </c>
      <c r="G28" s="315">
        <v>100</v>
      </c>
      <c r="H28" s="315">
        <v>100</v>
      </c>
    </row>
    <row r="29" spans="1:8" ht="18.75" x14ac:dyDescent="0.25">
      <c r="A29" s="313">
        <v>2</v>
      </c>
      <c r="B29" s="313" t="s">
        <v>1380</v>
      </c>
      <c r="C29" s="314" t="s">
        <v>3382</v>
      </c>
      <c r="D29" s="313"/>
      <c r="E29" s="316">
        <f xml:space="preserve"> E28/D28</f>
        <v>1</v>
      </c>
      <c r="F29" s="316">
        <f xml:space="preserve"> F28/E28</f>
        <v>1</v>
      </c>
      <c r="G29" s="316">
        <f xml:space="preserve"> G28/F28</f>
        <v>1</v>
      </c>
      <c r="H29" s="316">
        <f xml:space="preserve"> H28/G28</f>
        <v>1</v>
      </c>
    </row>
    <row r="30" spans="1:8" ht="39" customHeight="1" x14ac:dyDescent="0.25">
      <c r="A30" s="313">
        <v>3</v>
      </c>
      <c r="B30" s="313" t="s">
        <v>1381</v>
      </c>
      <c r="C30" s="403" t="s">
        <v>1184</v>
      </c>
      <c r="D30" s="313"/>
      <c r="E30" s="316"/>
      <c r="F30" s="316"/>
      <c r="G30" s="316"/>
      <c r="H30" s="316">
        <f>SUM(E29:H29)</f>
        <v>4</v>
      </c>
    </row>
    <row r="31" spans="1:8" ht="18.75" x14ac:dyDescent="0.35">
      <c r="A31" s="313">
        <v>4</v>
      </c>
      <c r="B31" s="313" t="s">
        <v>1382</v>
      </c>
      <c r="C31" s="404" t="s">
        <v>1185</v>
      </c>
      <c r="D31" s="1793">
        <f>AVERAGE(E29:H29)</f>
        <v>1</v>
      </c>
      <c r="E31" s="1794"/>
      <c r="F31" s="1794"/>
      <c r="G31" s="1794"/>
      <c r="H31" s="1795"/>
    </row>
    <row r="32" spans="1:8" ht="18.75" x14ac:dyDescent="0.35">
      <c r="A32" s="313">
        <v>5</v>
      </c>
      <c r="B32" s="313" t="s">
        <v>1383</v>
      </c>
      <c r="C32" s="317" t="s">
        <v>1195</v>
      </c>
      <c r="D32" s="1790"/>
      <c r="E32" s="1790"/>
      <c r="F32" s="1790"/>
      <c r="G32" s="1790"/>
      <c r="H32" s="1790"/>
    </row>
    <row r="34" spans="1:8" x14ac:dyDescent="0.25">
      <c r="A34" s="101" t="s">
        <v>1186</v>
      </c>
      <c r="B34" s="101"/>
    </row>
    <row r="35" spans="1:8" ht="15.75" x14ac:dyDescent="0.25">
      <c r="A35" s="1796" t="s">
        <v>15</v>
      </c>
      <c r="B35" s="1791" t="s">
        <v>1389</v>
      </c>
      <c r="C35" s="1796" t="s">
        <v>683</v>
      </c>
      <c r="D35" s="308" t="s">
        <v>681</v>
      </c>
      <c r="E35" s="308"/>
      <c r="F35" s="308"/>
      <c r="G35" s="308"/>
      <c r="H35" s="308"/>
    </row>
    <row r="36" spans="1:8" ht="15.75" x14ac:dyDescent="0.25">
      <c r="A36" s="1796"/>
      <c r="B36" s="1792"/>
      <c r="C36" s="1796"/>
      <c r="D36" s="390">
        <v>1</v>
      </c>
      <c r="E36" s="390">
        <v>2</v>
      </c>
      <c r="F36" s="390">
        <v>3</v>
      </c>
      <c r="G36" s="390">
        <v>4</v>
      </c>
      <c r="H36" s="390">
        <v>5</v>
      </c>
    </row>
    <row r="37" spans="1:8" ht="15.75" x14ac:dyDescent="0.25">
      <c r="A37" s="310">
        <v>1</v>
      </c>
      <c r="B37" s="310" t="s">
        <v>534</v>
      </c>
      <c r="C37" s="311" t="s">
        <v>684</v>
      </c>
      <c r="D37" s="409">
        <v>0.15</v>
      </c>
      <c r="E37" s="409">
        <v>0.25</v>
      </c>
      <c r="F37" s="409">
        <v>0.25</v>
      </c>
      <c r="G37" s="409">
        <v>0.25</v>
      </c>
      <c r="H37" s="409">
        <v>0.1</v>
      </c>
    </row>
    <row r="38" spans="1:8" ht="36" x14ac:dyDescent="0.25">
      <c r="A38" s="310">
        <v>2</v>
      </c>
      <c r="B38" s="310" t="s">
        <v>535</v>
      </c>
      <c r="C38" s="311" t="s">
        <v>1190</v>
      </c>
      <c r="D38" s="312">
        <f xml:space="preserve"> $E$9*D37</f>
        <v>65419542.614389353</v>
      </c>
      <c r="E38" s="312">
        <f xml:space="preserve"> $E$9*E37</f>
        <v>109032571.02398226</v>
      </c>
      <c r="F38" s="312">
        <f xml:space="preserve"> $E$9*F37</f>
        <v>109032571.02398226</v>
      </c>
      <c r="G38" s="312">
        <f xml:space="preserve"> $E$9*G37</f>
        <v>109032571.02398226</v>
      </c>
      <c r="H38" s="312">
        <f xml:space="preserve"> $E$9*H37</f>
        <v>43613028.409592904</v>
      </c>
    </row>
    <row r="39" spans="1:8" ht="15.75" x14ac:dyDescent="0.25">
      <c r="A39" s="310">
        <v>3</v>
      </c>
      <c r="B39" s="310" t="s">
        <v>1384</v>
      </c>
      <c r="C39" s="311" t="s">
        <v>686</v>
      </c>
      <c r="D39" s="312">
        <f>D38*(($D$31+$D$32)^D36-1)</f>
        <v>0</v>
      </c>
      <c r="E39" s="312">
        <f>E38*(($D$31+$D$32)^E36-1)</f>
        <v>0</v>
      </c>
      <c r="F39" s="312">
        <f>F38*(($D$31+$D$32)^F36-1)</f>
        <v>0</v>
      </c>
      <c r="G39" s="312">
        <f>G38*(($D$31+$D$32)^G36-1)</f>
        <v>0</v>
      </c>
      <c r="H39" s="312">
        <f>H38*(($D$31+$D$32)^H36-1)</f>
        <v>0</v>
      </c>
    </row>
    <row r="40" spans="1:8" ht="18.75" x14ac:dyDescent="0.25">
      <c r="A40" s="310">
        <v>4</v>
      </c>
      <c r="B40" s="310" t="s">
        <v>1385</v>
      </c>
      <c r="C40" s="311" t="s">
        <v>687</v>
      </c>
      <c r="D40" s="405">
        <f>SUM($D$39:D39)</f>
        <v>0</v>
      </c>
      <c r="E40" s="405">
        <f>SUM($D$39:E39)</f>
        <v>0</v>
      </c>
      <c r="F40" s="405">
        <f>SUM($D$39:F39)</f>
        <v>0</v>
      </c>
      <c r="G40" s="405">
        <f>SUM($D$39:G39)</f>
        <v>0</v>
      </c>
      <c r="H40" s="405">
        <f>SUM($D$39:H39)</f>
        <v>0</v>
      </c>
    </row>
  </sheetData>
  <mergeCells count="9">
    <mergeCell ref="A21:H21"/>
    <mergeCell ref="D32:H32"/>
    <mergeCell ref="B26:B27"/>
    <mergeCell ref="B35:B36"/>
    <mergeCell ref="A26:A27"/>
    <mergeCell ref="C26:C27"/>
    <mergeCell ref="D31:H31"/>
    <mergeCell ref="A35:A36"/>
    <mergeCell ref="C35:C36"/>
  </mergeCells>
  <dataValidations count="3">
    <dataValidation allowBlank="1" showInputMessage="1" showErrorMessage="1" promptTitle="Mức độ biến động của các yếu tố" prompt="Người dùng nhập vào mức dự báo biến động của các yếu tố chi phí, giá cả." sqref="D31:H32"/>
    <dataValidation allowBlank="1" showInputMessage="1" showErrorMessage="1" promptTitle="Nhập chỉ số giá xây dựng " prompt="Nhập chỉ số giá xây dựng cá năm gần nhất" sqref="D28:H28"/>
    <dataValidation allowBlank="1" showInputMessage="1" showErrorMessage="1" promptTitle="Điền mức phân bổ vốn huy động" prompt="Nhập vào tỷ lệ phân bổ vốn theo tiến độ từng năm (%)" sqref="D37:H37"/>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drawing r:id="rId2"/>
  <legacyDrawing r:id="rId3"/>
  <oleObjects>
    <mc:AlternateContent xmlns:mc="http://schemas.openxmlformats.org/markup-compatibility/2006">
      <mc:Choice Requires="x14">
        <oleObject progId="Equation.3" shapeId="55297" r:id="rId4">
          <objectPr defaultSize="0" autoPict="0" r:id="rId5">
            <anchor moveWithCells="1">
              <from>
                <xdr:col>2</xdr:col>
                <xdr:colOff>9525</xdr:colOff>
                <xdr:row>14</xdr:row>
                <xdr:rowOff>28575</xdr:rowOff>
              </from>
              <to>
                <xdr:col>2</xdr:col>
                <xdr:colOff>2809875</xdr:colOff>
                <xdr:row>16</xdr:row>
                <xdr:rowOff>171450</xdr:rowOff>
              </to>
            </anchor>
          </objectPr>
        </oleObject>
      </mc:Choice>
      <mc:Fallback>
        <oleObject progId="Equation.3" shapeId="55297" r:id="rId4"/>
      </mc:Fallback>
    </mc:AlternateContent>
    <mc:AlternateContent xmlns:mc="http://schemas.openxmlformats.org/markup-compatibility/2006">
      <mc:Choice Requires="x14">
        <oleObject progId="Equation.3" shapeId="55298" r:id="rId6">
          <objectPr defaultSize="0" autoPict="0" r:id="rId7">
            <anchor moveWithCells="1">
              <from>
                <xdr:col>2</xdr:col>
                <xdr:colOff>1285875</xdr:colOff>
                <xdr:row>21</xdr:row>
                <xdr:rowOff>228600</xdr:rowOff>
              </from>
              <to>
                <xdr:col>2</xdr:col>
                <xdr:colOff>2486025</xdr:colOff>
                <xdr:row>24</xdr:row>
                <xdr:rowOff>152400</xdr:rowOff>
              </to>
            </anchor>
          </objectPr>
        </oleObject>
      </mc:Choice>
      <mc:Fallback>
        <oleObject progId="Equation.3" shapeId="55298" r:id="rId6"/>
      </mc:Fallback>
    </mc:AlternateContent>
    <mc:AlternateContent xmlns:mc="http://schemas.openxmlformats.org/markup-compatibility/2006">
      <mc:Choice Requires="x14">
        <oleObject progId="Equation.3" shapeId="55299" r:id="rId8">
          <objectPr defaultSize="0" autoPict="0" r:id="rId9">
            <anchor moveWithCells="1">
              <from>
                <xdr:col>2</xdr:col>
                <xdr:colOff>1971675</xdr:colOff>
                <xdr:row>29</xdr:row>
                <xdr:rowOff>19050</xdr:rowOff>
              </from>
              <to>
                <xdr:col>2</xdr:col>
                <xdr:colOff>2886075</xdr:colOff>
                <xdr:row>29</xdr:row>
                <xdr:rowOff>438150</xdr:rowOff>
              </to>
            </anchor>
          </objectPr>
        </oleObject>
      </mc:Choice>
      <mc:Fallback>
        <oleObject progId="Equation.3" shapeId="55299" r:id="rId8"/>
      </mc:Fallback>
    </mc:AlternateContent>
  </oleObjec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THKP_KS"/>
  <dimension ref="A1:I54"/>
  <sheetViews>
    <sheetView showZeros="0" topLeftCell="A34" workbookViewId="0">
      <selection activeCell="A7" sqref="A7:IV17"/>
    </sheetView>
  </sheetViews>
  <sheetFormatPr defaultRowHeight="15.75" outlineLevelCol="1" x14ac:dyDescent="0.25"/>
  <cols>
    <col min="1" max="1" width="5.85546875" style="636" customWidth="1"/>
    <col min="2" max="2" width="10.5703125" style="636" hidden="1" customWidth="1" outlineLevel="1"/>
    <col min="3" max="3" width="43" style="636" customWidth="1" collapsed="1"/>
    <col min="4" max="4" width="9.42578125" style="636" bestFit="1" customWidth="1"/>
    <col min="5" max="5" width="24.5703125" style="636" bestFit="1" customWidth="1"/>
    <col min="6" max="6" width="16.42578125" style="778" customWidth="1"/>
    <col min="7" max="8" width="9.140625" style="188"/>
    <col min="9" max="9" width="0.140625" style="188" customWidth="1"/>
    <col min="10" max="16384" width="9.140625" style="188"/>
  </cols>
  <sheetData>
    <row r="1" spans="1:9" s="189" customFormat="1" ht="20.25" x14ac:dyDescent="0.25">
      <c r="A1" s="58" t="s">
        <v>315</v>
      </c>
      <c r="B1" s="40"/>
      <c r="C1" s="40"/>
      <c r="D1" s="40"/>
      <c r="E1" s="40"/>
      <c r="F1" s="603"/>
    </row>
    <row r="2" spans="1:9" s="190" customFormat="1" x14ac:dyDescent="0.25">
      <c r="A2" s="105" t="str">
        <f>"CÔNG TRÌNH : "&amp;'Bia du toan'!$G$12</f>
        <v>CÔNG TRÌNH : TRƯỜNG CAO ĐẲNG LÝ TỰ TRỌNG</v>
      </c>
      <c r="B2" s="105"/>
      <c r="C2" s="105"/>
      <c r="D2" s="105"/>
      <c r="E2" s="105"/>
      <c r="F2" s="352"/>
    </row>
    <row r="3" spans="1:9" s="190" customFormat="1" x14ac:dyDescent="0.25">
      <c r="A3" s="105" t="str">
        <f>"HẠNG MỤC : "&amp; 'Bia du toan'!$G$13</f>
        <v>HẠNG MỤC : CẢI TẠO THƯ VIỆN GIAI ĐOẠN 2 - NĂM 2019</v>
      </c>
      <c r="B3" s="105"/>
      <c r="C3" s="105"/>
      <c r="D3" s="105"/>
      <c r="E3" s="105"/>
      <c r="F3" s="352"/>
    </row>
    <row r="4" spans="1:9" s="189" customFormat="1" x14ac:dyDescent="0.25">
      <c r="A4" s="191" t="s">
        <v>574</v>
      </c>
      <c r="B4" s="40"/>
      <c r="C4" s="40"/>
      <c r="D4" s="40"/>
      <c r="E4" s="842" t="s">
        <v>3749</v>
      </c>
      <c r="F4" s="603"/>
    </row>
    <row r="5" spans="1:9" s="189" customFormat="1" ht="16.5" x14ac:dyDescent="0.3">
      <c r="A5" s="40"/>
      <c r="B5" s="763" t="s">
        <v>576</v>
      </c>
      <c r="C5" s="185" t="s">
        <v>3827</v>
      </c>
      <c r="D5" s="185"/>
      <c r="E5" s="185"/>
      <c r="F5" s="605">
        <f xml:space="preserve"> Config!$D$9</f>
        <v>1</v>
      </c>
    </row>
    <row r="6" spans="1:9" s="189" customFormat="1" ht="16.5" x14ac:dyDescent="0.3">
      <c r="A6" s="40"/>
      <c r="B6" s="763" t="s">
        <v>577</v>
      </c>
      <c r="C6" s="185" t="s">
        <v>3828</v>
      </c>
      <c r="D6" s="185"/>
      <c r="E6" s="185"/>
      <c r="F6" s="605">
        <f xml:space="preserve"> Config!$D$10</f>
        <v>1</v>
      </c>
    </row>
    <row r="7" spans="1:9" s="189" customFormat="1" ht="16.5" x14ac:dyDescent="0.3">
      <c r="A7" s="40"/>
      <c r="B7" s="763" t="s">
        <v>578</v>
      </c>
      <c r="C7" s="185" t="s">
        <v>3829</v>
      </c>
      <c r="D7" s="185"/>
      <c r="E7" s="185"/>
      <c r="F7" s="605">
        <f xml:space="preserve"> Config!$D$11</f>
        <v>1</v>
      </c>
    </row>
    <row r="8" spans="1:9" s="189" customFormat="1" ht="16.5" x14ac:dyDescent="0.3">
      <c r="A8" s="40"/>
      <c r="B8" s="763" t="s">
        <v>579</v>
      </c>
      <c r="C8" s="185" t="s">
        <v>3825</v>
      </c>
      <c r="D8" s="185"/>
      <c r="E8" s="185"/>
      <c r="F8" s="605">
        <f xml:space="preserve"> Config!$D$13</f>
        <v>6.5</v>
      </c>
    </row>
    <row r="9" spans="1:9" s="189" customFormat="1" ht="16.5" x14ac:dyDescent="0.3">
      <c r="A9" s="40"/>
      <c r="B9" s="763" t="s">
        <v>580</v>
      </c>
      <c r="C9" s="185" t="s">
        <v>3826</v>
      </c>
      <c r="D9" s="185"/>
      <c r="E9" s="185"/>
      <c r="F9" s="605">
        <f xml:space="preserve"> Config!$D$14</f>
        <v>5.5</v>
      </c>
    </row>
    <row r="10" spans="1:9" s="1243" customFormat="1" x14ac:dyDescent="0.25">
      <c r="A10" s="1238"/>
      <c r="B10" s="1239"/>
      <c r="C10" s="1240" t="s">
        <v>3745</v>
      </c>
      <c r="D10" s="1241"/>
      <c r="E10" s="1241"/>
      <c r="F10" s="1242"/>
    </row>
    <row r="11" spans="1:9" s="189" customFormat="1" x14ac:dyDescent="0.25">
      <c r="A11" s="40"/>
      <c r="B11" s="763" t="s">
        <v>3746</v>
      </c>
      <c r="C11" s="185" t="s">
        <v>3804</v>
      </c>
      <c r="D11" s="185"/>
      <c r="E11" s="605">
        <v>2</v>
      </c>
      <c r="F11" s="605">
        <f>E11</f>
        <v>2</v>
      </c>
    </row>
    <row r="12" spans="1:9" s="189" customFormat="1" x14ac:dyDescent="0.25">
      <c r="A12" s="40"/>
      <c r="B12" s="763" t="s">
        <v>3747</v>
      </c>
      <c r="C12" s="185" t="s">
        <v>3805</v>
      </c>
      <c r="D12" s="185"/>
      <c r="E12" s="605">
        <v>3</v>
      </c>
      <c r="F12" s="605">
        <f>E12</f>
        <v>3</v>
      </c>
    </row>
    <row r="13" spans="1:9" s="189" customFormat="1" x14ac:dyDescent="0.25">
      <c r="A13" s="40"/>
      <c r="B13" s="763" t="s">
        <v>3750</v>
      </c>
      <c r="C13" s="185" t="s">
        <v>3823</v>
      </c>
      <c r="D13" s="185"/>
      <c r="E13" s="605">
        <v>6</v>
      </c>
      <c r="F13" s="605">
        <f>E13</f>
        <v>6</v>
      </c>
    </row>
    <row r="14" spans="1:9" s="189" customFormat="1" x14ac:dyDescent="0.25">
      <c r="A14" s="40"/>
      <c r="B14" s="763" t="s">
        <v>3748</v>
      </c>
      <c r="C14" s="185" t="s">
        <v>3824</v>
      </c>
      <c r="D14" s="185"/>
      <c r="E14" s="605">
        <v>10</v>
      </c>
      <c r="F14" s="605">
        <f>E14</f>
        <v>10</v>
      </c>
    </row>
    <row r="15" spans="1:9" s="189" customFormat="1" x14ac:dyDescent="0.25">
      <c r="A15" s="40"/>
      <c r="B15" s="40"/>
      <c r="C15" s="40"/>
      <c r="D15" s="40"/>
      <c r="E15" s="40"/>
      <c r="F15" s="603"/>
    </row>
    <row r="16" spans="1:9" s="845" customFormat="1" ht="12.75" x14ac:dyDescent="0.2">
      <c r="A16" s="842" t="s">
        <v>15</v>
      </c>
      <c r="B16" s="842" t="s">
        <v>293</v>
      </c>
      <c r="C16" s="842" t="s">
        <v>294</v>
      </c>
      <c r="D16" s="842" t="s">
        <v>272</v>
      </c>
      <c r="E16" s="842" t="s">
        <v>270</v>
      </c>
      <c r="F16" s="843" t="s">
        <v>584</v>
      </c>
      <c r="I16" s="841"/>
    </row>
    <row r="17" spans="1:9" s="640" customFormat="1" x14ac:dyDescent="0.2">
      <c r="A17" s="766"/>
      <c r="B17" s="764"/>
      <c r="C17" s="765" t="s">
        <v>295</v>
      </c>
      <c r="D17" s="766"/>
      <c r="E17" s="766"/>
      <c r="F17" s="767"/>
      <c r="I17" s="647"/>
    </row>
    <row r="18" spans="1:9" s="640" customFormat="1" x14ac:dyDescent="0.2">
      <c r="A18" s="770"/>
      <c r="B18" s="768" t="s">
        <v>296</v>
      </c>
      <c r="C18" s="769" t="s">
        <v>86</v>
      </c>
      <c r="D18" s="770" t="s">
        <v>296</v>
      </c>
      <c r="E18" s="770" t="s">
        <v>1166</v>
      </c>
      <c r="F18" s="771"/>
    </row>
    <row r="19" spans="1:9" s="640" customFormat="1" x14ac:dyDescent="0.2">
      <c r="A19" s="770"/>
      <c r="B19" s="768" t="s">
        <v>297</v>
      </c>
      <c r="C19" s="769" t="s">
        <v>298</v>
      </c>
      <c r="D19" s="770" t="s">
        <v>297</v>
      </c>
      <c r="E19" s="770"/>
      <c r="F19" s="771"/>
    </row>
    <row r="20" spans="1:9" s="640" customFormat="1" x14ac:dyDescent="0.2">
      <c r="A20" s="770"/>
      <c r="B20" s="768" t="s">
        <v>299</v>
      </c>
      <c r="C20" s="769" t="s">
        <v>88</v>
      </c>
      <c r="D20" s="770" t="s">
        <v>299</v>
      </c>
      <c r="E20" s="770" t="s">
        <v>1167</v>
      </c>
      <c r="F20" s="771"/>
    </row>
    <row r="21" spans="1:9" s="640" customFormat="1" x14ac:dyDescent="0.2">
      <c r="A21" s="770"/>
      <c r="B21" s="768" t="s">
        <v>3114</v>
      </c>
      <c r="C21" s="769" t="s">
        <v>3115</v>
      </c>
      <c r="D21" s="770" t="s">
        <v>3114</v>
      </c>
      <c r="E21" s="770"/>
      <c r="F21" s="771"/>
    </row>
    <row r="22" spans="1:9" s="640" customFormat="1" x14ac:dyDescent="0.2">
      <c r="A22" s="770"/>
      <c r="B22" s="768" t="s">
        <v>300</v>
      </c>
      <c r="C22" s="769" t="s">
        <v>301</v>
      </c>
      <c r="D22" s="770" t="s">
        <v>300</v>
      </c>
      <c r="E22" s="770" t="s">
        <v>1167</v>
      </c>
      <c r="F22" s="771"/>
    </row>
    <row r="23" spans="1:9" s="640" customFormat="1" x14ac:dyDescent="0.2">
      <c r="A23" s="770"/>
      <c r="B23" s="768" t="s">
        <v>3116</v>
      </c>
      <c r="C23" s="769" t="s">
        <v>3117</v>
      </c>
      <c r="D23" s="770" t="s">
        <v>3116</v>
      </c>
      <c r="E23" s="770"/>
      <c r="F23" s="771"/>
    </row>
    <row r="24" spans="1:9" s="644" customFormat="1" x14ac:dyDescent="0.2">
      <c r="A24" s="774" t="s">
        <v>59</v>
      </c>
      <c r="B24" s="772"/>
      <c r="C24" s="773" t="s">
        <v>302</v>
      </c>
      <c r="D24" s="774"/>
      <c r="E24" s="774"/>
      <c r="F24" s="775"/>
    </row>
    <row r="25" spans="1:9" s="640" customFormat="1" ht="18.75" x14ac:dyDescent="0.2">
      <c r="A25" s="770">
        <v>1</v>
      </c>
      <c r="B25" s="768" t="s">
        <v>87</v>
      </c>
      <c r="C25" s="769" t="s">
        <v>86</v>
      </c>
      <c r="D25" s="770" t="s">
        <v>87</v>
      </c>
      <c r="E25" s="770" t="s">
        <v>3812</v>
      </c>
      <c r="F25" s="771"/>
    </row>
    <row r="26" spans="1:9" s="640" customFormat="1" ht="18.75" x14ac:dyDescent="0.2">
      <c r="A26" s="770">
        <v>2</v>
      </c>
      <c r="B26" s="768" t="s">
        <v>89</v>
      </c>
      <c r="C26" s="769" t="s">
        <v>88</v>
      </c>
      <c r="D26" s="770" t="s">
        <v>89</v>
      </c>
      <c r="E26" s="770" t="s">
        <v>3813</v>
      </c>
      <c r="F26" s="771"/>
    </row>
    <row r="27" spans="1:9" s="640" customFormat="1" ht="18.75" x14ac:dyDescent="0.2">
      <c r="A27" s="770">
        <v>3</v>
      </c>
      <c r="B27" s="768" t="s">
        <v>303</v>
      </c>
      <c r="C27" s="769" t="s">
        <v>90</v>
      </c>
      <c r="D27" s="770" t="s">
        <v>303</v>
      </c>
      <c r="E27" s="770" t="s">
        <v>3814</v>
      </c>
      <c r="F27" s="771"/>
    </row>
    <row r="28" spans="1:9" s="644" customFormat="1" x14ac:dyDescent="0.2">
      <c r="A28" s="655"/>
      <c r="B28" s="656" t="s">
        <v>1337</v>
      </c>
      <c r="C28" s="49" t="s">
        <v>1153</v>
      </c>
      <c r="D28" s="655" t="s">
        <v>95</v>
      </c>
      <c r="E28" s="655" t="s">
        <v>1156</v>
      </c>
      <c r="F28" s="658">
        <f xml:space="preserve"> F25+F26+F27</f>
        <v>0</v>
      </c>
    </row>
    <row r="29" spans="1:9" s="640" customFormat="1" ht="18.75" x14ac:dyDescent="0.2">
      <c r="A29" s="1227" t="s">
        <v>64</v>
      </c>
      <c r="B29" s="1227" t="s">
        <v>421</v>
      </c>
      <c r="C29" s="1228" t="s">
        <v>279</v>
      </c>
      <c r="D29" s="1227" t="s">
        <v>96</v>
      </c>
      <c r="E29" s="770" t="s">
        <v>3811</v>
      </c>
      <c r="F29" s="1229">
        <f>F26*Config!D13%</f>
        <v>0</v>
      </c>
    </row>
    <row r="30" spans="1:9" s="640" customFormat="1" ht="17.25" x14ac:dyDescent="0.2">
      <c r="A30" s="92" t="s">
        <v>79</v>
      </c>
      <c r="B30" s="540" t="s">
        <v>1338</v>
      </c>
      <c r="C30" s="50" t="s">
        <v>3709</v>
      </c>
      <c r="D30" s="92" t="s">
        <v>98</v>
      </c>
      <c r="E30" s="92" t="s">
        <v>3830</v>
      </c>
      <c r="F30" s="658">
        <f xml:space="preserve"> (F28+F29)*Config!D14%</f>
        <v>0</v>
      </c>
    </row>
    <row r="31" spans="1:9" s="644" customFormat="1" x14ac:dyDescent="0.2">
      <c r="A31" s="92" t="s">
        <v>308</v>
      </c>
      <c r="B31" s="540" t="s">
        <v>99</v>
      </c>
      <c r="C31" s="50" t="s">
        <v>3724</v>
      </c>
      <c r="D31" s="92" t="s">
        <v>99</v>
      </c>
      <c r="E31" s="92" t="str">
        <f>D28&amp;"+"&amp;D29&amp;"+"&amp;D30</f>
        <v>T+C+TL</v>
      </c>
      <c r="F31" s="658">
        <f>F28+F29+F30</f>
        <v>0</v>
      </c>
    </row>
    <row r="32" spans="1:9" s="640" customFormat="1" ht="28.5" x14ac:dyDescent="0.2">
      <c r="A32" s="92"/>
      <c r="B32" s="540" t="s">
        <v>3743</v>
      </c>
      <c r="C32" s="50" t="s">
        <v>3710</v>
      </c>
      <c r="D32" s="92" t="s">
        <v>3713</v>
      </c>
      <c r="E32" s="92" t="s">
        <v>3725</v>
      </c>
      <c r="F32" s="658">
        <f>F33+F36</f>
        <v>0</v>
      </c>
    </row>
    <row r="33" spans="1:6" s="640" customFormat="1" ht="30" x14ac:dyDescent="0.2">
      <c r="A33" s="1224"/>
      <c r="B33" s="1225" t="s">
        <v>3742</v>
      </c>
      <c r="C33" s="1226" t="s">
        <v>3723</v>
      </c>
      <c r="D33" s="1224" t="s">
        <v>3727</v>
      </c>
      <c r="E33" s="1224" t="s">
        <v>3728</v>
      </c>
      <c r="F33" s="659">
        <f>F34+F35</f>
        <v>0</v>
      </c>
    </row>
    <row r="34" spans="1:6" s="640" customFormat="1" ht="18.75" x14ac:dyDescent="0.2">
      <c r="A34" s="47"/>
      <c r="B34" s="539" t="s">
        <v>1339</v>
      </c>
      <c r="C34" s="48" t="s">
        <v>1340</v>
      </c>
      <c r="D34" s="47" t="s">
        <v>1339</v>
      </c>
      <c r="E34" s="770" t="s">
        <v>3816</v>
      </c>
      <c r="F34" s="643">
        <f>E11%*F31</f>
        <v>0</v>
      </c>
    </row>
    <row r="35" spans="1:6" s="640" customFormat="1" ht="18.75" x14ac:dyDescent="0.2">
      <c r="A35" s="47"/>
      <c r="B35" s="539" t="s">
        <v>1341</v>
      </c>
      <c r="C35" s="48" t="s">
        <v>1342</v>
      </c>
      <c r="D35" s="47" t="s">
        <v>1341</v>
      </c>
      <c r="E35" s="770" t="s">
        <v>3817</v>
      </c>
      <c r="F35" s="643">
        <f>E12%*F31</f>
        <v>0</v>
      </c>
    </row>
    <row r="36" spans="1:6" s="644" customFormat="1" ht="18.75" x14ac:dyDescent="0.2">
      <c r="A36" s="1224"/>
      <c r="B36" s="1225" t="s">
        <v>1343</v>
      </c>
      <c r="C36" s="541" t="s">
        <v>1068</v>
      </c>
      <c r="D36" s="1224" t="s">
        <v>3726</v>
      </c>
      <c r="E36" s="770" t="s">
        <v>3822</v>
      </c>
      <c r="F36" s="659">
        <f>F31*E13%</f>
        <v>0</v>
      </c>
    </row>
    <row r="37" spans="1:6" s="640" customFormat="1" ht="17.25" x14ac:dyDescent="0.2">
      <c r="A37" s="655"/>
      <c r="B37" s="656" t="s">
        <v>1346</v>
      </c>
      <c r="C37" s="49" t="s">
        <v>1347</v>
      </c>
      <c r="D37" s="655" t="s">
        <v>1346</v>
      </c>
      <c r="E37" s="655" t="s">
        <v>3729</v>
      </c>
      <c r="F37" s="658">
        <f>F31+F32</f>
        <v>0</v>
      </c>
    </row>
    <row r="38" spans="1:6" s="712" customFormat="1" ht="18.75" x14ac:dyDescent="0.2">
      <c r="A38" s="92" t="s">
        <v>1345</v>
      </c>
      <c r="B38" s="540" t="s">
        <v>101</v>
      </c>
      <c r="C38" s="50" t="s">
        <v>3711</v>
      </c>
      <c r="D38" s="92" t="s">
        <v>3714</v>
      </c>
      <c r="E38" s="770" t="s">
        <v>3820</v>
      </c>
      <c r="F38" s="658">
        <f xml:space="preserve"> F37*Config!$D$15%</f>
        <v>0</v>
      </c>
    </row>
    <row r="39" spans="1:6" s="640" customFormat="1" ht="17.25" x14ac:dyDescent="0.2">
      <c r="A39" s="92"/>
      <c r="B39" s="540" t="s">
        <v>1350</v>
      </c>
      <c r="C39" s="541" t="s">
        <v>1351</v>
      </c>
      <c r="D39" s="92" t="s">
        <v>3730</v>
      </c>
      <c r="E39" s="92" t="s">
        <v>3732</v>
      </c>
      <c r="F39" s="658">
        <f xml:space="preserve"> F37+F38</f>
        <v>0</v>
      </c>
    </row>
    <row r="40" spans="1:6" s="644" customFormat="1" ht="18.75" x14ac:dyDescent="0.2">
      <c r="A40" s="92" t="s">
        <v>1348</v>
      </c>
      <c r="B40" s="540" t="s">
        <v>1352</v>
      </c>
      <c r="C40" s="50" t="s">
        <v>3712</v>
      </c>
      <c r="D40" s="92" t="s">
        <v>3715</v>
      </c>
      <c r="E40" s="770" t="s">
        <v>3821</v>
      </c>
      <c r="F40" s="658">
        <f>F39*'Tong hop kinh phi_KS_tt17'!E15%</f>
        <v>0</v>
      </c>
    </row>
    <row r="41" spans="1:6" s="640" customFormat="1" ht="17.25" x14ac:dyDescent="0.2">
      <c r="A41" s="52"/>
      <c r="B41" s="542" t="s">
        <v>106</v>
      </c>
      <c r="C41" s="420" t="s">
        <v>105</v>
      </c>
      <c r="D41" s="52"/>
      <c r="E41" s="52" t="s">
        <v>3731</v>
      </c>
      <c r="F41" s="645">
        <f>F40+F39</f>
        <v>0</v>
      </c>
    </row>
    <row r="42" spans="1:6" s="640" customFormat="1" x14ac:dyDescent="0.2">
      <c r="A42" s="543"/>
      <c r="B42" s="543" t="s">
        <v>1396</v>
      </c>
      <c r="C42" s="544" t="e">
        <f ca="1">"Bằng chữ : "&amp;[3]!docsoUNI(F41)&amp;" đồng"</f>
        <v>#NAME?</v>
      </c>
      <c r="D42" s="545"/>
      <c r="E42" s="545"/>
      <c r="F42" s="646"/>
    </row>
    <row r="43" spans="1:6" s="640" customFormat="1" x14ac:dyDescent="0.25">
      <c r="A43" s="53"/>
      <c r="B43" s="53"/>
      <c r="C43" s="53"/>
      <c r="D43" s="53"/>
      <c r="E43" s="53"/>
      <c r="F43" s="648"/>
    </row>
    <row r="44" spans="1:6" s="640" customFormat="1" x14ac:dyDescent="0.25">
      <c r="A44" s="6"/>
      <c r="B44" s="6"/>
      <c r="C44" s="6"/>
      <c r="D44" s="6"/>
      <c r="E44" s="6"/>
      <c r="F44" s="647"/>
    </row>
    <row r="45" spans="1:6" s="640" customFormat="1" x14ac:dyDescent="0.25">
      <c r="A45" s="6"/>
      <c r="B45" s="6"/>
      <c r="C45" s="6"/>
      <c r="D45" s="6"/>
      <c r="E45" s="6"/>
      <c r="F45" s="647"/>
    </row>
    <row r="46" spans="1:6" s="640" customFormat="1" x14ac:dyDescent="0.25">
      <c r="A46" s="20"/>
      <c r="B46" s="20"/>
      <c r="C46" s="601" t="s">
        <v>311</v>
      </c>
      <c r="D46" s="8"/>
      <c r="E46" s="8" t="s">
        <v>312</v>
      </c>
      <c r="F46" s="649"/>
    </row>
    <row r="47" spans="1:6" s="640" customFormat="1" x14ac:dyDescent="0.25">
      <c r="A47" s="6"/>
      <c r="B47" s="6"/>
      <c r="C47" s="6"/>
      <c r="D47" s="6"/>
      <c r="E47" s="6"/>
      <c r="F47" s="647"/>
    </row>
    <row r="48" spans="1:6" s="640" customFormat="1" x14ac:dyDescent="0.25">
      <c r="A48" s="6"/>
      <c r="B48" s="6"/>
      <c r="C48" s="6"/>
      <c r="D48" s="6"/>
      <c r="E48" s="6"/>
      <c r="F48" s="647"/>
    </row>
    <row r="49" spans="1:6" s="640" customFormat="1" x14ac:dyDescent="0.25">
      <c r="A49" s="6"/>
      <c r="B49" s="6"/>
      <c r="C49" s="6"/>
      <c r="D49" s="6"/>
      <c r="E49" s="6"/>
      <c r="F49" s="647"/>
    </row>
    <row r="50" spans="1:6" s="640" customFormat="1" x14ac:dyDescent="0.25">
      <c r="A50" s="6"/>
      <c r="B50" s="6"/>
      <c r="C50" s="6"/>
      <c r="D50" s="6"/>
      <c r="E50" s="6"/>
      <c r="F50" s="647"/>
    </row>
    <row r="51" spans="1:6" s="640" customFormat="1" x14ac:dyDescent="0.25">
      <c r="A51" s="6"/>
      <c r="B51" s="6"/>
      <c r="C51" s="6"/>
      <c r="D51" s="6"/>
      <c r="E51" s="6"/>
      <c r="F51" s="647"/>
    </row>
    <row r="52" spans="1:6" s="640" customFormat="1" x14ac:dyDescent="0.25">
      <c r="A52" s="6"/>
      <c r="B52" s="6"/>
      <c r="C52" s="6"/>
      <c r="D52" s="6"/>
      <c r="E52" s="6"/>
      <c r="F52" s="647"/>
    </row>
    <row r="53" spans="1:6" s="640" customFormat="1" x14ac:dyDescent="0.25">
      <c r="A53" s="6"/>
      <c r="B53" s="6"/>
      <c r="C53" s="56" t="s">
        <v>313</v>
      </c>
      <c r="D53" s="9"/>
      <c r="E53" s="57" t="s">
        <v>313</v>
      </c>
      <c r="F53" s="650"/>
    </row>
    <row r="54" spans="1:6" s="640" customFormat="1" x14ac:dyDescent="0.25">
      <c r="A54" s="6"/>
      <c r="B54" s="6"/>
      <c r="C54" s="6"/>
      <c r="D54" s="9"/>
      <c r="E54" s="9" t="s">
        <v>314</v>
      </c>
      <c r="F54" s="651"/>
    </row>
  </sheetData>
  <dataValidations disablePrompts="1" count="2">
    <dataValidation allowBlank="1" showInputMessage="1" showErrorMessage="1" promptTitle="Lưu ý" prompt="Bạn không được xóa và sửa thông tin trong cột này" sqref="B5:B14"/>
    <dataValidation allowBlank="1" showInputMessage="1" showErrorMessage="1" promptTitle="Lưu ý" prompt="Bạn không được xóa và sửa thông thin trong cột này" sqref="B16:B41"/>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TMDT">
    <tabColor rgb="FF00B050"/>
  </sheetPr>
  <dimension ref="B1:P68"/>
  <sheetViews>
    <sheetView showGridLines="0" showZeros="0" topLeftCell="A60" zoomScaleNormal="100" workbookViewId="0">
      <selection activeCell="G62" sqref="G62"/>
    </sheetView>
  </sheetViews>
  <sheetFormatPr defaultRowHeight="15.75" outlineLevelRow="2" outlineLevelCol="1" x14ac:dyDescent="0.25"/>
  <cols>
    <col min="1" max="1" width="52.28515625" style="1" customWidth="1"/>
    <col min="2" max="2" width="5" style="1" bestFit="1" customWidth="1"/>
    <col min="3" max="3" width="11" style="1" hidden="1" customWidth="1" outlineLevel="1"/>
    <col min="4" max="4" width="50.28515625" style="365" customWidth="1" collapsed="1"/>
    <col min="5" max="5" width="26.85546875" style="365" hidden="1" customWidth="1" outlineLevel="1"/>
    <col min="6" max="6" width="28.42578125" style="1" customWidth="1" collapsed="1"/>
    <col min="7" max="7" width="18.42578125" style="1" bestFit="1" customWidth="1"/>
    <col min="8" max="8" width="16.42578125" style="1" bestFit="1" customWidth="1"/>
    <col min="9" max="9" width="17.85546875" style="1" bestFit="1" customWidth="1"/>
    <col min="10" max="10" width="10.85546875" style="1" customWidth="1"/>
    <col min="11" max="11" width="10.42578125" style="351" hidden="1" customWidth="1" outlineLevel="1"/>
    <col min="12" max="12" width="14.140625" style="351" hidden="1" customWidth="1" outlineLevel="1"/>
    <col min="13" max="13" width="15" style="351" hidden="1" customWidth="1" outlineLevel="1"/>
    <col min="14" max="14" width="13.7109375" style="351" hidden="1" customWidth="1" outlineLevel="1"/>
    <col min="15" max="15" width="22" style="351" hidden="1" customWidth="1" outlineLevel="1" collapsed="1"/>
    <col min="16" max="16" width="9.140625" style="1" collapsed="1"/>
    <col min="17" max="16384" width="9.140625" style="1"/>
  </cols>
  <sheetData>
    <row r="1" spans="2:15" s="350" customFormat="1" ht="20.25" x14ac:dyDescent="0.3">
      <c r="B1" s="349" t="s">
        <v>3350</v>
      </c>
      <c r="C1" s="349"/>
      <c r="D1" s="349"/>
      <c r="E1" s="349"/>
      <c r="F1" s="349"/>
      <c r="G1" s="349"/>
      <c r="H1" s="349"/>
      <c r="I1" s="349"/>
      <c r="J1" s="349"/>
      <c r="K1" s="348"/>
      <c r="L1" s="348"/>
      <c r="M1" s="348"/>
      <c r="N1" s="348"/>
      <c r="O1" s="348"/>
    </row>
    <row r="2" spans="2:15" s="348" customFormat="1" x14ac:dyDescent="0.25">
      <c r="B2" s="245" t="str">
        <f>"CÔNG TRÌNH : "&amp;'Bia du toan'!$G$12</f>
        <v>CÔNG TRÌNH : TRƯỜNG CAO ĐẲNG LÝ TỰ TRỌNG</v>
      </c>
      <c r="C2" s="352"/>
      <c r="D2" s="352"/>
      <c r="E2" s="352"/>
      <c r="F2" s="352"/>
      <c r="G2" s="352"/>
      <c r="H2" s="352"/>
      <c r="I2" s="352"/>
      <c r="J2" s="352"/>
    </row>
    <row r="3" spans="2:15" s="348" customFormat="1" x14ac:dyDescent="0.25">
      <c r="B3" s="245" t="str">
        <f>"HẠNG MỤC : "&amp; 'Bia du toan'!$G$13</f>
        <v>HẠNG MỤC : CẢI TẠO THƯ VIỆN GIAI ĐOẠN 2 - NĂM 2019</v>
      </c>
      <c r="C3" s="352"/>
      <c r="D3" s="352"/>
      <c r="E3" s="352"/>
      <c r="F3" s="352"/>
      <c r="G3" s="352"/>
      <c r="H3" s="352"/>
      <c r="I3" s="352"/>
      <c r="J3" s="352"/>
      <c r="K3" s="351"/>
    </row>
    <row r="4" spans="2:15" hidden="1" x14ac:dyDescent="0.25"/>
    <row r="5" spans="2:15" x14ac:dyDescent="0.25">
      <c r="G5" s="1524"/>
      <c r="H5" s="1186"/>
    </row>
    <row r="6" spans="2:15" s="350" customFormat="1" ht="31.5" x14ac:dyDescent="0.2">
      <c r="B6" s="382" t="s">
        <v>15</v>
      </c>
      <c r="C6" s="382" t="s">
        <v>335</v>
      </c>
      <c r="D6" s="1551" t="s">
        <v>666</v>
      </c>
      <c r="E6" s="389" t="s">
        <v>1118</v>
      </c>
      <c r="F6" s="367" t="s">
        <v>554</v>
      </c>
      <c r="G6" s="367" t="s">
        <v>1122</v>
      </c>
      <c r="H6" s="367" t="s">
        <v>1091</v>
      </c>
      <c r="I6" s="367" t="s">
        <v>1121</v>
      </c>
      <c r="J6" s="367" t="s">
        <v>667</v>
      </c>
      <c r="K6" s="354" t="s">
        <v>350</v>
      </c>
      <c r="L6" s="354" t="s">
        <v>142</v>
      </c>
      <c r="M6" s="354" t="s">
        <v>1120</v>
      </c>
      <c r="N6" s="354" t="s">
        <v>3702</v>
      </c>
      <c r="O6" s="354" t="s">
        <v>3112</v>
      </c>
    </row>
    <row r="7" spans="2:15" s="350" customFormat="1" outlineLevel="1" x14ac:dyDescent="0.25">
      <c r="B7" s="1544"/>
      <c r="C7" s="1544"/>
      <c r="D7" s="1545" t="s">
        <v>3705</v>
      </c>
      <c r="E7" s="1546"/>
      <c r="F7" s="1547"/>
      <c r="H7" s="1547"/>
      <c r="I7" s="1548">
        <v>553526947</v>
      </c>
      <c r="J7" s="1547"/>
      <c r="K7" s="664"/>
      <c r="L7" s="1549"/>
      <c r="M7" s="1549"/>
      <c r="N7" s="1549"/>
      <c r="O7" s="1550"/>
    </row>
    <row r="8" spans="2:15" ht="17.25" x14ac:dyDescent="0.25">
      <c r="B8" s="362">
        <v>1</v>
      </c>
      <c r="C8" s="362" t="s">
        <v>3704</v>
      </c>
      <c r="D8" s="1217" t="s">
        <v>1061</v>
      </c>
      <c r="E8" s="366"/>
      <c r="F8" s="381"/>
      <c r="G8" s="363"/>
      <c r="H8" s="363"/>
      <c r="I8" s="363"/>
      <c r="J8" s="362" t="s">
        <v>1062</v>
      </c>
      <c r="K8" s="665"/>
      <c r="L8" s="666"/>
      <c r="M8" s="667"/>
      <c r="N8" s="667"/>
      <c r="O8" s="398"/>
    </row>
    <row r="9" spans="2:15" ht="17.25" x14ac:dyDescent="0.25">
      <c r="B9" s="362">
        <v>2</v>
      </c>
      <c r="C9" s="362" t="s">
        <v>468</v>
      </c>
      <c r="D9" s="1217" t="s">
        <v>678</v>
      </c>
      <c r="E9" s="366"/>
      <c r="F9" s="381" t="s">
        <v>1116</v>
      </c>
      <c r="G9" s="363">
        <f>TH_CPXD!$E$8</f>
        <v>383074470.00081599</v>
      </c>
      <c r="H9" s="363">
        <f>G9*10%</f>
        <v>38307447.000081599</v>
      </c>
      <c r="I9" s="363">
        <f>H9+G9</f>
        <v>421381917.00089759</v>
      </c>
      <c r="J9" s="362" t="s">
        <v>1063</v>
      </c>
      <c r="K9" s="665"/>
      <c r="L9" s="666"/>
      <c r="M9" s="667"/>
      <c r="N9" s="667"/>
      <c r="O9" s="398"/>
    </row>
    <row r="10" spans="2:15" ht="17.25" x14ac:dyDescent="0.25">
      <c r="B10" s="362">
        <v>3</v>
      </c>
      <c r="C10" s="362" t="s">
        <v>478</v>
      </c>
      <c r="D10" s="1217" t="s">
        <v>1111</v>
      </c>
      <c r="E10" s="366"/>
      <c r="F10" s="381" t="s">
        <v>1117</v>
      </c>
      <c r="G10" s="363">
        <f>TH_CPTB!F14</f>
        <v>0</v>
      </c>
      <c r="H10" s="363">
        <f>TH_CPTB!G14</f>
        <v>0</v>
      </c>
      <c r="I10" s="363">
        <f>TH_CPTB!H14</f>
        <v>0</v>
      </c>
      <c r="J10" s="362" t="s">
        <v>1064</v>
      </c>
      <c r="K10" s="665"/>
      <c r="L10" s="666"/>
      <c r="M10" s="667"/>
      <c r="N10" s="667"/>
      <c r="O10" s="398"/>
    </row>
    <row r="11" spans="2:15" ht="17.25" x14ac:dyDescent="0.25">
      <c r="B11" s="362">
        <v>4</v>
      </c>
      <c r="C11" s="362" t="s">
        <v>517</v>
      </c>
      <c r="D11" s="1217" t="s">
        <v>143</v>
      </c>
      <c r="E11" s="366" t="str">
        <f xml:space="preserve"> "(GXD+GTB)*"&amp;K11&amp;"%"</f>
        <v>(GXD+GTB)*3.282%</v>
      </c>
      <c r="F11" s="381" t="str">
        <f xml:space="preserve"> IF(L11&lt;&gt;0,IF(G11&lt;= L11,"Mức tối thiểu",IF(G11&gt;=M11,"Mức tối đa",E11)),E11)</f>
        <v>(GXD+GTB)*3.282%</v>
      </c>
      <c r="G11" s="363">
        <f>(GXD+GTB)*K11%</f>
        <v>12572504.105426781</v>
      </c>
      <c r="H11" s="363">
        <f>G11*10%</f>
        <v>1257250.4105426781</v>
      </c>
      <c r="I11" s="363">
        <f>H11+G11</f>
        <v>13829754.515969459</v>
      </c>
      <c r="J11" s="362" t="s">
        <v>1065</v>
      </c>
      <c r="K11" s="1552">
        <f>ROUND(NOISUY(Config!$C$118,i_LoaiCT,(GXD+GTB)/10^9),Config!$C$173)</f>
        <v>3.282</v>
      </c>
      <c r="L11" s="1190"/>
      <c r="M11" s="667"/>
      <c r="N11" s="667"/>
      <c r="O11" s="398" t="str">
        <f>CHOOSE(i_VB,Config!$B$100,Config!$B$101,Config!$B$102,Config!$B$103)</f>
        <v>QĐ 79/QĐ-BXD</v>
      </c>
    </row>
    <row r="12" spans="2:15" ht="17.25" x14ac:dyDescent="0.25">
      <c r="B12" s="362">
        <v>5</v>
      </c>
      <c r="C12" s="362" t="s">
        <v>518</v>
      </c>
      <c r="D12" s="1217" t="s">
        <v>1112</v>
      </c>
      <c r="E12" s="366"/>
      <c r="F12" s="362" t="s">
        <v>4047</v>
      </c>
      <c r="G12" s="364">
        <f xml:space="preserve"> SUM(G13:G$40)-(G$15+G$16)</f>
        <v>42283836.889579847</v>
      </c>
      <c r="H12" s="364">
        <f xml:space="preserve"> SUM(H13:H$40)-(H$15+H$16)</f>
        <v>4228383.6889579846</v>
      </c>
      <c r="I12" s="364">
        <f xml:space="preserve"> SUM(I13:I$40)-(I$15+I$16)</f>
        <v>46512220.578537829</v>
      </c>
      <c r="J12" s="362" t="s">
        <v>1066</v>
      </c>
      <c r="K12" s="665"/>
      <c r="L12" s="666"/>
      <c r="M12" s="667"/>
      <c r="N12" s="667"/>
      <c r="O12" s="398"/>
    </row>
    <row r="13" spans="2:15" s="1202" customFormat="1" outlineLevel="1" x14ac:dyDescent="0.25">
      <c r="B13" s="1195">
        <v>1</v>
      </c>
      <c r="C13" s="1195" t="s">
        <v>519</v>
      </c>
      <c r="D13" s="1554" t="str">
        <f>IF(i_BTK=1,"Chi phí lập báo cáo kinh tế kỹ thuật","")</f>
        <v>Chi phí lập báo cáo kinh tế kỹ thuật</v>
      </c>
      <c r="E13" s="1555" t="str">
        <f>IF(i_BTK=1,"(GXD+GTB)*"&amp;K13&amp;"%","")</f>
        <v>(GXD+GTB)*6.5%</v>
      </c>
      <c r="F13" s="1195" t="str">
        <f t="shared" ref="F13:F33" si="0" xml:space="preserve"> IF(L13&lt;&gt;0,IF(G13&lt;= L13,"Mức tối thiểu",IF(M13&gt;0,IF(G13&gt;=M13,"Mức tối đa",E13),E13)),E13)</f>
        <v>(GXD+GTB)*6.5%</v>
      </c>
      <c r="G13" s="1556">
        <f xml:space="preserve"> IF(i_BTK=1,IF((GXD+GTB)*K13%&lt;L13,L13,(GXD+GTB)*K13%),0)</f>
        <v>24899840.550053041</v>
      </c>
      <c r="H13" s="1556">
        <f>G13*10%</f>
        <v>2489984.055005304</v>
      </c>
      <c r="I13" s="1556">
        <f>H13+G13</f>
        <v>27389824.605058346</v>
      </c>
      <c r="J13" s="1195" t="s">
        <v>519</v>
      </c>
      <c r="K13" s="1557">
        <f>ROUND(NOISUY(Config!$C$120,i_LoaiCT,(GXD+GTB)/10^9),Config!$C$173)</f>
        <v>6.5</v>
      </c>
      <c r="L13" s="1558">
        <f>CHOOSE(i_VB,5*10^6,10^7,10^7,10^7)</f>
        <v>5000000</v>
      </c>
      <c r="M13" s="1213"/>
      <c r="N13" s="1213"/>
      <c r="O13" s="1213" t="str">
        <f>CHOOSE(i_VB,Config!$B$100,Config!$B$101,Config!$B$102,Config!$B$103)</f>
        <v>QĐ 79/QĐ-BXD</v>
      </c>
    </row>
    <row r="14" spans="2:15" s="1202" customFormat="1" outlineLevel="1" x14ac:dyDescent="0.25">
      <c r="B14" s="1191">
        <v>2</v>
      </c>
      <c r="C14" s="1191" t="s">
        <v>522</v>
      </c>
      <c r="D14" s="1218" t="str">
        <f>IF(i_VB=1,IF(i_BTK=1,"Chi phí thẩm tra báo cáo kinh tế kỹ thuật","Chi phí thẩm tra thiết kế + dự toán:"),"Chi phí thẩm tra thiết kế + dự toán:")</f>
        <v>Chi phí thẩm tra báo cáo kinh tế kỹ thuật</v>
      </c>
      <c r="E14" s="1193" t="str">
        <f>IF(i_BTK=1,""&amp;C15&amp;"+"&amp;C16&amp;"","")</f>
        <v>TV2.1+TV2.2</v>
      </c>
      <c r="F14" s="1191" t="str">
        <f t="shared" si="0"/>
        <v>TV2.1+TV2.2</v>
      </c>
      <c r="G14" s="1194">
        <f>SUM(G15:G16)</f>
        <v>4800000</v>
      </c>
      <c r="H14" s="1194">
        <f>SUM(H15:H16)</f>
        <v>480000</v>
      </c>
      <c r="I14" s="1194">
        <f>SUM(I15:I16)</f>
        <v>5280000</v>
      </c>
      <c r="J14" s="1191" t="s">
        <v>522</v>
      </c>
      <c r="K14" s="1196"/>
      <c r="L14" s="1200"/>
      <c r="M14" s="1201"/>
      <c r="N14" s="1201"/>
      <c r="O14" s="1213" t="str">
        <f>CHOOSE(i_VB,Config!$B$100,Config!$B$101,Config!$B$102,Config!$B$103)</f>
        <v>QĐ 79/QĐ-BXD</v>
      </c>
    </row>
    <row r="15" spans="2:15" s="1202" customFormat="1" outlineLevel="1" x14ac:dyDescent="0.25">
      <c r="B15" s="1216" t="s">
        <v>3104</v>
      </c>
      <c r="C15" s="1216" t="s">
        <v>3708</v>
      </c>
      <c r="D15" s="1219" t="str">
        <f>IF(i_BTK=1,"- Chi phí thẩm tra thiết kế","")</f>
        <v>- Chi phí thẩm tra thiết kế</v>
      </c>
      <c r="E15" s="1193" t="str">
        <f>IF(i_VB=1,IF(i_BTK=1,"GXD*"&amp;K15&amp;"%*1,2",""),IF(i_BTK=1,"GXD*"&amp;K15&amp;"%",""))</f>
        <v>GXD*0.258%*1,2</v>
      </c>
      <c r="F15" s="1191" t="str">
        <f xml:space="preserve"> IF(L15&lt;&gt;0,IF(G15&lt;= IF(i_VB=1,1.2,1)*L15,"Mức tối thiểu",IF(M15&gt;0,IF(G15&gt;=M15,"Mức tối đa",E15),E15)),E15)</f>
        <v>Mức tối thiểu</v>
      </c>
      <c r="G15" s="1194">
        <f xml:space="preserve"> IF(i_BTK=1,IF(GXD*K15%&lt;L15,L15,GXD*K15%),0)*IF(i_VB=1,1.2,1)</f>
        <v>2400000</v>
      </c>
      <c r="H15" s="1194">
        <f t="shared" ref="H15:H40" si="1">G15*10%</f>
        <v>240000</v>
      </c>
      <c r="I15" s="1194">
        <f t="shared" ref="I15:I27" si="2">H15+G15</f>
        <v>2640000</v>
      </c>
      <c r="J15" s="1191" t="s">
        <v>523</v>
      </c>
      <c r="K15" s="1196">
        <f>ROUND(NOISUY(Config!$C$152,i_LoaiCT,(GXD)/10^9),Config!$C$173)</f>
        <v>0.25800000000000001</v>
      </c>
      <c r="L15" s="1200">
        <f>2000000</f>
        <v>2000000</v>
      </c>
      <c r="M15" s="1201"/>
      <c r="N15" s="1201">
        <v>1</v>
      </c>
      <c r="O15" s="1213" t="str">
        <f>CHOOSE(i_VB,Config!$B$100,Config!$B$101,Config!$B$102,Config!$B$103)</f>
        <v>QĐ 79/QĐ-BXD</v>
      </c>
    </row>
    <row r="16" spans="2:15" s="1202" customFormat="1" outlineLevel="1" x14ac:dyDescent="0.25">
      <c r="B16" s="1216" t="s">
        <v>3841</v>
      </c>
      <c r="C16" s="1216" t="s">
        <v>3842</v>
      </c>
      <c r="D16" s="1219" t="str">
        <f>IF(i_BTK=1,"- Chi phí thẩm tra dự toán","")</f>
        <v>- Chi phí thẩm tra dự toán</v>
      </c>
      <c r="E16" s="1193" t="str">
        <f>IF(i_VB=1,IF(i_BTK=1,IF(GTB&gt;=(GXD+GTB)*25%,"GXD*"&amp;K16&amp;"%*1,2*1,2","GXD*"&amp;K16&amp;"%*1,2"),""),"GXD*"&amp;K16&amp;"%")</f>
        <v>GXD*0.25%*1,2</v>
      </c>
      <c r="F16" s="1191" t="str">
        <f xml:space="preserve"> IF(L16&lt;&gt;0,IF(G16&lt;= IF(i_VB=1,1.2,1)*L16,"Mức tối thiểu",IF(M16&gt;0,IF(G16&gt;=M16,"Mức tối đa",E16),E16)),E16)</f>
        <v>Mức tối thiểu</v>
      </c>
      <c r="G16" s="1194">
        <f xml:space="preserve"> IF(i_VB=1,IF(i_BTK=1,IF(GTB&gt;=(GXD+GTB)*25%,IF(GXD*K16%&lt;L16,L16,GXD*K16%)*1.2,IF(GXD*K16%&lt;L16,L16,GXD*K16%)),0)*1.2,IF(i_BTK=1,IF(GXD*K16%&lt;L16,L16,GXD*K16%),))</f>
        <v>2400000</v>
      </c>
      <c r="H16" s="1194">
        <f t="shared" si="1"/>
        <v>240000</v>
      </c>
      <c r="I16" s="1194">
        <f t="shared" si="2"/>
        <v>2640000</v>
      </c>
      <c r="J16" s="1191" t="s">
        <v>523</v>
      </c>
      <c r="K16" s="1196">
        <f>ROUND(NOISUY(Config!$C$153,i_LoaiCT,(GXD)/10^9),Config!$C$173)</f>
        <v>0.25</v>
      </c>
      <c r="L16" s="1200">
        <f>2000000</f>
        <v>2000000</v>
      </c>
      <c r="M16" s="1201"/>
      <c r="N16" s="1201">
        <v>1</v>
      </c>
      <c r="O16" s="1213" t="str">
        <f>CHOOSE(i_VB,Config!$B$100,Config!$B$101,Config!$B$102,Config!$B$103)</f>
        <v>QĐ 79/QĐ-BXD</v>
      </c>
    </row>
    <row r="17" spans="2:15" s="1202" customFormat="1" hidden="1" outlineLevel="1" x14ac:dyDescent="0.25">
      <c r="B17" s="1191">
        <v>1</v>
      </c>
      <c r="C17" s="1191" t="s">
        <v>526</v>
      </c>
      <c r="D17" s="1218" t="str">
        <f>IF(i_BTK=3,IF(i_VB=1,"Chi phí lập báo cáo tiền khả thi","Chi phí thiết kế kỹ thuật"),"")</f>
        <v/>
      </c>
      <c r="E17" s="1193" t="str">
        <f xml:space="preserve"> IF(i_BTK=3,"(GXD+GTB)*"&amp;K17&amp;"%","")</f>
        <v/>
      </c>
      <c r="F17" s="1191" t="str">
        <f t="shared" si="0"/>
        <v/>
      </c>
      <c r="G17" s="1194">
        <f>IF(i_BTK=3,(GXD+GTB)*K17%,0)</f>
        <v>0</v>
      </c>
      <c r="H17" s="1194">
        <f t="shared" si="1"/>
        <v>0</v>
      </c>
      <c r="I17" s="1194">
        <f t="shared" si="2"/>
        <v>0</v>
      </c>
      <c r="J17" s="1191" t="s">
        <v>519</v>
      </c>
      <c r="K17" s="1196">
        <f>ROUND(NOISUY(Config!$C$125,i_LoaiCT,(GXD+GTB)/10^9),Config!$C$173)</f>
        <v>0.66800000000000004</v>
      </c>
      <c r="L17" s="1201"/>
      <c r="M17" s="1201"/>
      <c r="N17" s="1201"/>
      <c r="O17" s="1213" t="str">
        <f>CHOOSE(i_VB,Config!$B$100,Config!$B$101,Config!$B$102,Config!$B$103)</f>
        <v>QĐ 79/QĐ-BXD</v>
      </c>
    </row>
    <row r="18" spans="2:15" s="1202" customFormat="1" hidden="1" outlineLevel="1" x14ac:dyDescent="0.25">
      <c r="B18" s="1191">
        <v>2</v>
      </c>
      <c r="C18" s="1191" t="s">
        <v>1127</v>
      </c>
      <c r="D18" s="1218" t="str">
        <f>IF(i_BTK=3,IF(i_VB=1,"Chi phí thẩm tra báo cáo nghiên cứu tiền khả thi","Chi phí thẩm tra thiết kế kỹ thuật"),"")</f>
        <v/>
      </c>
      <c r="E18" s="1193" t="str">
        <f xml:space="preserve"> IF(OR(i_BTK=2,i_BTK=3)=TRUE,"(GXD+GTB)*"&amp;K18&amp;"%","")</f>
        <v/>
      </c>
      <c r="F18" s="1191" t="str">
        <f t="shared" si="0"/>
        <v/>
      </c>
      <c r="G18" s="1194">
        <f>IF(i_BTK=3,(GXD+GTB)*K18%,0)</f>
        <v>0</v>
      </c>
      <c r="H18" s="1194">
        <f t="shared" si="1"/>
        <v>0</v>
      </c>
      <c r="I18" s="1194">
        <f t="shared" si="2"/>
        <v>0</v>
      </c>
      <c r="J18" s="1191" t="s">
        <v>522</v>
      </c>
      <c r="K18" s="1196">
        <f>ROUND(NOISUY(Config!$C$150,i_LoaiCT,(GXD+GTB)/10^9),Config!$C$173)</f>
        <v>7.0999999999999994E-2</v>
      </c>
      <c r="L18" s="1200"/>
      <c r="M18" s="1201"/>
      <c r="N18" s="1201"/>
      <c r="O18" s="1213" t="str">
        <f>CHOOSE(i_VB,Config!$B$100,Config!$B$101,Config!$B$102,Config!$B$103)</f>
        <v>QĐ 79/QĐ-BXD</v>
      </c>
    </row>
    <row r="19" spans="2:15" s="1202" customFormat="1" hidden="1" outlineLevel="1" x14ac:dyDescent="0.25">
      <c r="B19" s="1191">
        <v>1</v>
      </c>
      <c r="C19" s="1191" t="s">
        <v>527</v>
      </c>
      <c r="D19" s="1218" t="str">
        <f>IF(OR(i_BTK=2,i_BTK=3)=TRUE,IF(i_VB=1,"Chi phí lập báo cáo khả thi","Chi phí lập dự án đầu tư"),"")</f>
        <v/>
      </c>
      <c r="E19" s="1193" t="str">
        <f xml:space="preserve"> IF(OR(i_BTK=2,i_BTK=3)=TRUE,"(GXD+GTB)*"&amp;K19&amp;"%","")</f>
        <v/>
      </c>
      <c r="F19" s="1191" t="str">
        <f t="shared" si="0"/>
        <v/>
      </c>
      <c r="G19" s="1194">
        <f>IF(OR(i_BTK=2,i_BTK=3)=TRUE,(GXD+GTB)*K19%,0)</f>
        <v>0</v>
      </c>
      <c r="H19" s="1194">
        <f t="shared" si="1"/>
        <v>0</v>
      </c>
      <c r="I19" s="1194">
        <f t="shared" si="2"/>
        <v>0</v>
      </c>
      <c r="J19" s="1191" t="s">
        <v>519</v>
      </c>
      <c r="K19" s="1196">
        <f>ROUND(NOISUY(Config!$C$122,i_LoaiCT,(GXD+GTB)/10^9),Config!$C$173)</f>
        <v>1.1140000000000001</v>
      </c>
      <c r="L19" s="1201"/>
      <c r="M19" s="1201"/>
      <c r="N19" s="1201"/>
      <c r="O19" s="1213" t="str">
        <f>CHOOSE(i_VB,Config!$B$100,Config!$B$101,Config!$B$102,Config!$B$103)</f>
        <v>QĐ 79/QĐ-BXD</v>
      </c>
    </row>
    <row r="20" spans="2:15" s="1202" customFormat="1" hidden="1" outlineLevel="1" x14ac:dyDescent="0.25">
      <c r="B20" s="1191">
        <v>2</v>
      </c>
      <c r="C20" s="1191" t="s">
        <v>1127</v>
      </c>
      <c r="D20" s="1218" t="str">
        <f>IF(OR(i_BTK=2,i_BTK=3)=TRUE,IF(i_VB=1,"Chi phí thẩm tra báo cáo nghiên cứu khả thi","Chi phí thẩm tra tính hiệu quả và khả thi của dự án đầu tư"),"")</f>
        <v/>
      </c>
      <c r="E20" s="1193" t="str">
        <f xml:space="preserve"> IF(OR(i_BTK=2,i_BTK=3)=TRUE,"(GXD+GTB)*"&amp;K20&amp;"%","")</f>
        <v/>
      </c>
      <c r="F20" s="1191" t="str">
        <f t="shared" si="0"/>
        <v/>
      </c>
      <c r="G20" s="1194">
        <f>IF(OR(i_BTK=2,i_BTK=3)=TRUE,(GXD+GTB)*K20%,0)</f>
        <v>0</v>
      </c>
      <c r="H20" s="1194">
        <f t="shared" si="1"/>
        <v>0</v>
      </c>
      <c r="I20" s="1194">
        <f t="shared" si="2"/>
        <v>0</v>
      </c>
      <c r="J20" s="1191" t="s">
        <v>522</v>
      </c>
      <c r="K20" s="1196">
        <f>ROUND(NOISUY(Config!$C$151,i_LoaiCT,(GXD+GTB)/10^9),Config!$C$173)</f>
        <v>0.20399999999999999</v>
      </c>
      <c r="L20" s="1200"/>
      <c r="M20" s="1201"/>
      <c r="N20" s="1201"/>
      <c r="O20" s="1213" t="str">
        <f>CHOOSE(i_VB,Config!$B$100,Config!$B$101,Config!$B$102,Config!$B$103)</f>
        <v>QĐ 79/QĐ-BXD</v>
      </c>
    </row>
    <row r="21" spans="2:15" s="1202" customFormat="1" hidden="1" outlineLevel="1" x14ac:dyDescent="0.25">
      <c r="B21" s="1191">
        <v>3</v>
      </c>
      <c r="C21" s="1191" t="s">
        <v>528</v>
      </c>
      <c r="D21" s="1219" t="str">
        <f>IF(i_BTK=2,"Chi phí thiết kế bản vẽ thi công","")</f>
        <v/>
      </c>
      <c r="E21" s="1193" t="str">
        <f>IF(i_BTK=2,"GXD*"&amp;K21&amp;"%","")</f>
        <v/>
      </c>
      <c r="F21" s="1191" t="str">
        <f t="shared" si="0"/>
        <v/>
      </c>
      <c r="G21" s="1194">
        <f xml:space="preserve"> IF(i_BTK=2,GXD*K21%,0)</f>
        <v>0</v>
      </c>
      <c r="H21" s="1194">
        <f t="shared" si="1"/>
        <v>0</v>
      </c>
      <c r="I21" s="1194">
        <f t="shared" si="2"/>
        <v>0</v>
      </c>
      <c r="J21" s="1191" t="s">
        <v>523</v>
      </c>
      <c r="K21" s="1196">
        <f>ROUND(NOISUY(Config!$C$123,(GXD)/10^9,i_CapCT-1),Config!$C$173)</f>
        <v>2.92</v>
      </c>
      <c r="L21" s="1200"/>
      <c r="M21" s="1201"/>
      <c r="N21" s="1201"/>
      <c r="O21" s="1213" t="str">
        <f>CHOOSE(i_VB,Config!$B$100,Config!$B$101,Config!$B$102,Config!$B$103)</f>
        <v>QĐ 79/QĐ-BXD</v>
      </c>
    </row>
    <row r="22" spans="2:15" s="1202" customFormat="1" hidden="1" outlineLevel="1" x14ac:dyDescent="0.25">
      <c r="B22" s="1191">
        <v>5</v>
      </c>
      <c r="C22" s="1191" t="s">
        <v>528</v>
      </c>
      <c r="D22" s="1219" t="str">
        <f>IF(i_VB=1,"",IF(i_BTK=3,"Chi phí thiết kế bản vẽ thi công",""))</f>
        <v/>
      </c>
      <c r="E22" s="1193" t="str">
        <f>IF(i_BTK=3,"GXD*"&amp;K22&amp;"%","")</f>
        <v/>
      </c>
      <c r="F22" s="1191" t="str">
        <f t="shared" si="0"/>
        <v/>
      </c>
      <c r="G22" s="1194">
        <f>IF(i_VB=1,0,IF(i_BTK=3,GXD*K22%,0))</f>
        <v>0</v>
      </c>
      <c r="H22" s="1194">
        <f t="shared" si="1"/>
        <v>0</v>
      </c>
      <c r="I22" s="1194">
        <f t="shared" si="2"/>
        <v>0</v>
      </c>
      <c r="J22" s="1191" t="s">
        <v>525</v>
      </c>
      <c r="K22" s="1196">
        <f>ROUND(NOISUY(Config!$C$129,(GXD)/10^9,i_CapCT-1),Config!$C$173)</f>
        <v>1.139</v>
      </c>
      <c r="L22" s="1200"/>
      <c r="M22" s="1201"/>
      <c r="N22" s="1201"/>
      <c r="O22" s="1213" t="str">
        <f>CHOOSE(i_VB,Config!$B$100,Config!$B$101,Config!$B$102,Config!$B$103)</f>
        <v>QĐ 79/QĐ-BXD</v>
      </c>
    </row>
    <row r="23" spans="2:15" s="1202" customFormat="1" hidden="1" outlineLevel="1" x14ac:dyDescent="0.25">
      <c r="B23" s="1216">
        <v>5</v>
      </c>
      <c r="C23" s="1191" t="s">
        <v>529</v>
      </c>
      <c r="D23" s="1219" t="str">
        <f>IF(i_BTK=3,"Chi phí thiết kế xây dựng:","")</f>
        <v/>
      </c>
      <c r="E23" s="1193" t="str">
        <f>IF(i_BTK=3, C24&amp;"+"&amp;C25,"")</f>
        <v/>
      </c>
      <c r="F23" s="1191" t="str">
        <f t="shared" si="0"/>
        <v/>
      </c>
      <c r="G23" s="1194">
        <f>G24+G25</f>
        <v>0</v>
      </c>
      <c r="H23" s="1194">
        <f t="shared" si="1"/>
        <v>0</v>
      </c>
      <c r="I23" s="1194">
        <f t="shared" si="2"/>
        <v>0</v>
      </c>
      <c r="J23" s="1191" t="s">
        <v>525</v>
      </c>
      <c r="K23" s="1196"/>
      <c r="L23" s="1200"/>
      <c r="M23" s="1201"/>
      <c r="N23" s="1201"/>
      <c r="O23" s="1213" t="str">
        <f>CHOOSE(i_VB,Config!$B$100,Config!$B$101,Config!$B$102,Config!$B$103)</f>
        <v>QĐ 79/QĐ-BXD</v>
      </c>
    </row>
    <row r="24" spans="2:15" s="1202" customFormat="1" hidden="1" outlineLevel="1" x14ac:dyDescent="0.25">
      <c r="B24" s="1216" t="s">
        <v>1198</v>
      </c>
      <c r="C24" s="1191" t="s">
        <v>3793</v>
      </c>
      <c r="D24" s="1219" t="str">
        <f>IF(i_BTK=3,"+ Chi phí thiết kế kỹ thuật","")</f>
        <v/>
      </c>
      <c r="E24" s="1193" t="str">
        <f>IF(i_BTK=3,"GXD*"&amp;K24&amp;"%","")</f>
        <v/>
      </c>
      <c r="F24" s="1191" t="str">
        <f xml:space="preserve"> IF(L24&lt;&gt;0,IF(G24&lt;= L24,"Mức tối thiểu",IF(M24&gt;0,IF(G24&gt;=M24,"Mức tối đa",E24),E24)),E24)</f>
        <v/>
      </c>
      <c r="G24" s="1194">
        <f xml:space="preserve"> IF(i_VB=1,IF(i_BTK=3,GXD*K24%,0),)</f>
        <v>0</v>
      </c>
      <c r="H24" s="1194">
        <f t="shared" si="1"/>
        <v>0</v>
      </c>
      <c r="I24" s="1194">
        <f>H24+G24</f>
        <v>0</v>
      </c>
      <c r="J24" s="1191" t="s">
        <v>526</v>
      </c>
      <c r="K24" s="1196">
        <f>ROUND(NOISUY(Config!$C$128,GXD/10^9,i_CapCT-1),Config!$C$173)</f>
        <v>2.0699999999999998</v>
      </c>
      <c r="L24" s="1200"/>
      <c r="M24" s="1201"/>
      <c r="N24" s="1201">
        <v>1</v>
      </c>
      <c r="O24" s="1213" t="str">
        <f>CHOOSE(i_VB,Config!$B$100,Config!$B$101,Config!$B$102,Config!$B$103)</f>
        <v>QĐ 79/QĐ-BXD</v>
      </c>
    </row>
    <row r="25" spans="2:15" s="1202" customFormat="1" hidden="1" outlineLevel="1" x14ac:dyDescent="0.25">
      <c r="B25" s="1191" t="s">
        <v>1200</v>
      </c>
      <c r="C25" s="1191" t="s">
        <v>3794</v>
      </c>
      <c r="D25" s="1219" t="str">
        <f>IF(i_BTK=3,"+Chi phí thiết kế bản vẽ thi công","")</f>
        <v/>
      </c>
      <c r="E25" s="1193" t="str">
        <f>IF(i_BTK=3,"GXD*"&amp;K25&amp;"%","")</f>
        <v/>
      </c>
      <c r="F25" s="1191" t="str">
        <f xml:space="preserve"> IF(L25&lt;&gt;0,IF(G25&lt;= L25,"Mức tối thiểu",IF(M25&gt;0,IF(G25&gt;=M25,"Mức tối đa",E25),E25)),E25)</f>
        <v/>
      </c>
      <c r="G25" s="1194">
        <f>IF(i_VB=1,IF(i_BTK=3,GXD*K25%,0),)</f>
        <v>0</v>
      </c>
      <c r="H25" s="1194">
        <f t="shared" si="1"/>
        <v>0</v>
      </c>
      <c r="I25" s="1194">
        <f>H25+G25</f>
        <v>0</v>
      </c>
      <c r="J25" s="1191" t="s">
        <v>527</v>
      </c>
      <c r="K25" s="1196">
        <f>ROUND(NOISUY(Config!$C$129,GXD/10^9,i_CapCT-1),Config!$C$173)</f>
        <v>1.139</v>
      </c>
      <c r="L25" s="1200"/>
      <c r="M25" s="1201"/>
      <c r="N25" s="1201">
        <v>1</v>
      </c>
      <c r="O25" s="1213" t="str">
        <f>CHOOSE(i_VB,Config!$B$100,Config!$B$101,Config!$B$102,Config!$B$103)</f>
        <v>QĐ 79/QĐ-BXD</v>
      </c>
    </row>
    <row r="26" spans="2:15" s="1202" customFormat="1" hidden="1" outlineLevel="1" x14ac:dyDescent="0.25">
      <c r="B26" s="1191">
        <v>4</v>
      </c>
      <c r="C26" s="1191" t="s">
        <v>1129</v>
      </c>
      <c r="D26" s="1219" t="str">
        <f>IF(OR(i_BTK=3,i_BTK=2)=TRUE,"Chi phí thẩm tra thiết kế","")</f>
        <v/>
      </c>
      <c r="E26" s="1193" t="str">
        <f>IF(OR(i_BTK=3,i_BTK=2)=TRUE,"GXD*"&amp;K26&amp;"%","")</f>
        <v/>
      </c>
      <c r="F26" s="1191" t="str">
        <f t="shared" si="0"/>
        <v/>
      </c>
      <c r="G26" s="1194">
        <f xml:space="preserve"> IF(OR(i_BTK=3,i_BTK=2)=TRUE,GXD*K26%,)</f>
        <v>0</v>
      </c>
      <c r="H26" s="1194">
        <f t="shared" si="1"/>
        <v>0</v>
      </c>
      <c r="I26" s="1194">
        <f t="shared" si="2"/>
        <v>0</v>
      </c>
      <c r="J26" s="1191" t="s">
        <v>524</v>
      </c>
      <c r="K26" s="1196">
        <f>ROUND(NOISUY(Config!$C$152,i_LoaiCT,(GXD)/10^9),Config!$C$173)</f>
        <v>0.25800000000000001</v>
      </c>
      <c r="L26" s="1200"/>
      <c r="M26" s="1201"/>
      <c r="N26" s="1201"/>
      <c r="O26" s="1213" t="str">
        <f>CHOOSE(i_VB,Config!$B$100,Config!$B$101,Config!$B$102,Config!$B$103)</f>
        <v>QĐ 79/QĐ-BXD</v>
      </c>
    </row>
    <row r="27" spans="2:15" s="1202" customFormat="1" hidden="1" outlineLevel="1" x14ac:dyDescent="0.25">
      <c r="B27" s="1191">
        <v>5</v>
      </c>
      <c r="C27" s="1191" t="s">
        <v>1130</v>
      </c>
      <c r="D27" s="1219" t="str">
        <f>IF(OR(i_BTK=3,i_BTK=2)=TRUE,"Chi phí thẩm tra dự toán","")</f>
        <v/>
      </c>
      <c r="E27" s="1193" t="str">
        <f>IF(OR(i_BTK=3,i_BTK=2)=TRUE,IF(GTB&gt;=(GTB+GXD)*25%,"GXD*"&amp;K27&amp;"%*1,2","GXD*"&amp;K27&amp;"%"),"")</f>
        <v/>
      </c>
      <c r="F27" s="1191" t="str">
        <f t="shared" si="0"/>
        <v/>
      </c>
      <c r="G27" s="1194">
        <f xml:space="preserve"> IF(OR(i_BTK=3,i_BTK=2)=TRUE,IF(GTB&gt;=(GTB+GXD)*25%,GXD*K27%*1.2,GXD*K27%),0)</f>
        <v>0</v>
      </c>
      <c r="H27" s="1194">
        <f t="shared" si="1"/>
        <v>0</v>
      </c>
      <c r="I27" s="1194">
        <f t="shared" si="2"/>
        <v>0</v>
      </c>
      <c r="J27" s="1191" t="s">
        <v>525</v>
      </c>
      <c r="K27" s="1196">
        <f>ROUND(NOISUY(Config!$C$153,i_LoaiCT,(GXD)/10^9),Config!$C$173)</f>
        <v>0.25</v>
      </c>
      <c r="L27" s="1200"/>
      <c r="M27" s="1201"/>
      <c r="N27" s="1201"/>
      <c r="O27" s="1213" t="str">
        <f>CHOOSE(i_VB,Config!$B$100,Config!$B$101,Config!$B$102,Config!$B$103)</f>
        <v>QĐ 79/QĐ-BXD</v>
      </c>
    </row>
    <row r="28" spans="2:15" s="1202" customFormat="1" ht="31.5" hidden="1" outlineLevel="1" x14ac:dyDescent="0.25">
      <c r="B28" s="1191">
        <v>6</v>
      </c>
      <c r="C28" s="1191" t="s">
        <v>1131</v>
      </c>
      <c r="D28" s="1218" t="s">
        <v>492</v>
      </c>
      <c r="E28" s="1193" t="str">
        <f>C29&amp;"+"&amp;C30</f>
        <v>TV6.1+TV6.2</v>
      </c>
      <c r="F28" s="1191" t="str">
        <f t="shared" si="0"/>
        <v>TV6.1+TV6.2</v>
      </c>
      <c r="G28" s="1194">
        <f>SUM(G29:G30)</f>
        <v>0</v>
      </c>
      <c r="H28" s="1194">
        <f>SUM(H29:H30)</f>
        <v>0</v>
      </c>
      <c r="I28" s="1194">
        <f>SUM(I29:I30)</f>
        <v>0</v>
      </c>
      <c r="J28" s="1191" t="s">
        <v>526</v>
      </c>
      <c r="K28" s="1196">
        <f>ROUND(NOISUY(Config!$C$154,i_LoaiCT,(GXD)/10^9),Config!$C$173)</f>
        <v>0</v>
      </c>
      <c r="L28" s="1200"/>
      <c r="M28" s="1201"/>
      <c r="N28" s="1201"/>
      <c r="O28" s="1213" t="str">
        <f>CHOOSE(i_VB,Config!$B$100,Config!$B$101,Config!$B$102,Config!$B$103)</f>
        <v>QĐ 79/QĐ-BXD</v>
      </c>
    </row>
    <row r="29" spans="2:15" s="1202" customFormat="1" hidden="1" outlineLevel="2" x14ac:dyDescent="0.25">
      <c r="B29" s="1216" t="s">
        <v>3624</v>
      </c>
      <c r="C29" s="1216" t="s">
        <v>3843</v>
      </c>
      <c r="D29" s="1219" t="s">
        <v>3695</v>
      </c>
      <c r="E29" s="1193" t="str">
        <f xml:space="preserve"> "GXD*"&amp;K29&amp;"%"</f>
        <v>GXD*0%</v>
      </c>
      <c r="F29" s="1191" t="str">
        <f t="shared" si="0"/>
        <v>GXD*0%</v>
      </c>
      <c r="G29" s="1194">
        <f>IF(GXD*K29%&lt;= L29,L29,GXD*K29%)</f>
        <v>0</v>
      </c>
      <c r="H29" s="1194">
        <f t="shared" si="1"/>
        <v>0</v>
      </c>
      <c r="I29" s="1194">
        <f>H29+G29</f>
        <v>0</v>
      </c>
      <c r="J29" s="1191" t="s">
        <v>524</v>
      </c>
      <c r="K29" s="1196">
        <f>IF(GXD&lt;10^9,0,ROUND(NOISUY(Config!$C$155,i_LoaiCT,(GXD)/10^9),Config!$C$173))</f>
        <v>0</v>
      </c>
      <c r="L29" s="1200"/>
      <c r="M29" s="1201"/>
      <c r="N29" s="1559">
        <v>1</v>
      </c>
      <c r="O29" s="1213" t="str">
        <f>CHOOSE(i_VB,Config!$B$100,Config!$B$101,Config!$B$102,Config!$B$103)</f>
        <v>QĐ 79/QĐ-BXD</v>
      </c>
    </row>
    <row r="30" spans="2:15" s="1202" customFormat="1" hidden="1" outlineLevel="2" x14ac:dyDescent="0.25">
      <c r="B30" s="1216" t="s">
        <v>3625</v>
      </c>
      <c r="C30" s="1216" t="s">
        <v>3844</v>
      </c>
      <c r="D30" s="1219" t="s">
        <v>3696</v>
      </c>
      <c r="E30" s="1193" t="str">
        <f xml:space="preserve"> "GXD*"&amp;K30&amp;"%"</f>
        <v>GXD*0%</v>
      </c>
      <c r="F30" s="1191" t="str">
        <f t="shared" si="0"/>
        <v>GXD*0%</v>
      </c>
      <c r="G30" s="1194">
        <f>IF(GXD*K30%&lt;= L30,L30,GXD*K30%)</f>
        <v>0</v>
      </c>
      <c r="H30" s="1194">
        <f t="shared" si="1"/>
        <v>0</v>
      </c>
      <c r="I30" s="1194">
        <f>H30+G30</f>
        <v>0</v>
      </c>
      <c r="J30" s="1191" t="s">
        <v>524</v>
      </c>
      <c r="K30" s="1196">
        <f>IF(GXD&lt;10^9,0,ROUND(NOISUY(Config!$C$156,i_LoaiCT,(GXD)/10^9),Config!$C$173))</f>
        <v>0</v>
      </c>
      <c r="L30" s="1200"/>
      <c r="M30" s="1201"/>
      <c r="N30" s="1559">
        <v>1</v>
      </c>
      <c r="O30" s="1213" t="str">
        <f>CHOOSE(i_VB,Config!$B$100,Config!$B$101,Config!$B$102,Config!$B$103)</f>
        <v>QĐ 79/QĐ-BXD</v>
      </c>
    </row>
    <row r="31" spans="2:15" s="1202" customFormat="1" ht="31.5" hidden="1" outlineLevel="1" x14ac:dyDescent="0.25">
      <c r="B31" s="1191">
        <v>9</v>
      </c>
      <c r="C31" s="1191" t="s">
        <v>1135</v>
      </c>
      <c r="D31" s="1218" t="s">
        <v>3701</v>
      </c>
      <c r="E31" s="1193" t="str">
        <f>C32&amp;"+"&amp;C33</f>
        <v>TV9.1+TV9.2</v>
      </c>
      <c r="F31" s="1191" t="str">
        <f t="shared" si="0"/>
        <v>TV9.1+TV9.2</v>
      </c>
      <c r="G31" s="1194">
        <f>SUM(G32:G33)</f>
        <v>0</v>
      </c>
      <c r="H31" s="1194">
        <f>SUM(H32:H33)</f>
        <v>0</v>
      </c>
      <c r="I31" s="1194">
        <f>SUM(I32:I33)</f>
        <v>0</v>
      </c>
      <c r="J31" s="1191" t="s">
        <v>529</v>
      </c>
      <c r="K31" s="1196">
        <f>ROUND(NOISUY(Config!$C$157,i_LoaiCT,(GTB)/10^9),Config!$C$173)</f>
        <v>0</v>
      </c>
      <c r="L31" s="1200"/>
      <c r="M31" s="1201"/>
      <c r="N31" s="1201"/>
      <c r="O31" s="1213" t="str">
        <f>CHOOSE(i_VB,Config!$B$100,Config!$B$101,Config!$B$102,Config!$B$103)</f>
        <v>QĐ 79/QĐ-BXD</v>
      </c>
    </row>
    <row r="32" spans="2:15" s="1202" customFormat="1" hidden="1" outlineLevel="2" x14ac:dyDescent="0.25">
      <c r="B32" s="1216" t="s">
        <v>3795</v>
      </c>
      <c r="C32" s="1216" t="s">
        <v>3796</v>
      </c>
      <c r="D32" s="1219" t="s">
        <v>3695</v>
      </c>
      <c r="E32" s="1193" t="str">
        <f xml:space="preserve"> "GTB*"&amp;K32&amp;"%"</f>
        <v>GTB*0.165%</v>
      </c>
      <c r="F32" s="1191" t="str">
        <f t="shared" si="0"/>
        <v>GTB*0.165%</v>
      </c>
      <c r="G32" s="1194">
        <f>IF(GTB*K32%&lt;= L32,L32,GTB*K32%)</f>
        <v>0</v>
      </c>
      <c r="H32" s="1194">
        <f t="shared" si="1"/>
        <v>0</v>
      </c>
      <c r="I32" s="1194">
        <f t="shared" ref="I32:I40" si="3">H32+G32</f>
        <v>0</v>
      </c>
      <c r="J32" s="1191" t="s">
        <v>525</v>
      </c>
      <c r="K32" s="1196">
        <f>ROUND(NOISUY(Config!$C$158,i_LoaiCT,(GTB)/10^9),Config!$C$173)</f>
        <v>0.16500000000000001</v>
      </c>
      <c r="L32" s="1200"/>
      <c r="M32" s="1201"/>
      <c r="N32" s="1559">
        <v>1</v>
      </c>
      <c r="O32" s="1213" t="str">
        <f>CHOOSE(i_VB,Config!$B$100,Config!$B$101,Config!$B$102,Config!$B$103)</f>
        <v>QĐ 79/QĐ-BXD</v>
      </c>
    </row>
    <row r="33" spans="2:15" s="1202" customFormat="1" hidden="1" outlineLevel="2" x14ac:dyDescent="0.25">
      <c r="B33" s="1216" t="s">
        <v>3797</v>
      </c>
      <c r="C33" s="1216" t="s">
        <v>3798</v>
      </c>
      <c r="D33" s="1219" t="s">
        <v>3696</v>
      </c>
      <c r="E33" s="1193" t="str">
        <f xml:space="preserve"> "GTB*"&amp;K33&amp;"%"</f>
        <v>GTB*0.202%</v>
      </c>
      <c r="F33" s="1191" t="str">
        <f t="shared" si="0"/>
        <v>GTB*0.202%</v>
      </c>
      <c r="G33" s="1194">
        <f>IF(GTB*K33%&lt;= L33,L33,GTB*K33%)</f>
        <v>0</v>
      </c>
      <c r="H33" s="1194">
        <f t="shared" si="1"/>
        <v>0</v>
      </c>
      <c r="I33" s="1194">
        <f t="shared" si="3"/>
        <v>0</v>
      </c>
      <c r="J33" s="1191" t="s">
        <v>525</v>
      </c>
      <c r="K33" s="1196">
        <f>ROUND(NOISUY(Config!$C$159,i_LoaiCT,(GTB)/10^9),Config!$C$173)</f>
        <v>0.20200000000000001</v>
      </c>
      <c r="L33" s="1200"/>
      <c r="M33" s="1201"/>
      <c r="N33" s="1559">
        <v>1</v>
      </c>
      <c r="O33" s="1213" t="str">
        <f>CHOOSE(i_VB,Config!$B$100,Config!$B$101,Config!$B$102,Config!$B$103)</f>
        <v>QĐ 79/QĐ-BXD</v>
      </c>
    </row>
    <row r="34" spans="2:15" s="1202" customFormat="1" outlineLevel="1" x14ac:dyDescent="0.25">
      <c r="B34" s="1191">
        <v>3</v>
      </c>
      <c r="C34" s="1191" t="s">
        <v>1136</v>
      </c>
      <c r="D34" s="1218" t="s">
        <v>145</v>
      </c>
      <c r="E34" s="1193" t="str">
        <f xml:space="preserve"> "GXD*"&amp;K34&amp;"%"</f>
        <v>GXD*3.285%</v>
      </c>
      <c r="F34" s="1191" t="str">
        <f xml:space="preserve"> IF(L34&lt;&gt;0,IF(G34&lt;= L34,"Mức tối thiểu",IF(M34&gt;0,IF(G34&gt;=M34,"Mức tối đa",E34),E34)),E34)</f>
        <v>GXD*3.285%</v>
      </c>
      <c r="G34" s="1203">
        <f xml:space="preserve"> IF(GXD*K34%&lt;= L34,L34,GXD*K34%)</f>
        <v>12583996.339526806</v>
      </c>
      <c r="H34" s="1203">
        <f t="shared" si="1"/>
        <v>1258399.6339526807</v>
      </c>
      <c r="I34" s="1203">
        <f t="shared" si="3"/>
        <v>13842395.973479487</v>
      </c>
      <c r="J34" s="1191" t="s">
        <v>523</v>
      </c>
      <c r="K34" s="1196">
        <f>ROUND(NOISUY(Config!$C$160,i_LoaiCT,(GXD)/10^9),Config!$C$173)</f>
        <v>3.2850000000000001</v>
      </c>
      <c r="L34" s="1204">
        <v>0</v>
      </c>
      <c r="M34" s="1205"/>
      <c r="N34" s="1201"/>
      <c r="O34" s="1213" t="str">
        <f>CHOOSE(i_VB,Config!$B$100,Config!$B$101,Config!$B$102,Config!$B$103)</f>
        <v>QĐ 79/QĐ-BXD</v>
      </c>
    </row>
    <row r="35" spans="2:15" s="1202" customFormat="1" hidden="1" outlineLevel="1" x14ac:dyDescent="0.25">
      <c r="B35" s="1191">
        <v>11</v>
      </c>
      <c r="C35" s="1191" t="s">
        <v>1137</v>
      </c>
      <c r="D35" s="1218" t="s">
        <v>146</v>
      </c>
      <c r="E35" s="1193" t="str">
        <f xml:space="preserve"> "GTB*"&amp;K35&amp;"%"</f>
        <v>GTB*0.844%</v>
      </c>
      <c r="F35" s="1191" t="str">
        <f xml:space="preserve"> IF(L35&lt;&gt;0,IF(G35&lt;= L35,"Mức tối thiểu",IF(M35&gt;0,IF(G35&gt;=M35,"Mức tối đa",E35),E35)),E35)</f>
        <v>GTB*0.844%</v>
      </c>
      <c r="G35" s="1203">
        <f xml:space="preserve"> IF(GTB*K35%&lt;= L35,L35,GTB*K35%)</f>
        <v>0</v>
      </c>
      <c r="H35" s="1203">
        <f t="shared" si="1"/>
        <v>0</v>
      </c>
      <c r="I35" s="1203">
        <f t="shared" si="3"/>
        <v>0</v>
      </c>
      <c r="J35" s="1191" t="s">
        <v>708</v>
      </c>
      <c r="K35" s="1196">
        <f>ROUND(NOISUY(Config!$C$161,i_LoaiCT,(GTB)/10^9),Config!$C$173)</f>
        <v>0.84399999999999997</v>
      </c>
      <c r="L35" s="1204">
        <v>0</v>
      </c>
      <c r="M35" s="1205"/>
      <c r="N35" s="1201"/>
      <c r="O35" s="1213" t="str">
        <f>CHOOSE(i_VB,Config!$B$100,Config!$B$101,Config!$B$102,Config!$B$103)</f>
        <v>QĐ 79/QĐ-BXD</v>
      </c>
    </row>
    <row r="36" spans="2:15" s="1202" customFormat="1" hidden="1" outlineLevel="1" x14ac:dyDescent="0.25">
      <c r="B36" s="1191"/>
      <c r="C36" s="1191" t="s">
        <v>3046</v>
      </c>
      <c r="D36" s="1218" t="s">
        <v>3047</v>
      </c>
      <c r="E36" s="1193"/>
      <c r="F36" s="1193" t="s">
        <v>3703</v>
      </c>
      <c r="G36" s="1203"/>
      <c r="H36" s="1203">
        <f t="shared" si="1"/>
        <v>0</v>
      </c>
      <c r="I36" s="1203">
        <f t="shared" si="3"/>
        <v>0</v>
      </c>
      <c r="J36" s="1191" t="s">
        <v>1128</v>
      </c>
      <c r="K36" s="1206"/>
      <c r="L36" s="1204"/>
      <c r="M36" s="1204"/>
      <c r="N36" s="1201"/>
      <c r="O36" s="1201"/>
    </row>
    <row r="37" spans="2:15" s="1202" customFormat="1" hidden="1" outlineLevel="1" x14ac:dyDescent="0.25">
      <c r="B37" s="1191"/>
      <c r="C37" s="1191"/>
      <c r="D37" s="1218" t="s">
        <v>3759</v>
      </c>
      <c r="E37" s="1193" t="str">
        <f>J36&amp;"*"&amp;K37&amp;"%"</f>
        <v>TV15*3%</v>
      </c>
      <c r="F37" s="1191" t="str">
        <f xml:space="preserve"> IF(L37&lt;&gt;0,IF(G37&lt;= L37,"Mức tối thiểu",IF(M37&gt;0,IF(G37&gt;=M37,"Mức tối đa",E37),E37)),E37)</f>
        <v>TV15*3%</v>
      </c>
      <c r="G37" s="1203">
        <f>G36*K37%</f>
        <v>0</v>
      </c>
      <c r="H37" s="1203">
        <f>G37*10%</f>
        <v>0</v>
      </c>
      <c r="I37" s="1203">
        <f>H37+G37</f>
        <v>0</v>
      </c>
      <c r="J37" s="1191" t="s">
        <v>1129</v>
      </c>
      <c r="K37" s="1196">
        <v>3</v>
      </c>
      <c r="L37" s="1204"/>
      <c r="M37" s="1205"/>
      <c r="N37" s="1201"/>
      <c r="O37" s="1201"/>
    </row>
    <row r="38" spans="2:15" s="1202" customFormat="1" hidden="1" outlineLevel="1" x14ac:dyDescent="0.25">
      <c r="B38" s="1191"/>
      <c r="C38" s="1191"/>
      <c r="D38" s="1192" t="s">
        <v>3754</v>
      </c>
      <c r="E38" s="1193" t="str">
        <f>J36&amp;"*"&amp;K38&amp;"%"</f>
        <v>TV15*0%</v>
      </c>
      <c r="F38" s="1191" t="str">
        <f xml:space="preserve"> IF(L38&lt;&gt;0,IF(G38&lt;= L38,"Mức tối thiểu",IF(M38&gt;0,IF(G38&gt;=M38,"Mức tối đa",E38),E38)),E38)</f>
        <v>TV15*0%</v>
      </c>
      <c r="G38" s="1203">
        <f>G36*K38%</f>
        <v>0</v>
      </c>
      <c r="H38" s="1203">
        <f t="shared" si="1"/>
        <v>0</v>
      </c>
      <c r="I38" s="1203">
        <f t="shared" si="3"/>
        <v>0</v>
      </c>
      <c r="J38" s="1191" t="s">
        <v>1130</v>
      </c>
      <c r="K38" s="1206">
        <f>ROUND(NOISUY(diachivung(Config!$O$564:$T$565),1,G36/10^9),Config!$C$173)</f>
        <v>0</v>
      </c>
      <c r="L38" s="1204"/>
      <c r="M38" s="1204"/>
      <c r="N38" s="1201"/>
      <c r="O38" s="1201"/>
    </row>
    <row r="39" spans="2:15" s="1202" customFormat="1" hidden="1" outlineLevel="1" x14ac:dyDescent="0.25">
      <c r="B39" s="1191"/>
      <c r="C39" s="1193" t="s">
        <v>1129</v>
      </c>
      <c r="D39" s="1218" t="s">
        <v>1133</v>
      </c>
      <c r="E39" s="1193"/>
      <c r="F39" s="1191">
        <f xml:space="preserve"> IF(L39&lt;&gt;0,IF(G39&lt;= L39,"Mức tối thiểu",IF(M39&gt;0,IF(G39&gt;=M39,"Mức tối đa",E39),E39)),E39)</f>
        <v>0</v>
      </c>
      <c r="G39" s="1203"/>
      <c r="H39" s="1203">
        <f t="shared" si="1"/>
        <v>0</v>
      </c>
      <c r="I39" s="1203">
        <f t="shared" si="3"/>
        <v>0</v>
      </c>
      <c r="J39" s="1191" t="s">
        <v>1131</v>
      </c>
      <c r="K39" s="1206"/>
      <c r="L39" s="1204"/>
      <c r="M39" s="1204"/>
      <c r="N39" s="1201"/>
      <c r="O39" s="1201"/>
    </row>
    <row r="40" spans="2:15" s="1202" customFormat="1" hidden="1" outlineLevel="1" x14ac:dyDescent="0.25">
      <c r="B40" s="1207"/>
      <c r="C40" s="1208" t="s">
        <v>1130</v>
      </c>
      <c r="D40" s="1220" t="s">
        <v>1134</v>
      </c>
      <c r="E40" s="1208"/>
      <c r="F40" s="1207">
        <f xml:space="preserve"> IF(L40&lt;&gt;0,IF(G40&lt;= L40,"Mức tối thiểu",IF(M40&gt;0,IF(G40&gt;=M40,"Mức tối đa",E40),E40)),E40)</f>
        <v>0</v>
      </c>
      <c r="G40" s="1209"/>
      <c r="H40" s="1209">
        <f t="shared" si="1"/>
        <v>0</v>
      </c>
      <c r="I40" s="1209">
        <f t="shared" si="3"/>
        <v>0</v>
      </c>
      <c r="J40" s="1191" t="s">
        <v>1132</v>
      </c>
      <c r="K40" s="1210"/>
      <c r="L40" s="1211"/>
      <c r="M40" s="1211"/>
      <c r="N40" s="1212"/>
      <c r="O40" s="1212"/>
    </row>
    <row r="41" spans="2:15" ht="17.25" x14ac:dyDescent="0.25">
      <c r="B41" s="362">
        <v>6</v>
      </c>
      <c r="C41" s="362" t="s">
        <v>520</v>
      </c>
      <c r="D41" s="1217" t="s">
        <v>675</v>
      </c>
      <c r="E41" s="366" t="s">
        <v>1139</v>
      </c>
      <c r="F41" s="362" t="s">
        <v>4048</v>
      </c>
      <c r="G41" s="364">
        <f xml:space="preserve"> SUM(G42:G$59)</f>
        <v>27627713.718458556</v>
      </c>
      <c r="H41" s="364">
        <f xml:space="preserve"> SUM(H42:H$59)</f>
        <v>2226403.7602028558</v>
      </c>
      <c r="I41" s="364">
        <f xml:space="preserve"> SUM(I42:I$59)</f>
        <v>29854117.478661414</v>
      </c>
      <c r="J41" s="362" t="s">
        <v>1067</v>
      </c>
      <c r="K41" s="665"/>
      <c r="L41" s="666"/>
      <c r="M41" s="667"/>
      <c r="N41" s="667"/>
      <c r="O41" s="398"/>
    </row>
    <row r="42" spans="2:15" s="1202" customFormat="1" hidden="1" x14ac:dyDescent="0.25">
      <c r="B42" s="1584" t="s">
        <v>1198</v>
      </c>
      <c r="C42" s="1584"/>
      <c r="D42" s="1585" t="s">
        <v>1199</v>
      </c>
      <c r="E42" s="1586"/>
      <c r="F42" s="1214"/>
      <c r="G42" s="1215"/>
      <c r="H42" s="1587"/>
      <c r="I42" s="1587"/>
      <c r="J42" s="1584"/>
      <c r="K42" s="1588"/>
      <c r="L42" s="1589"/>
      <c r="M42" s="1588"/>
      <c r="N42" s="1588"/>
      <c r="O42" s="1588"/>
    </row>
    <row r="43" spans="2:15" hidden="1" outlineLevel="2" x14ac:dyDescent="0.25">
      <c r="B43" s="368"/>
      <c r="C43" s="368" t="s">
        <v>530</v>
      </c>
      <c r="D43" s="1221" t="s">
        <v>1069</v>
      </c>
      <c r="E43" s="369"/>
      <c r="F43" s="368"/>
      <c r="G43" s="370">
        <f xml:space="preserve"> IF(GXD*K43%&lt;= L43,L43,GXD*K43%)</f>
        <v>0</v>
      </c>
      <c r="H43" s="388">
        <f>G43*10%</f>
        <v>0</v>
      </c>
      <c r="I43" s="388">
        <f>H43+G43</f>
        <v>0</v>
      </c>
      <c r="J43" s="368"/>
      <c r="K43" s="668"/>
      <c r="L43" s="676">
        <v>0</v>
      </c>
      <c r="M43" s="668"/>
      <c r="N43" s="669"/>
      <c r="O43" s="668"/>
    </row>
    <row r="44" spans="2:15" hidden="1" outlineLevel="2" x14ac:dyDescent="0.25">
      <c r="B44" s="371">
        <v>1</v>
      </c>
      <c r="C44" s="371" t="s">
        <v>531</v>
      </c>
      <c r="D44" s="1222" t="s">
        <v>1113</v>
      </c>
      <c r="E44" s="373" t="str">
        <f xml:space="preserve"> "GXD*"&amp;K44&amp;"%"</f>
        <v>GXD*%</v>
      </c>
      <c r="F44" s="371" t="str">
        <f xml:space="preserve"> IF(L44&lt;&gt;0,IF(G44&lt;= L44,"Mức tối thiểu",IF(M44&gt;0,IF(G44&gt;=M44,"Mức tối đa",E44),E44)),E44)</f>
        <v>GXD*%</v>
      </c>
      <c r="G44" s="374">
        <f xml:space="preserve"> IF(GXD*K44%&lt;= L44,L44,GXD*K44%)</f>
        <v>0</v>
      </c>
      <c r="H44" s="375">
        <f>G44*10%</f>
        <v>0</v>
      </c>
      <c r="I44" s="375">
        <f t="shared" ref="I44:I52" si="4">H44+G44</f>
        <v>0</v>
      </c>
      <c r="J44" s="371" t="s">
        <v>530</v>
      </c>
      <c r="K44" s="1525"/>
      <c r="L44" s="670">
        <v>0</v>
      </c>
      <c r="M44" s="671"/>
      <c r="N44" s="672"/>
      <c r="O44" s="671"/>
    </row>
    <row r="45" spans="2:15" outlineLevel="2" x14ac:dyDescent="0.25">
      <c r="B45" s="371">
        <v>1</v>
      </c>
      <c r="C45" s="371" t="s">
        <v>532</v>
      </c>
      <c r="D45" s="1560" t="s">
        <v>479</v>
      </c>
      <c r="E45" s="1561" t="str">
        <f xml:space="preserve"> "TMĐT*"&amp;K45&amp;"%"</f>
        <v>TMĐT*0.95%</v>
      </c>
      <c r="F45" s="371" t="str">
        <f t="shared" ref="F45:F52" si="5" xml:space="preserve"> IF(L45&lt;&gt;0,IF(G45&lt;= L45,"Mức tối thiểu",IF(M45&gt;0,IF(G45&gt;=M45,"Mức tối đa",E45),E45)),E45)</f>
        <v>TMĐT*0.95%</v>
      </c>
      <c r="G45" s="374">
        <f xml:space="preserve"> IF($I$7*K45%&lt;= L45,L45,$I$7*K45%)</f>
        <v>5258505.9964999994</v>
      </c>
      <c r="H45" s="374"/>
      <c r="I45" s="374">
        <f t="shared" si="4"/>
        <v>5258505.9964999994</v>
      </c>
      <c r="J45" s="371" t="s">
        <v>530</v>
      </c>
      <c r="K45" s="1562">
        <f xml:space="preserve"> ROUND(NOISUY(Config!$C$162,1,TMDT!TMDT_Duyet/10^9),Config!$C$173)</f>
        <v>0.95</v>
      </c>
      <c r="L45" s="670"/>
      <c r="M45" s="671"/>
      <c r="N45" s="672"/>
      <c r="O45" s="671" t="str">
        <f>CHOOSE(i_KTQT,Config!$E$110,Config!$E$111,Config!$E$112)</f>
        <v>TT09/2016/TT-BTC</v>
      </c>
    </row>
    <row r="46" spans="2:15" outlineLevel="2" x14ac:dyDescent="0.25">
      <c r="B46" s="371">
        <v>2</v>
      </c>
      <c r="C46" s="371" t="s">
        <v>533</v>
      </c>
      <c r="D46" s="1560" t="s">
        <v>480</v>
      </c>
      <c r="E46" s="1561" t="str">
        <f xml:space="preserve"> "TMĐT*"&amp;K46&amp;"%"</f>
        <v>TMĐT*1.6%</v>
      </c>
      <c r="F46" s="371" t="str">
        <f t="shared" si="5"/>
        <v>TMĐT*1.6%</v>
      </c>
      <c r="G46" s="374">
        <f xml:space="preserve"> IF($I$7*K46%&lt;= L46,L46,$I$7*K46%)</f>
        <v>8856431.1520000007</v>
      </c>
      <c r="H46" s="374">
        <f>G46*10%</f>
        <v>885643.11520000012</v>
      </c>
      <c r="I46" s="374">
        <f t="shared" si="4"/>
        <v>9742074.2672000006</v>
      </c>
      <c r="J46" s="371" t="s">
        <v>531</v>
      </c>
      <c r="K46" s="1562">
        <f xml:space="preserve"> ROUND(NOISUY(Config!$C$162,2,TMDT!TMDT_Duyet/10^9),Config!$C$173)</f>
        <v>1.6</v>
      </c>
      <c r="L46" s="670"/>
      <c r="M46" s="671"/>
      <c r="N46" s="672"/>
      <c r="O46" s="671" t="str">
        <f>CHOOSE(i_KTQT,Config!$E$110,Config!$E$111,Config!$E$112)</f>
        <v>TT09/2016/TT-BTC</v>
      </c>
    </row>
    <row r="47" spans="2:15" outlineLevel="2" x14ac:dyDescent="0.25">
      <c r="B47" s="371">
        <v>3</v>
      </c>
      <c r="C47" s="371" t="s">
        <v>702</v>
      </c>
      <c r="D47" s="1560" t="str">
        <f>IF(i_BTK=1,"Phí thẩm định Báo cáo kinh tế kỹ thuật","Phí thẩm định Dự án đầu tư")</f>
        <v>Phí thẩm định Báo cáo kinh tế kỹ thuật</v>
      </c>
      <c r="E47" s="1561" t="str">
        <f xml:space="preserve"> "TMĐT*"&amp;K47&amp;"%"</f>
        <v>TMĐT*0.019%</v>
      </c>
      <c r="F47" s="371" t="str">
        <f t="shared" si="5"/>
        <v>TMĐT*0.019%</v>
      </c>
      <c r="G47" s="374">
        <f xml:space="preserve"> IF($I$7*K47%&lt;= L47,L47,IF($I$7*K47%&gt;= M47,$M$47,$I$7*K47%))</f>
        <v>105170.11992999999</v>
      </c>
      <c r="H47" s="374"/>
      <c r="I47" s="374">
        <f t="shared" si="4"/>
        <v>105170.11992999999</v>
      </c>
      <c r="J47" s="371" t="s">
        <v>532</v>
      </c>
      <c r="K47" s="671">
        <f>ROUND(NOISUY(Config!$C$169,1,TMDT!TMDT_Duyet/10^9),Config!$C$173)</f>
        <v>1.9E-2</v>
      </c>
      <c r="L47" s="670"/>
      <c r="M47" s="670">
        <v>150000000</v>
      </c>
      <c r="N47" s="672"/>
      <c r="O47" s="671" t="str">
        <f>CHOOSE(Config!$F$99,Config!$F$100,Config!$F$101)</f>
        <v>TT 209/2016/TT-BTC</v>
      </c>
    </row>
    <row r="48" spans="2:15" hidden="1" outlineLevel="2" x14ac:dyDescent="0.25">
      <c r="B48" s="371">
        <v>4</v>
      </c>
      <c r="C48" s="371" t="s">
        <v>710</v>
      </c>
      <c r="D48" s="1560" t="s">
        <v>3752</v>
      </c>
      <c r="E48" s="1563" t="str">
        <f xml:space="preserve"> "GXD*"&amp;K48&amp;"%"</f>
        <v>GXD*0.165%</v>
      </c>
      <c r="F48" s="371" t="str">
        <f t="shared" si="5"/>
        <v>GXD*0.165%</v>
      </c>
      <c r="G48" s="374">
        <f xml:space="preserve"> IF(i_BTK=1,0,IF(GXD*K48%&lt;= L48,L48,GXD*K48%))</f>
        <v>0</v>
      </c>
      <c r="H48" s="374"/>
      <c r="I48" s="374">
        <f t="shared" si="4"/>
        <v>0</v>
      </c>
      <c r="J48" s="371" t="s">
        <v>533</v>
      </c>
      <c r="K48" s="1564">
        <f>ROUND(NOISUY(Config!$C$163,i_LoaiCT,GXD/10^9),Config!$C$173)</f>
        <v>0.16500000000000001</v>
      </c>
      <c r="L48" s="670"/>
      <c r="M48" s="671"/>
      <c r="N48" s="672"/>
      <c r="O48" s="671" t="str">
        <f>CHOOSE(Config!$E$99,Config!$E$100,Config!$E$101)</f>
        <v>TT 210/2016/TT-BTC</v>
      </c>
    </row>
    <row r="49" spans="2:15" hidden="1" outlineLevel="2" x14ac:dyDescent="0.25">
      <c r="B49" s="371">
        <v>5</v>
      </c>
      <c r="C49" s="371" t="s">
        <v>1124</v>
      </c>
      <c r="D49" s="1560" t="s">
        <v>3753</v>
      </c>
      <c r="E49" s="1563" t="str">
        <f xml:space="preserve"> "GXD*"&amp;K49&amp;"%"</f>
        <v>GXD*0.16%</v>
      </c>
      <c r="F49" s="371" t="str">
        <f t="shared" si="5"/>
        <v>GXD*0.16%</v>
      </c>
      <c r="G49" s="374">
        <f xml:space="preserve"> IF(i_BTK=1,0,IF(GXD*K49%&lt;= L49,L49,GXD*K49%))</f>
        <v>0</v>
      </c>
      <c r="H49" s="374"/>
      <c r="I49" s="374">
        <f t="shared" si="4"/>
        <v>0</v>
      </c>
      <c r="J49" s="371" t="s">
        <v>702</v>
      </c>
      <c r="K49" s="1562">
        <f>ROUND(NOISUY(Config!$C$166,i_LoaiCT,GXD/10^9),Config!$C$173)</f>
        <v>0.16</v>
      </c>
      <c r="L49" s="670"/>
      <c r="M49" s="671"/>
      <c r="N49" s="672"/>
      <c r="O49" s="671" t="str">
        <f>CHOOSE(Config!$E$99,Config!$E$100,Config!$E$101)</f>
        <v>TT 210/2016/TT-BTC</v>
      </c>
    </row>
    <row r="50" spans="2:15" s="1202" customFormat="1" ht="31.5" hidden="1" outlineLevel="1" x14ac:dyDescent="0.25">
      <c r="B50" s="1191">
        <v>6</v>
      </c>
      <c r="C50" s="1191" t="s">
        <v>3109</v>
      </c>
      <c r="D50" s="1192" t="s">
        <v>1125</v>
      </c>
      <c r="E50" s="1193" t="str">
        <f xml:space="preserve"> "GXD*"&amp;K50&amp;"%"</f>
        <v>GXD*0%</v>
      </c>
      <c r="F50" s="1191" t="str">
        <f t="shared" si="5"/>
        <v>GXD*0%</v>
      </c>
      <c r="G50" s="1194">
        <f xml:space="preserve"> IF((GXD+GTB+CP_HMC)*K50%&lt;= L50,L50,IF((GXD+GTB+CP_HMC)*K50%&gt;=M50,M50,GXD*K50%))</f>
        <v>0</v>
      </c>
      <c r="H50" s="1203">
        <f>G50*10%</f>
        <v>0</v>
      </c>
      <c r="I50" s="1203">
        <f t="shared" si="4"/>
        <v>0</v>
      </c>
      <c r="J50" s="1193" t="s">
        <v>3127</v>
      </c>
      <c r="K50" s="1206">
        <f>IF(GXD&lt;10^9,0,0.03)</f>
        <v>0</v>
      </c>
      <c r="L50" s="1204">
        <f>IF(GXD&lt;10^9,0,1000000)</f>
        <v>0</v>
      </c>
      <c r="M50" s="1204">
        <v>30000000</v>
      </c>
      <c r="N50" s="1201"/>
      <c r="O50" s="1201" t="s">
        <v>3758</v>
      </c>
    </row>
    <row r="51" spans="2:15" hidden="1" outlineLevel="1" x14ac:dyDescent="0.25">
      <c r="B51" s="371">
        <v>7</v>
      </c>
      <c r="C51" s="371" t="s">
        <v>3110</v>
      </c>
      <c r="D51" s="372" t="s">
        <v>1126</v>
      </c>
      <c r="E51" s="373" t="str">
        <f xml:space="preserve"> "GXD*"&amp;K51&amp;"%"</f>
        <v>GXD*0%</v>
      </c>
      <c r="F51" s="371" t="str">
        <f t="shared" si="5"/>
        <v>GXD*0%</v>
      </c>
      <c r="G51" s="374">
        <f xml:space="preserve"> IF((GXD+GTB+CP_HMC)*K51%&lt;= L51,L51,IF((GXD+GTB+CP_HMC)*K51%&gt;=M51,M51,GXD*K51%))</f>
        <v>0</v>
      </c>
      <c r="H51" s="375">
        <f>G51*10%</f>
        <v>0</v>
      </c>
      <c r="I51" s="375">
        <f t="shared" si="4"/>
        <v>0</v>
      </c>
      <c r="J51" s="373" t="s">
        <v>710</v>
      </c>
      <c r="K51" s="1244">
        <f>IF(GXD&lt;10^9,0,0.05)</f>
        <v>0</v>
      </c>
      <c r="L51" s="1245">
        <f>IF(GXD&lt;10^9,0,1000000)</f>
        <v>0</v>
      </c>
      <c r="M51" s="1245">
        <v>50000000</v>
      </c>
      <c r="N51" s="672"/>
      <c r="O51" s="671" t="s">
        <v>3758</v>
      </c>
    </row>
    <row r="52" spans="2:15" s="1202" customFormat="1" hidden="1" outlineLevel="1" x14ac:dyDescent="0.25">
      <c r="B52" s="1191">
        <v>8</v>
      </c>
      <c r="C52" s="1191" t="s">
        <v>3111</v>
      </c>
      <c r="D52" s="1192" t="s">
        <v>481</v>
      </c>
      <c r="E52" s="1193" t="str">
        <f xml:space="preserve"> "GXD*"&amp;K52&amp;"%"</f>
        <v>GXD*0%</v>
      </c>
      <c r="F52" s="1191" t="str">
        <f t="shared" si="5"/>
        <v>GXD*0%</v>
      </c>
      <c r="G52" s="1194">
        <f xml:space="preserve"> IF((GXD+GTB+CP_HMC)*K52%&lt;= L52,L52,IF((GXD+GTB+CP_HMC)*K52%&gt;=M52,M52,GXD*K52%))</f>
        <v>0</v>
      </c>
      <c r="H52" s="1203">
        <f>G52*10%</f>
        <v>0</v>
      </c>
      <c r="I52" s="1203">
        <f t="shared" si="4"/>
        <v>0</v>
      </c>
      <c r="J52" s="1193" t="s">
        <v>1124</v>
      </c>
      <c r="K52" s="1206">
        <f>IF(GXD&lt;10^9,0,0.05)</f>
        <v>0</v>
      </c>
      <c r="L52" s="1204">
        <f>IF(GXD&lt;10^9,0,1000000)</f>
        <v>0</v>
      </c>
      <c r="M52" s="1204">
        <v>50000000</v>
      </c>
      <c r="N52" s="1201"/>
      <c r="O52" s="1201" t="s">
        <v>3758</v>
      </c>
    </row>
    <row r="53" spans="2:15" hidden="1" outlineLevel="1" x14ac:dyDescent="0.25">
      <c r="B53" s="371" t="s">
        <v>1200</v>
      </c>
      <c r="C53" s="371"/>
      <c r="D53" s="1222" t="s">
        <v>1201</v>
      </c>
      <c r="E53" s="373"/>
      <c r="F53" s="371"/>
      <c r="G53" s="374"/>
      <c r="H53" s="374"/>
      <c r="I53" s="374"/>
      <c r="J53" s="371"/>
      <c r="K53" s="671"/>
      <c r="L53" s="670"/>
      <c r="M53" s="671"/>
      <c r="N53" s="672"/>
      <c r="O53" s="671"/>
    </row>
    <row r="54" spans="2:15" hidden="1" outlineLevel="2" x14ac:dyDescent="0.25">
      <c r="B54" s="371"/>
      <c r="C54" s="371"/>
      <c r="D54" s="1222" t="s">
        <v>1202</v>
      </c>
      <c r="E54" s="373"/>
      <c r="F54" s="371"/>
      <c r="G54" s="374"/>
      <c r="H54" s="374"/>
      <c r="I54" s="374"/>
      <c r="J54" s="371"/>
      <c r="K54" s="671"/>
      <c r="L54" s="670"/>
      <c r="M54" s="671"/>
      <c r="N54" s="672"/>
      <c r="O54" s="671"/>
    </row>
    <row r="55" spans="2:15" hidden="1" outlineLevel="2" x14ac:dyDescent="0.25">
      <c r="B55" s="371"/>
      <c r="C55" s="371"/>
      <c r="D55" s="1222" t="s">
        <v>1203</v>
      </c>
      <c r="E55" s="373"/>
      <c r="F55" s="371"/>
      <c r="G55" s="374"/>
      <c r="H55" s="374"/>
      <c r="I55" s="374"/>
      <c r="J55" s="371"/>
      <c r="K55" s="671"/>
      <c r="L55" s="670"/>
      <c r="M55" s="671"/>
      <c r="N55" s="672"/>
      <c r="O55" s="671"/>
    </row>
    <row r="56" spans="2:15" outlineLevel="1" x14ac:dyDescent="0.25">
      <c r="B56" s="371">
        <v>4</v>
      </c>
      <c r="C56" s="371"/>
      <c r="D56" s="1222" t="s">
        <v>1068</v>
      </c>
      <c r="E56" s="373" t="s">
        <v>1123</v>
      </c>
      <c r="F56" s="371" t="str">
        <f xml:space="preserve"> IF(L56&lt;&gt;0,IF(G56&lt;= L56,"Mức tối thiểu",IF(G56&gt;=M56,"Mức tối đa",E56)),E56)</f>
        <v>Xem bảng tính</v>
      </c>
      <c r="G56" s="374">
        <f>'CP HMC'!E14</f>
        <v>13407606.450028559</v>
      </c>
      <c r="H56" s="374">
        <f>'CP HMC'!F14</f>
        <v>1340760.6450028559</v>
      </c>
      <c r="I56" s="374">
        <f>H56+G56</f>
        <v>14748367.095031414</v>
      </c>
      <c r="J56" s="371" t="s">
        <v>533</v>
      </c>
      <c r="K56" s="671"/>
      <c r="L56" s="670"/>
      <c r="M56" s="671"/>
      <c r="N56" s="672"/>
      <c r="O56" s="671"/>
    </row>
    <row r="57" spans="2:15" hidden="1" outlineLevel="1" x14ac:dyDescent="0.25">
      <c r="B57" s="371" t="s">
        <v>1204</v>
      </c>
      <c r="C57" s="371"/>
      <c r="D57" s="1222" t="s">
        <v>1205</v>
      </c>
      <c r="E57" s="373"/>
      <c r="F57" s="371"/>
      <c r="G57" s="374"/>
      <c r="H57" s="374"/>
      <c r="I57" s="374"/>
      <c r="J57" s="371"/>
      <c r="K57" s="671"/>
      <c r="L57" s="670"/>
      <c r="M57" s="671"/>
      <c r="N57" s="672"/>
      <c r="O57" s="671"/>
    </row>
    <row r="58" spans="2:15" hidden="1" outlineLevel="2" x14ac:dyDescent="0.25">
      <c r="B58" s="371"/>
      <c r="C58" s="371"/>
      <c r="D58" s="1222" t="s">
        <v>1202</v>
      </c>
      <c r="E58" s="373"/>
      <c r="F58" s="371"/>
      <c r="G58" s="374"/>
      <c r="H58" s="374"/>
      <c r="I58" s="374"/>
      <c r="J58" s="371"/>
      <c r="K58" s="671"/>
      <c r="L58" s="670"/>
      <c r="M58" s="671"/>
      <c r="N58" s="672"/>
      <c r="O58" s="671"/>
    </row>
    <row r="59" spans="2:15" hidden="1" outlineLevel="2" x14ac:dyDescent="0.25">
      <c r="B59" s="376"/>
      <c r="C59" s="376"/>
      <c r="D59" s="1223" t="s">
        <v>1203</v>
      </c>
      <c r="E59" s="377"/>
      <c r="F59" s="376"/>
      <c r="G59" s="378"/>
      <c r="H59" s="378"/>
      <c r="I59" s="378"/>
      <c r="J59" s="376"/>
      <c r="K59" s="674"/>
      <c r="L59" s="675"/>
      <c r="M59" s="674"/>
      <c r="N59" s="673"/>
      <c r="O59" s="674"/>
    </row>
    <row r="60" spans="2:15" ht="17.25" x14ac:dyDescent="0.25">
      <c r="B60" s="362">
        <v>7</v>
      </c>
      <c r="C60" s="362" t="s">
        <v>521</v>
      </c>
      <c r="D60" s="1217" t="s">
        <v>1079</v>
      </c>
      <c r="E60" s="366" t="s">
        <v>1206</v>
      </c>
      <c r="F60" s="362" t="str">
        <f xml:space="preserve"> IF(L60&lt;&gt;0,IF(G60&lt;= L60,"Mức tối thiểu",IF(G60&gt;=M60,"Mức tối đa",E60)),E60)</f>
        <v>GDP1+GDP2</v>
      </c>
      <c r="G60" s="364">
        <f>SUM(G61:G62)</f>
        <v>25578900.478703316</v>
      </c>
      <c r="H60" s="364"/>
      <c r="I60" s="364">
        <f>H60+G60</f>
        <v>25578900.478703316</v>
      </c>
      <c r="J60" s="362" t="s">
        <v>1070</v>
      </c>
      <c r="K60" s="665"/>
      <c r="L60" s="666"/>
      <c r="M60" s="667"/>
      <c r="N60" s="667"/>
      <c r="O60" s="398"/>
    </row>
    <row r="61" spans="2:15" ht="42.75" customHeight="1" x14ac:dyDescent="0.25">
      <c r="B61" s="368"/>
      <c r="C61" s="368" t="s">
        <v>1114</v>
      </c>
      <c r="D61" s="1221" t="s">
        <v>1090</v>
      </c>
      <c r="E61" s="368" t="str">
        <f xml:space="preserve"> "(GBTTĐC+GXD+GTB+GQLDA+GTV+GK)*"&amp;K61&amp;"%"</f>
        <v>(GBTTĐC+GXD+GTB+GQLDA+GTV+GK)*5%</v>
      </c>
      <c r="F61" s="368" t="str">
        <f xml:space="preserve"> IF(L61&lt;&gt;0,IF(G61&lt;= L61,"Mức tối thiểu",IF(M61&gt;0,IF(G61&gt;=M61,"Mức tối đa",E61),E61)),E61)</f>
        <v>(GBTTĐC+GXD+GTB+GQLDA+GTV+GK)*5%</v>
      </c>
      <c r="G61" s="388">
        <f>(I8+I9+I10+I11+I12+I41)*K61%</f>
        <v>25578900.478703316</v>
      </c>
      <c r="H61" s="370"/>
      <c r="I61" s="370">
        <f>H61+G61</f>
        <v>25578900.478703316</v>
      </c>
      <c r="J61" s="379" t="s">
        <v>1071</v>
      </c>
      <c r="K61" s="833">
        <v>5</v>
      </c>
      <c r="L61" s="676"/>
      <c r="M61" s="668"/>
      <c r="N61" s="669"/>
      <c r="O61" s="668"/>
    </row>
    <row r="62" spans="2:15" ht="17.25" x14ac:dyDescent="0.25">
      <c r="B62" s="376"/>
      <c r="C62" s="376" t="s">
        <v>1115</v>
      </c>
      <c r="D62" s="1223" t="s">
        <v>1072</v>
      </c>
      <c r="E62" s="377" t="str">
        <f xml:space="preserve"> "GTB*"&amp;K62&amp;"%*"</f>
        <v>GTB*0%*</v>
      </c>
      <c r="F62" s="371" t="s">
        <v>1123</v>
      </c>
      <c r="G62" s="378">
        <f>DP2A!H48</f>
        <v>0</v>
      </c>
      <c r="H62" s="378"/>
      <c r="I62" s="378">
        <f>H62+G62</f>
        <v>0</v>
      </c>
      <c r="J62" s="380" t="s">
        <v>1073</v>
      </c>
      <c r="K62" s="677">
        <f>IF(DP2A!E13&gt;0,G62/DP2A!E13,0)</f>
        <v>0</v>
      </c>
      <c r="L62" s="674"/>
      <c r="M62" s="674"/>
      <c r="N62" s="673"/>
      <c r="O62" s="674"/>
    </row>
    <row r="63" spans="2:15" s="350" customFormat="1" ht="17.25" x14ac:dyDescent="0.25">
      <c r="B63" s="362">
        <v>8</v>
      </c>
      <c r="C63" s="362" t="s">
        <v>106</v>
      </c>
      <c r="D63" s="1217" t="s">
        <v>105</v>
      </c>
      <c r="E63" s="366"/>
      <c r="F63" s="362" t="s">
        <v>3288</v>
      </c>
      <c r="G63" s="364">
        <f>G8+GXD+GTB+G11+G12+G41+G60</f>
        <v>491137425.19298446</v>
      </c>
      <c r="H63" s="364">
        <f>H8+H9+H10+H11+H12+H41+H60</f>
        <v>46019484.859785117</v>
      </c>
      <c r="I63" s="364">
        <f>I8+I9+I10+I11+I12+I41+I60</f>
        <v>537156910.05276954</v>
      </c>
      <c r="J63" s="362" t="s">
        <v>1138</v>
      </c>
      <c r="K63" s="678"/>
      <c r="L63" s="679"/>
      <c r="M63" s="680"/>
      <c r="N63" s="680"/>
      <c r="O63" s="399"/>
    </row>
    <row r="64" spans="2:15" ht="26.25" customHeight="1" x14ac:dyDescent="0.25">
      <c r="B64" s="777" t="e">
        <f ca="1">"Bằng chữ : "&amp;[3]!docsoUNI(TMDT)&amp;" đồng"</f>
        <v>#NAME?</v>
      </c>
      <c r="C64" s="560"/>
      <c r="D64" s="560"/>
      <c r="E64" s="560"/>
      <c r="F64" s="560"/>
      <c r="G64" s="560"/>
      <c r="H64" s="560"/>
      <c r="I64" s="560"/>
      <c r="J64" s="560"/>
    </row>
    <row r="65" spans="4:12" x14ac:dyDescent="0.25">
      <c r="D65" s="54" t="s">
        <v>311</v>
      </c>
      <c r="F65" s="150" t="s">
        <v>312</v>
      </c>
      <c r="L65" s="1111"/>
    </row>
    <row r="66" spans="4:12" x14ac:dyDescent="0.25">
      <c r="D66" s="66"/>
      <c r="F66" s="67"/>
    </row>
    <row r="67" spans="4:12" x14ac:dyDescent="0.25">
      <c r="D67" s="97" t="s">
        <v>313</v>
      </c>
      <c r="F67" s="151" t="s">
        <v>313</v>
      </c>
    </row>
    <row r="68" spans="4:12" x14ac:dyDescent="0.25">
      <c r="D68" s="66"/>
      <c r="F68" s="152" t="s">
        <v>314</v>
      </c>
    </row>
  </sheetData>
  <dataValidations xWindow="307" yWindow="415" count="21">
    <dataValidation allowBlank="1" showInputMessage="1" showErrorMessage="1" promptTitle="Ghi chú" prompt="Định mức quy định 0,2 là định mức tham khảo. Sau này người lập dự toán sẽ quyết định định mức tỷ lệ phù hợp với quy định hiện hành. " sqref="J44 L44"/>
    <dataValidation allowBlank="1" showInputMessage="1" showErrorMessage="1" promptTitle="Ghi chú" prompt="Tham khảo mục V.3 Quyết định 79/QĐ-BXD ngày15/2/2017. " sqref="E31 F13:F14 G13:I13 D13:E16 E26:E28 D26:D27 D21:I25 F26:I27 G15:I16"/>
    <dataValidation allowBlank="1" showInputMessage="1" showErrorMessage="1" promptTitle="Dự phòng do yếu tố khối lượng " prompt="Không vượt quá 5%._x000a__x000a_" sqref="D61 F61:K61"/>
    <dataValidation allowBlank="1" showInputMessage="1" showErrorMessage="1" promptTitle="Ghi chú" prompt="Nhập vào giá trị Tổng mức đầu tư đã duyệt để tính toán chi phí kiểm toán và chi phí thẩm tra phê duyệt quyết toán" sqref="I7"/>
    <dataValidation allowBlank="1" showInputMessage="1" showErrorMessage="1" promptTitle="Hướng dẫn cách tính" prompt="Theo Thông tư số 19/2011/TT-BTC (hoặc thông tư 33/2007/TT-BTC)  có ban hành biểu phí áp dụng tính chi phí kiểm toán _x000a_  = Định mức tỷ lệ * Tổng mức đầu tư được phê duyệt * (1+%VAT)" sqref="D46"/>
    <dataValidation allowBlank="1" showInputMessage="1" showErrorMessage="1" promptTitle="Hướng dẫn cách tính " prompt="Theo Thông tư số 210/2016/TT-BTC ngày 10/11/2016 của Bộ Tài Chính._x000a_Nội suy trên chi phí xây dựng chưa thuế. " sqref="D48:D49"/>
    <dataValidation allowBlank="1" showInputMessage="1" showErrorMessage="1" promptTitle="Hướng dẫn cách tính " prompt="Theo Thông tư 209/2016/TT-BTC ngày 10/11/2016. Lệ phí được tính trên tổng mức đã duyệt. Tối đa không quá 150.000.000 đồng/dự án." sqref="D47"/>
    <dataValidation allowBlank="1" showInputMessage="1" showErrorMessage="1" promptTitle="Mức tối đa" prompt="Tổng chi phí QLDA và CP Tư vấn không được vượt quá 15% chi phí xây dựng và chi phí thiết bị của dự án" sqref="M11:M12"/>
    <dataValidation allowBlank="1" showInputMessage="1" showErrorMessage="1" promptTitle="Hệ số nội suy" prompt="Hệ số này được nội suy từ thông tin cung cấp từ sheet Config của chương trình._x000a_Người dùng có thể thay đổi và quản lý các giá trị này. " sqref="K11 K13:K35 K52 K37 K46"/>
    <dataValidation allowBlank="1" showInputMessage="1" showErrorMessage="1" promptTitle="Dự phòng do yếu tố khối lượng " prompt="- Dự án lập báo cáo kinh tế - kỹ thuật : ≤5% _x000a_- Khác : ≤10%._x000a_" sqref="E61"/>
    <dataValidation allowBlank="1" showInputMessage="1" showErrorMessage="1" promptTitle="Ghi chú" prompt="Nhập 1: Nếu muốn bị trừ khi sum tổng_x000a_" sqref="N39:N40 N13:N37"/>
    <dataValidation allowBlank="1" showInputMessage="1" showErrorMessage="1" promptTitle="Ghi chú" prompt="Nhập 1: Nếu muốn bị trừ lại sau khi sum tổng" sqref="N38"/>
    <dataValidation allowBlank="1" showInputMessage="1" showErrorMessage="1" promptTitle="Cách tính" prompt="Quy định tại khoản 3, Điều 9, Nghị định 63/NĐ-CP_x000a_Chi phí thẩm định hồ sơ yêu cầu, hồ sơ mời thầu  được tính bằng 0,05% giá gói thầu, nhưng tối thiểu là 1.000 đồng, tối đa là 50.000 đồng. " sqref="L52 E52 K51:M51"/>
    <dataValidation allowBlank="1" showInputMessage="1" showErrorMessage="1" promptTitle="Cách tính" prompt="Quy định tại khoản 5, Điều 9, Nghị định 63/NĐ-CP_x000a_Chi phí thẩm định kết quả lựa chọn nhà thầu được tính bằng 0,05% giá gói thầu, nhưng tối thiểu là 1.000 đồng, tối đa là 50.000 đồng. " sqref="M52"/>
    <dataValidation allowBlank="1" showInputMessage="1" showErrorMessage="1" promptTitle="Cách tính" prompt="Quy định tại khoản 2, Điều 9, Nghị định 63/NĐ-CP_x000a_Chi phí thẩm định hồ sơ mời quan tâm, hồ sơ mời sơ tuyển được tính bằng 0,03% giá gói thầu, nhưng tối thiểu là 1.000 đồng, tối đa là 30.000 đồng. " sqref="K50:M50"/>
    <dataValidation allowBlank="1" showInputMessage="1" showErrorMessage="1" promptTitle="Cách tính" prompt="Quy định tại khoản 2, Điều 9, Nghị định 63/NĐ-CP_x000a_Chi phí thẩm định hồ sơ mời quan tâm, hồ sơ mời sơ tuyển được tính bằng 0,03% giá gói thầu, nhưng tối thiểu là 1 triệu đồng, tối đa là 30 triệu đồng" sqref="D50:E50"/>
    <dataValidation allowBlank="1" showInputMessage="1" showErrorMessage="1" promptTitle="Ghi chú" prompt="Nhập 1: Nếu muốn tham gia tính toán_x000a_Nhập 0: Nếu không muốn tham gia tính toán" sqref="N50:N52"/>
    <dataValidation allowBlank="1" showInputMessage="1" showErrorMessage="1" promptTitle="Cách tính" prompt="Quy định tại khoản 3, Điều 9, Nghị định 63/NĐ-CP_x000a_Chi phí thẩm định hồ sơ yêu cầu, hồ sơ mời thầu  được tính bằng 0,05% giá gói thầu, nhưng tối thiểu là 1 triệu đồng, tối đa là 50 triệu đồng " sqref="D51:E51"/>
    <dataValidation allowBlank="1" showInputMessage="1" showErrorMessage="1" promptTitle="Ghi chú" prompt="Thực hiện theo hướng dẫn tại thông tư 329/2016/TT-BTC ngày 26/12/2016 của Bộ Tài Chính. " sqref="D44:I44"/>
    <dataValidation allowBlank="1" showInputMessage="1" showErrorMessage="1" promptTitle="Ghi chú" prompt="Thực hiện theo hướng dẫn tại thông tư 329/2016/TT-BTC ngày 26/12/2016 của Bộ Tài Chính, người dùng tính ra định mức tỷ lệ phù hợp và điền giá trị vào ô màu vàng. " sqref="K44"/>
    <dataValidation allowBlank="1" showInputMessage="1" showErrorMessage="1" promptTitle="Ghi chú" prompt="Chi phí này thông thường được lập bằng dự toán chi tiết. Sau khi người dùng lập và link kết quả tính toán vào đây. " sqref="D43:K43"/>
  </dataValidations>
  <hyperlinks>
    <hyperlink ref="F9" location="TH_CPXD!E8" display="Bảng tổng hợp CPXD"/>
    <hyperlink ref="F10" location="TH_CPTB!E8" display="Bảng tổng hợp CPTB"/>
    <hyperlink ref="F56" location="'CP HMC'!G14" display="'CP HMC'!G14"/>
    <hyperlink ref="F62" location="DP2B!H47" display="Xem bảng tính"/>
  </hyperlinks>
  <pageMargins left="0.55118110236220497" right="0.196850393700787" top="0.43307086614173201" bottom="0.59055118110236204" header="0.15748031496063" footer="0.23622047244094499"/>
  <pageSetup paperSize="9" scale="95" orientation="landscape" r:id="rId1"/>
  <headerFooter alignWithMargins="0">
    <oddHeader>&amp;L&amp;"Times New Roman,Bold Italic"&amp;9Dự toán Bắc Nam  - ÐT: 0966.966.455</oddHeader>
    <oddFooter>&amp;R&amp;9Trang &amp;P/&amp;N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88428" r:id="rId4" name="opt1">
              <controlPr defaultSize="0" print="0" autoFill="0" autoLine="0" autoPict="0" macro="'[4]so13-thu-vien.xls'!Update_TongMDT_TDT">
                <anchor>
                  <from>
                    <xdr:col>0</xdr:col>
                    <xdr:colOff>266700</xdr:colOff>
                    <xdr:row>5</xdr:row>
                    <xdr:rowOff>238125</xdr:rowOff>
                  </from>
                  <to>
                    <xdr:col>0</xdr:col>
                    <xdr:colOff>3114675</xdr:colOff>
                    <xdr:row>6</xdr:row>
                    <xdr:rowOff>66675</xdr:rowOff>
                  </to>
                </anchor>
              </controlPr>
            </control>
          </mc:Choice>
        </mc:AlternateContent>
        <mc:AlternateContent xmlns:mc="http://schemas.openxmlformats.org/markup-compatibility/2006">
          <mc:Choice Requires="x14">
            <control shapeId="188429" r:id="rId5" name="Option Button 13">
              <controlPr defaultSize="0" print="0" autoFill="0" autoLine="0" autoPict="0" macro="'[4]so13-thu-vien.xls'!Update_TongMDT_TDT">
                <anchor>
                  <from>
                    <xdr:col>0</xdr:col>
                    <xdr:colOff>266700</xdr:colOff>
                    <xdr:row>6</xdr:row>
                    <xdr:rowOff>66675</xdr:rowOff>
                  </from>
                  <to>
                    <xdr:col>0</xdr:col>
                    <xdr:colOff>3400425</xdr:colOff>
                    <xdr:row>7</xdr:row>
                    <xdr:rowOff>66675</xdr:rowOff>
                  </to>
                </anchor>
              </controlPr>
            </control>
          </mc:Choice>
        </mc:AlternateContent>
        <mc:AlternateContent xmlns:mc="http://schemas.openxmlformats.org/markup-compatibility/2006">
          <mc:Choice Requires="x14">
            <control shapeId="188417" r:id="rId6" name="Group Box 1">
              <controlPr defaultSize="0" print="0" autoFill="0" autoPict="0">
                <anchor>
                  <from>
                    <xdr:col>0</xdr:col>
                    <xdr:colOff>28575</xdr:colOff>
                    <xdr:row>13</xdr:row>
                    <xdr:rowOff>95250</xdr:rowOff>
                  </from>
                  <to>
                    <xdr:col>0</xdr:col>
                    <xdr:colOff>3409950</xdr:colOff>
                    <xdr:row>60</xdr:row>
                    <xdr:rowOff>476250</xdr:rowOff>
                  </to>
                </anchor>
              </controlPr>
            </control>
          </mc:Choice>
        </mc:AlternateContent>
        <mc:AlternateContent xmlns:mc="http://schemas.openxmlformats.org/markup-compatibility/2006">
          <mc:Choice Requires="x14">
            <control shapeId="188418" r:id="rId7" name="Label 2">
              <controlPr defaultSize="0" print="0" autoFill="0" autoLine="0" autoPict="0">
                <anchor>
                  <from>
                    <xdr:col>0</xdr:col>
                    <xdr:colOff>76200</xdr:colOff>
                    <xdr:row>14</xdr:row>
                    <xdr:rowOff>114300</xdr:rowOff>
                  </from>
                  <to>
                    <xdr:col>0</xdr:col>
                    <xdr:colOff>914400</xdr:colOff>
                    <xdr:row>15</xdr:row>
                    <xdr:rowOff>85725</xdr:rowOff>
                  </to>
                </anchor>
              </controlPr>
            </control>
          </mc:Choice>
        </mc:AlternateContent>
        <mc:AlternateContent xmlns:mc="http://schemas.openxmlformats.org/markup-compatibility/2006">
          <mc:Choice Requires="x14">
            <control shapeId="188419" r:id="rId8" name="Dr_LCT">
              <controlPr defaultSize="0" print="0" autoLine="0" autoPict="0" macro="'[4]so13-thu-vien.xls'!Update_TongMDT_TDT">
                <anchor>
                  <from>
                    <xdr:col>0</xdr:col>
                    <xdr:colOff>1028700</xdr:colOff>
                    <xdr:row>14</xdr:row>
                    <xdr:rowOff>47625</xdr:rowOff>
                  </from>
                  <to>
                    <xdr:col>0</xdr:col>
                    <xdr:colOff>3362325</xdr:colOff>
                    <xdr:row>15</xdr:row>
                    <xdr:rowOff>85725</xdr:rowOff>
                  </to>
                </anchor>
              </controlPr>
            </control>
          </mc:Choice>
        </mc:AlternateContent>
        <mc:AlternateContent xmlns:mc="http://schemas.openxmlformats.org/markup-compatibility/2006">
          <mc:Choice Requires="x14">
            <control shapeId="188420" r:id="rId9" name="Label 4">
              <controlPr defaultSize="0" print="0" autoFill="0" autoLine="0" autoPict="0">
                <anchor>
                  <from>
                    <xdr:col>0</xdr:col>
                    <xdr:colOff>57150</xdr:colOff>
                    <xdr:row>15</xdr:row>
                    <xdr:rowOff>123825</xdr:rowOff>
                  </from>
                  <to>
                    <xdr:col>0</xdr:col>
                    <xdr:colOff>914400</xdr:colOff>
                    <xdr:row>33</xdr:row>
                    <xdr:rowOff>104775</xdr:rowOff>
                  </to>
                </anchor>
              </controlPr>
            </control>
          </mc:Choice>
        </mc:AlternateContent>
        <mc:AlternateContent xmlns:mc="http://schemas.openxmlformats.org/markup-compatibility/2006">
          <mc:Choice Requires="x14">
            <control shapeId="188421" r:id="rId10" name="Dr_CCT">
              <controlPr defaultSize="0" print="0" autoLine="0" autoPict="0" macro="'[4]so13-thu-vien.xls'!Update_TongMDT_TDT">
                <anchor>
                  <from>
                    <xdr:col>0</xdr:col>
                    <xdr:colOff>1028700</xdr:colOff>
                    <xdr:row>15</xdr:row>
                    <xdr:rowOff>104775</xdr:rowOff>
                  </from>
                  <to>
                    <xdr:col>0</xdr:col>
                    <xdr:colOff>3362325</xdr:colOff>
                    <xdr:row>33</xdr:row>
                    <xdr:rowOff>123825</xdr:rowOff>
                  </to>
                </anchor>
              </controlPr>
            </control>
          </mc:Choice>
        </mc:AlternateContent>
        <mc:AlternateContent xmlns:mc="http://schemas.openxmlformats.org/markup-compatibility/2006">
          <mc:Choice Requires="x14">
            <control shapeId="188422" r:id="rId11" name="Label 6">
              <controlPr defaultSize="0" print="0" autoFill="0" autoLine="0" autoPict="0">
                <anchor>
                  <from>
                    <xdr:col>0</xdr:col>
                    <xdr:colOff>47625</xdr:colOff>
                    <xdr:row>33</xdr:row>
                    <xdr:rowOff>171450</xdr:rowOff>
                  </from>
                  <to>
                    <xdr:col>0</xdr:col>
                    <xdr:colOff>914400</xdr:colOff>
                    <xdr:row>40</xdr:row>
                    <xdr:rowOff>161925</xdr:rowOff>
                  </to>
                </anchor>
              </controlPr>
            </control>
          </mc:Choice>
        </mc:AlternateContent>
        <mc:AlternateContent xmlns:mc="http://schemas.openxmlformats.org/markup-compatibility/2006">
          <mc:Choice Requires="x14">
            <control shapeId="188423" r:id="rId12" name="Dr_LTK">
              <controlPr defaultSize="0" print="0" autoLine="0" autoPict="0" macro="'[4]so13-thu-vien.xls'!Update_TongMDT_TDT">
                <anchor>
                  <from>
                    <xdr:col>0</xdr:col>
                    <xdr:colOff>1028700</xdr:colOff>
                    <xdr:row>33</xdr:row>
                    <xdr:rowOff>133350</xdr:rowOff>
                  </from>
                  <to>
                    <xdr:col>0</xdr:col>
                    <xdr:colOff>3362325</xdr:colOff>
                    <xdr:row>40</xdr:row>
                    <xdr:rowOff>142875</xdr:rowOff>
                  </to>
                </anchor>
              </controlPr>
            </control>
          </mc:Choice>
        </mc:AlternateContent>
        <mc:AlternateContent xmlns:mc="http://schemas.openxmlformats.org/markup-compatibility/2006">
          <mc:Choice Requires="x14">
            <control shapeId="188491" r:id="rId13" name="Group Box 75">
              <controlPr defaultSize="0" print="0" autoFill="0" autoPict="0">
                <anchor>
                  <from>
                    <xdr:col>0</xdr:col>
                    <xdr:colOff>38100</xdr:colOff>
                    <xdr:row>0</xdr:row>
                    <xdr:rowOff>66675</xdr:rowOff>
                  </from>
                  <to>
                    <xdr:col>0</xdr:col>
                    <xdr:colOff>3429000</xdr:colOff>
                    <xdr:row>12</xdr:row>
                    <xdr:rowOff>95250</xdr:rowOff>
                  </to>
                </anchor>
              </controlPr>
            </control>
          </mc:Choice>
        </mc:AlternateContent>
        <mc:AlternateContent xmlns:mc="http://schemas.openxmlformats.org/markup-compatibility/2006">
          <mc:Choice Requires="x14">
            <control shapeId="188492" r:id="rId14" name="Label 76">
              <controlPr defaultSize="0" print="0" autoFill="0" autoLine="0" autoPict="0">
                <anchor>
                  <from>
                    <xdr:col>0</xdr:col>
                    <xdr:colOff>95250</xdr:colOff>
                    <xdr:row>0</xdr:row>
                    <xdr:rowOff>247650</xdr:rowOff>
                  </from>
                  <to>
                    <xdr:col>0</xdr:col>
                    <xdr:colOff>3305175</xdr:colOff>
                    <xdr:row>1</xdr:row>
                    <xdr:rowOff>171450</xdr:rowOff>
                  </to>
                </anchor>
              </controlPr>
            </control>
          </mc:Choice>
        </mc:AlternateContent>
        <mc:AlternateContent xmlns:mc="http://schemas.openxmlformats.org/markup-compatibility/2006">
          <mc:Choice Requires="x14">
            <control shapeId="188493" r:id="rId15" name="Drop Down 77">
              <controlPr defaultSize="0" print="0" autoLine="0" autoPict="0" macro="'[4]so13-thu-vien.xls'!Update_TongMDT_TDT">
                <anchor>
                  <from>
                    <xdr:col>0</xdr:col>
                    <xdr:colOff>152400</xdr:colOff>
                    <xdr:row>1</xdr:row>
                    <xdr:rowOff>190500</xdr:rowOff>
                  </from>
                  <to>
                    <xdr:col>0</xdr:col>
                    <xdr:colOff>3314700</xdr:colOff>
                    <xdr:row>2</xdr:row>
                    <xdr:rowOff>190500</xdr:rowOff>
                  </to>
                </anchor>
              </controlPr>
            </control>
          </mc:Choice>
        </mc:AlternateContent>
        <mc:AlternateContent xmlns:mc="http://schemas.openxmlformats.org/markup-compatibility/2006">
          <mc:Choice Requires="x14">
            <control shapeId="188494" r:id="rId16" name="Label 78">
              <controlPr defaultSize="0" print="0" autoFill="0" autoLine="0" autoPict="0">
                <anchor>
                  <from>
                    <xdr:col>0</xdr:col>
                    <xdr:colOff>76200</xdr:colOff>
                    <xdr:row>4</xdr:row>
                    <xdr:rowOff>19050</xdr:rowOff>
                  </from>
                  <to>
                    <xdr:col>0</xdr:col>
                    <xdr:colOff>3286125</xdr:colOff>
                    <xdr:row>5</xdr:row>
                    <xdr:rowOff>0</xdr:rowOff>
                  </to>
                </anchor>
              </controlPr>
            </control>
          </mc:Choice>
        </mc:AlternateContent>
        <mc:AlternateContent xmlns:mc="http://schemas.openxmlformats.org/markup-compatibility/2006">
          <mc:Choice Requires="x14">
            <control shapeId="188495" r:id="rId17" name="Drop Down 79">
              <controlPr defaultSize="0" print="0" autoLine="0" autoPict="0" macro="'[4]so13-thu-vien.xls'!Update_TongMDT_TDT">
                <anchor>
                  <from>
                    <xdr:col>0</xdr:col>
                    <xdr:colOff>133350</xdr:colOff>
                    <xdr:row>5</xdr:row>
                    <xdr:rowOff>19050</xdr:rowOff>
                  </from>
                  <to>
                    <xdr:col>0</xdr:col>
                    <xdr:colOff>3295650</xdr:colOff>
                    <xdr:row>5</xdr:row>
                    <xdr:rowOff>219075</xdr:rowOff>
                  </to>
                </anchor>
              </controlPr>
            </control>
          </mc:Choice>
        </mc:AlternateContent>
        <mc:AlternateContent xmlns:mc="http://schemas.openxmlformats.org/markup-compatibility/2006">
          <mc:Choice Requires="x14">
            <control shapeId="188496" r:id="rId18" name="Label 80">
              <controlPr defaultSize="0" print="0" autoFill="0" autoLine="0" autoPict="0">
                <anchor>
                  <from>
                    <xdr:col>0</xdr:col>
                    <xdr:colOff>66675</xdr:colOff>
                    <xdr:row>7</xdr:row>
                    <xdr:rowOff>133350</xdr:rowOff>
                  </from>
                  <to>
                    <xdr:col>0</xdr:col>
                    <xdr:colOff>3276600</xdr:colOff>
                    <xdr:row>8</xdr:row>
                    <xdr:rowOff>95250</xdr:rowOff>
                  </to>
                </anchor>
              </controlPr>
            </control>
          </mc:Choice>
        </mc:AlternateContent>
        <mc:AlternateContent xmlns:mc="http://schemas.openxmlformats.org/markup-compatibility/2006">
          <mc:Choice Requires="x14">
            <control shapeId="188497" r:id="rId19" name="Drop Down 81">
              <controlPr defaultSize="0" print="0" autoLine="0" autoPict="0" macro="'[4]so13-thu-vien.xls'!Update_TongMDT_TDT">
                <anchor>
                  <from>
                    <xdr:col>0</xdr:col>
                    <xdr:colOff>123825</xdr:colOff>
                    <xdr:row>8</xdr:row>
                    <xdr:rowOff>133350</xdr:rowOff>
                  </from>
                  <to>
                    <xdr:col>0</xdr:col>
                    <xdr:colOff>3286125</xdr:colOff>
                    <xdr:row>9</xdr:row>
                    <xdr:rowOff>152400</xdr:rowOff>
                  </to>
                </anchor>
              </controlPr>
            </control>
          </mc:Choice>
        </mc:AlternateContent>
        <mc:AlternateContent xmlns:mc="http://schemas.openxmlformats.org/markup-compatibility/2006">
          <mc:Choice Requires="x14">
            <control shapeId="188499" r:id="rId20" name="Label 83">
              <controlPr defaultSize="0" print="0" autoFill="0" autoLine="0" autoPict="0">
                <anchor>
                  <from>
                    <xdr:col>0</xdr:col>
                    <xdr:colOff>57150</xdr:colOff>
                    <xdr:row>10</xdr:row>
                    <xdr:rowOff>9525</xdr:rowOff>
                  </from>
                  <to>
                    <xdr:col>0</xdr:col>
                    <xdr:colOff>3267075</xdr:colOff>
                    <xdr:row>10</xdr:row>
                    <xdr:rowOff>190500</xdr:rowOff>
                  </to>
                </anchor>
              </controlPr>
            </control>
          </mc:Choice>
        </mc:AlternateContent>
        <mc:AlternateContent xmlns:mc="http://schemas.openxmlformats.org/markup-compatibility/2006">
          <mc:Choice Requires="x14">
            <control shapeId="188500" r:id="rId21" name="Drop Down 84">
              <controlPr defaultSize="0" print="0" autoLine="0" autoPict="0" macro="'[4]so13-thu-vien.xls'!Update_TongMDT_TDT">
                <anchor>
                  <from>
                    <xdr:col>0</xdr:col>
                    <xdr:colOff>114300</xdr:colOff>
                    <xdr:row>11</xdr:row>
                    <xdr:rowOff>9525</xdr:rowOff>
                  </from>
                  <to>
                    <xdr:col>0</xdr:col>
                    <xdr:colOff>3276600</xdr:colOff>
                    <xdr:row>12</xdr:row>
                    <xdr:rowOff>28575</xdr:rowOff>
                  </to>
                </anchor>
              </controlPr>
            </control>
          </mc:Choice>
        </mc:AlternateContent>
        <mc:AlternateContent xmlns:mc="http://schemas.openxmlformats.org/markup-compatibility/2006">
          <mc:Choice Requires="x14">
            <control shapeId="188501" r:id="rId22" name="Label 85">
              <controlPr defaultSize="0" print="0" autoFill="0" autoLine="0" autoPict="0">
                <anchor>
                  <from>
                    <xdr:col>0</xdr:col>
                    <xdr:colOff>85725</xdr:colOff>
                    <xdr:row>44</xdr:row>
                    <xdr:rowOff>76200</xdr:rowOff>
                  </from>
                  <to>
                    <xdr:col>0</xdr:col>
                    <xdr:colOff>3343275</xdr:colOff>
                    <xdr:row>61</xdr:row>
                    <xdr:rowOff>133350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TongDT">
    <tabColor rgb="FF00B050"/>
  </sheetPr>
  <dimension ref="A1:R67"/>
  <sheetViews>
    <sheetView showGridLines="0" showZeros="0" topLeftCell="D1" zoomScaleNormal="100" workbookViewId="0">
      <selection activeCell="H66" sqref="H66"/>
    </sheetView>
  </sheetViews>
  <sheetFormatPr defaultRowHeight="15.75" outlineLevelRow="2" outlineLevelCol="1" x14ac:dyDescent="0.25"/>
  <cols>
    <col min="1" max="1" width="52.28515625" style="1" customWidth="1"/>
    <col min="2" max="2" width="5" style="1" bestFit="1" customWidth="1"/>
    <col min="3" max="3" width="11" style="1" hidden="1" customWidth="1" outlineLevel="1"/>
    <col min="4" max="4" width="50.28515625" style="365" customWidth="1" collapsed="1"/>
    <col min="5" max="5" width="26.85546875" style="365" hidden="1" customWidth="1" outlineLevel="1"/>
    <col min="6" max="6" width="28.42578125" style="1" customWidth="1" collapsed="1"/>
    <col min="7" max="7" width="18.42578125" style="1" bestFit="1" customWidth="1"/>
    <col min="8" max="8" width="16.42578125" style="1" bestFit="1" customWidth="1"/>
    <col min="9" max="9" width="17.85546875" style="1" bestFit="1" customWidth="1"/>
    <col min="10" max="10" width="8.28515625" style="1" bestFit="1" customWidth="1"/>
    <col min="11" max="11" width="7.5703125" style="351" hidden="1" customWidth="1" outlineLevel="1"/>
    <col min="12" max="12" width="14.140625" style="351" hidden="1" customWidth="1" outlineLevel="1"/>
    <col min="13" max="13" width="14" style="351" hidden="1" customWidth="1" outlineLevel="1"/>
    <col min="14" max="14" width="12.140625" style="351" hidden="1" customWidth="1" outlineLevel="1"/>
    <col min="15" max="15" width="21.42578125" style="351" hidden="1" customWidth="1" outlineLevel="1" collapsed="1"/>
    <col min="16" max="16" width="18" style="351" hidden="1" customWidth="1" outlineLevel="1"/>
    <col min="17" max="17" width="10.42578125" style="351" hidden="1" customWidth="1" outlineLevel="1"/>
    <col min="18" max="18" width="15.42578125" style="1" bestFit="1" customWidth="1" collapsed="1"/>
    <col min="19" max="16384" width="9.140625" style="1"/>
  </cols>
  <sheetData>
    <row r="1" spans="2:18" s="350" customFormat="1" ht="20.25" x14ac:dyDescent="0.3">
      <c r="B1" s="349" t="s">
        <v>3350</v>
      </c>
      <c r="C1" s="349"/>
      <c r="D1" s="349"/>
      <c r="E1" s="349"/>
      <c r="F1" s="349"/>
      <c r="G1" s="349"/>
      <c r="H1" s="349"/>
      <c r="I1" s="349"/>
      <c r="J1" s="349"/>
      <c r="K1" s="348"/>
      <c r="L1" s="348"/>
      <c r="M1" s="348"/>
      <c r="N1" s="348"/>
      <c r="O1" s="348"/>
      <c r="P1" s="348"/>
      <c r="Q1" s="348"/>
    </row>
    <row r="2" spans="2:18" s="348" customFormat="1" x14ac:dyDescent="0.25">
      <c r="B2" s="245" t="str">
        <f>"CÔNG TRÌNH : "&amp;'Bia du toan'!$G$12</f>
        <v>CÔNG TRÌNH : TRƯỜNG CAO ĐẲNG LÝ TỰ TRỌNG</v>
      </c>
      <c r="C2" s="352"/>
      <c r="D2" s="352"/>
      <c r="E2" s="352"/>
      <c r="F2" s="352"/>
      <c r="G2" s="352"/>
      <c r="H2" s="352"/>
      <c r="I2" s="352"/>
      <c r="J2" s="352"/>
    </row>
    <row r="3" spans="2:18" s="348" customFormat="1" ht="17.25" customHeight="1" x14ac:dyDescent="0.25">
      <c r="B3" s="245" t="str">
        <f>"HẠNG MỤC : "&amp; 'Bia du toan'!$G$13</f>
        <v>HẠNG MỤC : CẢI TẠO THƯ VIỆN GIAI ĐOẠN 2 - NĂM 2019</v>
      </c>
      <c r="C3" s="352"/>
      <c r="D3" s="352"/>
      <c r="E3" s="352"/>
      <c r="F3" s="352"/>
      <c r="G3" s="352"/>
      <c r="H3" s="352"/>
      <c r="I3" s="352"/>
      <c r="J3" s="352"/>
      <c r="K3" s="351"/>
      <c r="P3" s="351"/>
      <c r="Q3" s="351"/>
    </row>
    <row r="4" spans="2:18" hidden="1" x14ac:dyDescent="0.25"/>
    <row r="5" spans="2:18" x14ac:dyDescent="0.25">
      <c r="G5" s="1524"/>
      <c r="H5" s="1186"/>
    </row>
    <row r="6" spans="2:18" s="350" customFormat="1" ht="31.5" x14ac:dyDescent="0.2">
      <c r="B6" s="382" t="s">
        <v>15</v>
      </c>
      <c r="C6" s="382" t="s">
        <v>335</v>
      </c>
      <c r="D6" s="1551" t="s">
        <v>666</v>
      </c>
      <c r="E6" s="389" t="s">
        <v>1118</v>
      </c>
      <c r="F6" s="367" t="s">
        <v>554</v>
      </c>
      <c r="G6" s="367" t="s">
        <v>1122</v>
      </c>
      <c r="H6" s="367" t="s">
        <v>1091</v>
      </c>
      <c r="I6" s="367" t="s">
        <v>1121</v>
      </c>
      <c r="J6" s="367" t="s">
        <v>667</v>
      </c>
      <c r="K6" s="354" t="s">
        <v>350</v>
      </c>
      <c r="L6" s="354" t="s">
        <v>142</v>
      </c>
      <c r="M6" s="354" t="s">
        <v>1120</v>
      </c>
      <c r="N6" s="354" t="s">
        <v>3702</v>
      </c>
      <c r="O6" s="354" t="s">
        <v>3112</v>
      </c>
      <c r="P6" s="354" t="s">
        <v>3845</v>
      </c>
      <c r="Q6" s="354" t="s">
        <v>3846</v>
      </c>
    </row>
    <row r="7" spans="2:18" s="350" customFormat="1" hidden="1" outlineLevel="1" x14ac:dyDescent="0.25">
      <c r="B7" s="1544"/>
      <c r="C7" s="1544"/>
      <c r="D7" s="1545" t="s">
        <v>3705</v>
      </c>
      <c r="E7" s="1546"/>
      <c r="F7" s="1547"/>
      <c r="H7" s="1547"/>
      <c r="I7" s="1548">
        <v>553526947</v>
      </c>
      <c r="J7" s="1547"/>
      <c r="K7" s="664"/>
      <c r="L7" s="1549"/>
      <c r="M7" s="1549"/>
      <c r="N7" s="1549"/>
      <c r="O7" s="1550"/>
      <c r="P7" s="664"/>
      <c r="Q7" s="664"/>
    </row>
    <row r="8" spans="2:18" ht="17.25" collapsed="1" x14ac:dyDescent="0.25">
      <c r="B8" s="362">
        <v>1</v>
      </c>
      <c r="C8" s="362" t="s">
        <v>468</v>
      </c>
      <c r="D8" s="1217" t="s">
        <v>678</v>
      </c>
      <c r="E8" s="366"/>
      <c r="F8" s="381" t="s">
        <v>1116</v>
      </c>
      <c r="G8" s="363">
        <f>TH_CPXD!$E$8</f>
        <v>383074470.00081599</v>
      </c>
      <c r="H8" s="363">
        <f>G8*10%</f>
        <v>38307447.000081599</v>
      </c>
      <c r="I8" s="363">
        <f>H8+G8</f>
        <v>421381917.00089759</v>
      </c>
      <c r="J8" s="362" t="s">
        <v>1063</v>
      </c>
      <c r="K8" s="665"/>
      <c r="L8" s="666"/>
      <c r="M8" s="667"/>
      <c r="N8" s="667"/>
      <c r="O8" s="398"/>
      <c r="P8" s="665"/>
      <c r="Q8" s="665"/>
    </row>
    <row r="9" spans="2:18" ht="17.25" x14ac:dyDescent="0.25">
      <c r="B9" s="362">
        <v>2</v>
      </c>
      <c r="C9" s="362" t="s">
        <v>478</v>
      </c>
      <c r="D9" s="1217" t="s">
        <v>1111</v>
      </c>
      <c r="E9" s="366"/>
      <c r="F9" s="381" t="s">
        <v>1117</v>
      </c>
      <c r="G9" s="363">
        <f>TH_CPTB!F14</f>
        <v>0</v>
      </c>
      <c r="H9" s="363">
        <f>TH_CPTB!G14</f>
        <v>0</v>
      </c>
      <c r="I9" s="363">
        <f>TH_CPTB!H14</f>
        <v>0</v>
      </c>
      <c r="J9" s="362" t="s">
        <v>1064</v>
      </c>
      <c r="K9" s="665"/>
      <c r="L9" s="666"/>
      <c r="M9" s="667"/>
      <c r="N9" s="667"/>
      <c r="O9" s="398"/>
      <c r="P9" s="665"/>
      <c r="Q9" s="665"/>
    </row>
    <row r="10" spans="2:18" ht="17.25" x14ac:dyDescent="0.25">
      <c r="B10" s="362">
        <v>3</v>
      </c>
      <c r="C10" s="362" t="s">
        <v>517</v>
      </c>
      <c r="D10" s="1217" t="s">
        <v>143</v>
      </c>
      <c r="E10" s="366" t="str">
        <f xml:space="preserve"> "(GXD+GTB)*"&amp;K10&amp;"%"</f>
        <v>(GXD+GTB)*3.282%</v>
      </c>
      <c r="F10" s="381" t="str">
        <f xml:space="preserve"> IF(L10&lt;&gt;0,IF(G10&lt;= L10,"Mức tối thiểu",IF(G10&gt;=M10,"Mức tối đa",E10)),E10)</f>
        <v>(GXD+GTB)*3.282%</v>
      </c>
      <c r="G10" s="363"/>
      <c r="H10" s="363">
        <f>G10*10%</f>
        <v>0</v>
      </c>
      <c r="I10" s="363">
        <f>H10+G10</f>
        <v>0</v>
      </c>
      <c r="J10" s="362" t="s">
        <v>1065</v>
      </c>
      <c r="K10" s="1552">
        <f>ROUND(NOISUY(Config!$C$118,i_LoaiCT,(GXD+GTB)/10^9),Config!$C$173)</f>
        <v>3.282</v>
      </c>
      <c r="L10" s="1190"/>
      <c r="M10" s="667"/>
      <c r="N10" s="667"/>
      <c r="O10" s="398" t="str">
        <f>CHOOSE(i_VB,Config!$B$100,Config!$B$101,Config!$B$102,Config!$B$103)</f>
        <v>QĐ 79/QĐ-BXD</v>
      </c>
      <c r="P10" s="1552" t="str">
        <f>Config!$C$118</f>
        <v>$O$39:$AA$44</v>
      </c>
      <c r="Q10" s="1552">
        <v>118</v>
      </c>
    </row>
    <row r="11" spans="2:18" ht="17.25" x14ac:dyDescent="0.25">
      <c r="B11" s="362">
        <v>4</v>
      </c>
      <c r="C11" s="362" t="s">
        <v>518</v>
      </c>
      <c r="D11" s="1217" t="s">
        <v>1112</v>
      </c>
      <c r="E11" s="366"/>
      <c r="F11" s="362" t="s">
        <v>4047</v>
      </c>
      <c r="G11" s="364">
        <f xml:space="preserve"> SUM(G12:G$39)-(G$14+G$15)</f>
        <v>42283836.889579847</v>
      </c>
      <c r="H11" s="364">
        <f xml:space="preserve"> SUM(H12:H$39)-(H$14+H$15)</f>
        <v>4228383.6889579846</v>
      </c>
      <c r="I11" s="364">
        <f xml:space="preserve"> SUM(I12:I$39)-(I$14+I$15)</f>
        <v>46512220.578537829</v>
      </c>
      <c r="J11" s="362" t="s">
        <v>1066</v>
      </c>
      <c r="K11" s="665"/>
      <c r="L11" s="666"/>
      <c r="M11" s="667"/>
      <c r="N11" s="667"/>
      <c r="O11" s="398"/>
      <c r="P11" s="665"/>
      <c r="Q11" s="665"/>
    </row>
    <row r="12" spans="2:18" s="1202" customFormat="1" outlineLevel="1" x14ac:dyDescent="0.25">
      <c r="B12" s="1195">
        <v>1</v>
      </c>
      <c r="C12" s="1195" t="s">
        <v>519</v>
      </c>
      <c r="D12" s="1554" t="str">
        <f>IF(i_BTK=1,"Chi phí lập báo cáo kinh tế kỹ thuật","")</f>
        <v>Chi phí lập báo cáo kinh tế kỹ thuật</v>
      </c>
      <c r="E12" s="1555" t="str">
        <f>IF(i_BTK=1,"(GXD+GTB)*"&amp;K12&amp;"%","")</f>
        <v>(GXD+GTB)*6.5%</v>
      </c>
      <c r="F12" s="1195" t="str">
        <f t="shared" ref="F12:F32" si="0" xml:space="preserve"> IF(L12&lt;&gt;0,IF(G12&lt;= L12,"Mức tối thiểu",IF(M12&gt;0,IF(G12&gt;=M12,"Mức tối đa",E12),E12)),E12)</f>
        <v>(GXD+GTB)*6.5%</v>
      </c>
      <c r="G12" s="1556">
        <f xml:space="preserve"> IF(i_BTK=1,IF((GXD+GTB)*K12%&lt;L12,L12,(GXD+GTB)*K12%),0)</f>
        <v>24899840.550053041</v>
      </c>
      <c r="H12" s="1556">
        <f>G12*10%</f>
        <v>2489984.055005304</v>
      </c>
      <c r="I12" s="1556">
        <f>H12+G12</f>
        <v>27389824.605058346</v>
      </c>
      <c r="J12" s="1195" t="s">
        <v>519</v>
      </c>
      <c r="K12" s="1557">
        <f>ROUND(NOISUY(Config!$C$120,i_LoaiCT,(GXD+GTB)/10^9),Config!$C$173)</f>
        <v>6.5</v>
      </c>
      <c r="L12" s="1558">
        <f>CHOOSE(i_VB,5*10^6,10^7,10^7,10^7)</f>
        <v>5000000</v>
      </c>
      <c r="M12" s="1213"/>
      <c r="N12" s="1213"/>
      <c r="O12" s="1213" t="str">
        <f>CHOOSE(i_VB,Config!$B$100,Config!$B$101,Config!$B$102,Config!$B$103)</f>
        <v>QĐ 79/QĐ-BXD</v>
      </c>
      <c r="P12" s="1557" t="str">
        <f>Config!$C$120</f>
        <v>$O$55:$S$60</v>
      </c>
      <c r="Q12" s="1557">
        <v>120</v>
      </c>
    </row>
    <row r="13" spans="2:18" s="1202" customFormat="1" outlineLevel="1" x14ac:dyDescent="0.25">
      <c r="B13" s="1191">
        <v>2</v>
      </c>
      <c r="C13" s="1191" t="s">
        <v>522</v>
      </c>
      <c r="D13" s="1218" t="str">
        <f>IF(i_VB=1,IF(i_BTK=1,"Chi phí thẩm tra báo cáo kinh tế kỹ thuật","Chi phí thẩm tra thiết kế + dự toán:"),"Chi phí thẩm tra thiết kế + dự toán:")</f>
        <v>Chi phí thẩm tra báo cáo kinh tế kỹ thuật</v>
      </c>
      <c r="E13" s="1193" t="str">
        <f>IF(i_BTK=1,""&amp;C14&amp;"+"&amp;C15&amp;"","")</f>
        <v>TV2.1+TV2.2</v>
      </c>
      <c r="F13" s="1191" t="str">
        <f t="shared" si="0"/>
        <v>TV2.1+TV2.2</v>
      </c>
      <c r="G13" s="1194">
        <f>SUM(G14:G15)</f>
        <v>4800000</v>
      </c>
      <c r="H13" s="1194">
        <f>SUM(H14:H15)</f>
        <v>480000</v>
      </c>
      <c r="I13" s="1194">
        <f>SUM(I14:I15)</f>
        <v>5280000</v>
      </c>
      <c r="J13" s="1191" t="s">
        <v>522</v>
      </c>
      <c r="K13" s="1196"/>
      <c r="L13" s="1200"/>
      <c r="M13" s="1201"/>
      <c r="N13" s="1201"/>
      <c r="O13" s="1213" t="str">
        <f>CHOOSE(i_VB,Config!$B$100,Config!$B$101,Config!$B$102,Config!$B$103)</f>
        <v>QĐ 79/QĐ-BXD</v>
      </c>
      <c r="P13" s="1196"/>
      <c r="Q13" s="1196"/>
    </row>
    <row r="14" spans="2:18" s="1202" customFormat="1" outlineLevel="1" x14ac:dyDescent="0.25">
      <c r="B14" s="1216" t="s">
        <v>3104</v>
      </c>
      <c r="C14" s="1216" t="s">
        <v>3708</v>
      </c>
      <c r="D14" s="1219" t="str">
        <f>IF(i_BTK=1,"- Chi phí thẩm tra thiết kế","")</f>
        <v>- Chi phí thẩm tra thiết kế</v>
      </c>
      <c r="E14" s="1193" t="str">
        <f>IF(i_VB=1,IF(i_BTK=1,"GXD*"&amp;K14&amp;"%*1,2",""),IF(i_BTK=1,"GXD*"&amp;K14&amp;"%",""))</f>
        <v>GXD*0.258%*1,2</v>
      </c>
      <c r="F14" s="1191" t="str">
        <f xml:space="preserve"> IF(L14&lt;&gt;0,IF(G14&lt;= IF(i_VB=1,1.2,1)*L14,"Mức tối thiểu",IF(M14&gt;0,IF(G14&gt;=M14,"Mức tối đa",E14),E14)),E14)</f>
        <v>Mức tối thiểu</v>
      </c>
      <c r="G14" s="1194">
        <f xml:space="preserve"> IF(i_BTK=1,IF(GXD*K14%&lt;L14,L14,GXD*K14%),0)*IF(i_VB=1,1.2,1)</f>
        <v>2400000</v>
      </c>
      <c r="H14" s="1194">
        <f t="shared" ref="H14:H39" si="1">G14*10%</f>
        <v>240000</v>
      </c>
      <c r="I14" s="1194">
        <f t="shared" ref="I14:I26" si="2">H14+G14</f>
        <v>2640000</v>
      </c>
      <c r="J14" s="1191" t="s">
        <v>523</v>
      </c>
      <c r="K14" s="1196">
        <f>ROUND(NOISUY(Config!$C$152,i_LoaiCT,(GXD)/10^9),Config!$C$173)</f>
        <v>0.25800000000000001</v>
      </c>
      <c r="L14" s="1200">
        <f>2000000</f>
        <v>2000000</v>
      </c>
      <c r="M14" s="1201"/>
      <c r="N14" s="1201">
        <v>1</v>
      </c>
      <c r="O14" s="1213" t="str">
        <f>CHOOSE(i_VB,Config!$B$100,Config!$B$101,Config!$B$102,Config!$B$103)</f>
        <v>QĐ 79/QĐ-BXD</v>
      </c>
      <c r="P14" s="1196" t="str">
        <f>Config!$C$152</f>
        <v>$O$328:$Z$333</v>
      </c>
      <c r="Q14" s="1196">
        <v>152</v>
      </c>
      <c r="R14" s="1590"/>
    </row>
    <row r="15" spans="2:18" s="1202" customFormat="1" outlineLevel="1" x14ac:dyDescent="0.25">
      <c r="B15" s="1216" t="s">
        <v>3841</v>
      </c>
      <c r="C15" s="1216" t="s">
        <v>3842</v>
      </c>
      <c r="D15" s="1219" t="str">
        <f>IF(i_BTK=1,"- Chi phí thẩm tra dự toán","")</f>
        <v>- Chi phí thẩm tra dự toán</v>
      </c>
      <c r="E15" s="1193" t="str">
        <f>IF(i_VB=1,IF(i_BTK=1,IF(GTB&gt;=(GXD+GTB)*25%,"GXD*"&amp;K15&amp;"%*1,2*1,2","GXD*"&amp;K15&amp;"%*1,2"),""),"GXD*"&amp;K15&amp;"%")</f>
        <v>GXD*0.25%*1,2</v>
      </c>
      <c r="F15" s="1191" t="str">
        <f xml:space="preserve"> IF(L15&lt;&gt;0,IF(G15&lt;= IF(i_VB=1,1.2,1)*L15,"Mức tối thiểu",IF(M15&gt;0,IF(G15&gt;=M15,"Mức tối đa",E15),E15)),E15)</f>
        <v>Mức tối thiểu</v>
      </c>
      <c r="G15" s="1194">
        <f xml:space="preserve"> IF(i_VB=1,IF(i_BTK=1,IF(GTB&gt;=(GXD+GTB)*25%,IF(GXD*K15%&lt;L15,L15,GXD*K15%)*1.2,IF(GXD*K15%&lt;L15,L15,GXD*K15%)),0)*1.2,IF(i_BTK=1,IF(GXD*K15%&lt;L15,L15,GXD*K15%),))</f>
        <v>2400000</v>
      </c>
      <c r="H15" s="1194">
        <f t="shared" si="1"/>
        <v>240000</v>
      </c>
      <c r="I15" s="1194">
        <f t="shared" si="2"/>
        <v>2640000</v>
      </c>
      <c r="J15" s="1191" t="s">
        <v>523</v>
      </c>
      <c r="K15" s="1196">
        <f>ROUND(NOISUY(Config!$C$153,i_LoaiCT,(GXD)/10^9),Config!$C$173)</f>
        <v>0.25</v>
      </c>
      <c r="L15" s="1200">
        <f>2000000</f>
        <v>2000000</v>
      </c>
      <c r="M15" s="1201"/>
      <c r="N15" s="1201">
        <v>1</v>
      </c>
      <c r="O15" s="1213" t="str">
        <f>CHOOSE(i_VB,Config!$B$100,Config!$B$101,Config!$B$102,Config!$B$103)</f>
        <v>QĐ 79/QĐ-BXD</v>
      </c>
      <c r="P15" s="1196" t="str">
        <f>Config!$C$153</f>
        <v>$O$336:$Z$341</v>
      </c>
      <c r="Q15" s="1196">
        <v>153</v>
      </c>
      <c r="R15" s="1590"/>
    </row>
    <row r="16" spans="2:18" s="1202" customFormat="1" hidden="1" outlineLevel="1" x14ac:dyDescent="0.25">
      <c r="B16" s="1191">
        <v>1</v>
      </c>
      <c r="C16" s="1191" t="s">
        <v>526</v>
      </c>
      <c r="D16" s="1218" t="str">
        <f>IF(i_BTK=3,IF(i_VB=1,"Chi phí lập báo cáo tiền khả thi","Chi phí thiết kế kỹ thuật"),"")</f>
        <v/>
      </c>
      <c r="E16" s="1193" t="str">
        <f xml:space="preserve"> IF(i_BTK=3,"(GXD+GTB)*"&amp;K16&amp;"%","")</f>
        <v/>
      </c>
      <c r="F16" s="1191" t="str">
        <f t="shared" si="0"/>
        <v/>
      </c>
      <c r="G16" s="1194">
        <f>IF(i_BTK=3,(GXD+GTB)*K16%,0)</f>
        <v>0</v>
      </c>
      <c r="H16" s="1194">
        <f t="shared" si="1"/>
        <v>0</v>
      </c>
      <c r="I16" s="1194">
        <f t="shared" si="2"/>
        <v>0</v>
      </c>
      <c r="J16" s="1191" t="s">
        <v>519</v>
      </c>
      <c r="K16" s="1196">
        <f>ROUND(NOISUY(Config!$C$125,i_LoaiCT,(GXD+GTB)/10^9),Config!$C$173)</f>
        <v>0.66800000000000004</v>
      </c>
      <c r="L16" s="1201"/>
      <c r="M16" s="1201"/>
      <c r="N16" s="1201"/>
      <c r="O16" s="1213" t="str">
        <f>CHOOSE(i_VB,Config!$B$100,Config!$B$101,Config!$B$102,Config!$B$103)</f>
        <v>QĐ 79/QĐ-BXD</v>
      </c>
      <c r="P16" s="1196" t="str">
        <f>Config!$C$125</f>
        <v>$O$518:$AA$523</v>
      </c>
      <c r="Q16" s="1196">
        <v>125</v>
      </c>
    </row>
    <row r="17" spans="2:17" s="1202" customFormat="1" hidden="1" outlineLevel="1" x14ac:dyDescent="0.25">
      <c r="B17" s="1191">
        <v>2</v>
      </c>
      <c r="C17" s="1191" t="s">
        <v>1127</v>
      </c>
      <c r="D17" s="1218" t="str">
        <f>IF(i_BTK=3,IF(i_VB=1,"Chi phí thẩm tra báo cáo nghiên cứu tiền khả thi","Chi phí thẩm tra thiết kế kỹ thuật"),"")</f>
        <v/>
      </c>
      <c r="E17" s="1193" t="str">
        <f xml:space="preserve"> IF(OR(i_BTK=2,i_BTK=3)=TRUE,"(GXD+GTB)*"&amp;K17&amp;"%","")</f>
        <v/>
      </c>
      <c r="F17" s="1191" t="str">
        <f t="shared" si="0"/>
        <v/>
      </c>
      <c r="G17" s="1194">
        <f>IF(i_BTK=3,(GXD+GTB)*K17%,0)</f>
        <v>0</v>
      </c>
      <c r="H17" s="1194">
        <f t="shared" si="1"/>
        <v>0</v>
      </c>
      <c r="I17" s="1194">
        <f t="shared" si="2"/>
        <v>0</v>
      </c>
      <c r="J17" s="1191" t="s">
        <v>522</v>
      </c>
      <c r="K17" s="1196">
        <f>ROUND(NOISUY(Config!$C$150,i_LoaiCT,(GXD+GTB)/10^9),Config!$C$173)</f>
        <v>7.0999999999999994E-2</v>
      </c>
      <c r="L17" s="1200"/>
      <c r="M17" s="1201"/>
      <c r="N17" s="1201"/>
      <c r="O17" s="1213" t="str">
        <f>CHOOSE(i_VB,Config!$B$100,Config!$B$101,Config!$B$102,Config!$B$103)</f>
        <v>QĐ 79/QĐ-BXD</v>
      </c>
      <c r="P17" s="1196" t="str">
        <f>Config!$C$150</f>
        <v>$O$539:$AA$544</v>
      </c>
      <c r="Q17" s="1196">
        <v>150</v>
      </c>
    </row>
    <row r="18" spans="2:17" s="1202" customFormat="1" hidden="1" outlineLevel="1" x14ac:dyDescent="0.25">
      <c r="B18" s="1191">
        <v>1</v>
      </c>
      <c r="C18" s="1191" t="s">
        <v>527</v>
      </c>
      <c r="D18" s="1218" t="str">
        <f>IF(OR(i_BTK=2,i_BTK=3)=TRUE,IF(i_VB=1,"Chi phí lập báo cáo khả thi","Chi phí lập dự án đầu tư"),"")</f>
        <v/>
      </c>
      <c r="E18" s="1193" t="str">
        <f xml:space="preserve"> IF(OR(i_BTK=2,i_BTK=3)=TRUE,"(GXD+GTB)*"&amp;K18&amp;"%","")</f>
        <v/>
      </c>
      <c r="F18" s="1191" t="str">
        <f t="shared" si="0"/>
        <v/>
      </c>
      <c r="G18" s="1194">
        <f>IF(OR(i_BTK=2,i_BTK=3)=TRUE,(GXD+GTB)*K18%,0)</f>
        <v>0</v>
      </c>
      <c r="H18" s="1194">
        <f t="shared" si="1"/>
        <v>0</v>
      </c>
      <c r="I18" s="1194">
        <f t="shared" si="2"/>
        <v>0</v>
      </c>
      <c r="J18" s="1191" t="s">
        <v>519</v>
      </c>
      <c r="K18" s="1196">
        <f>ROUND(NOISUY(Config!$C$122,i_LoaiCT,(GXD+GTB)/10^9),Config!$C$173)</f>
        <v>1.1140000000000001</v>
      </c>
      <c r="L18" s="1201"/>
      <c r="M18" s="1201"/>
      <c r="N18" s="1201"/>
      <c r="O18" s="1213" t="str">
        <f>CHOOSE(i_VB,Config!$B$100,Config!$B$101,Config!$B$102,Config!$B$103)</f>
        <v>QĐ 79/QĐ-BXD</v>
      </c>
      <c r="P18" s="1196" t="str">
        <f>Config!$C$122</f>
        <v>$O$529:$AA$534</v>
      </c>
      <c r="Q18" s="1196">
        <v>122</v>
      </c>
    </row>
    <row r="19" spans="2:17" s="1202" customFormat="1" hidden="1" outlineLevel="1" x14ac:dyDescent="0.25">
      <c r="B19" s="1191">
        <v>2</v>
      </c>
      <c r="C19" s="1191" t="s">
        <v>1127</v>
      </c>
      <c r="D19" s="1218" t="str">
        <f>IF(OR(i_BTK=2,i_BTK=3)=TRUE,IF(i_VB=1,"Chi phí thẩm tra báo cáo nghiên cứu khả thi","Chi phí thẩm tra tính hiệu quả và khả thi của dự án đầu tư"),"")</f>
        <v/>
      </c>
      <c r="E19" s="1193" t="str">
        <f xml:space="preserve"> IF(OR(i_BTK=2,i_BTK=3)=TRUE,"(GXD+GTB)*"&amp;K19&amp;"%","")</f>
        <v/>
      </c>
      <c r="F19" s="1191" t="str">
        <f t="shared" si="0"/>
        <v/>
      </c>
      <c r="G19" s="1194">
        <f>IF(OR(i_BTK=2,i_BTK=3)=TRUE,(GXD+GTB)*K19%,0)</f>
        <v>0</v>
      </c>
      <c r="H19" s="1194">
        <f t="shared" si="1"/>
        <v>0</v>
      </c>
      <c r="I19" s="1194">
        <f t="shared" si="2"/>
        <v>0</v>
      </c>
      <c r="J19" s="1191" t="s">
        <v>522</v>
      </c>
      <c r="K19" s="1196">
        <f>ROUND(NOISUY(Config!$C$151,i_LoaiCT,(GXD+GTB)/10^9),Config!$C$173)</f>
        <v>0.20399999999999999</v>
      </c>
      <c r="L19" s="1200"/>
      <c r="M19" s="1201"/>
      <c r="N19" s="1201"/>
      <c r="O19" s="1213" t="str">
        <f>CHOOSE(i_VB,Config!$B$100,Config!$B$101,Config!$B$102,Config!$B$103)</f>
        <v>QĐ 79/QĐ-BXD</v>
      </c>
      <c r="P19" s="1196" t="str">
        <f>Config!$C$151</f>
        <v>$O$549:$AA$554</v>
      </c>
      <c r="Q19" s="1196">
        <v>151</v>
      </c>
    </row>
    <row r="20" spans="2:17" s="1202" customFormat="1" hidden="1" outlineLevel="1" x14ac:dyDescent="0.25">
      <c r="B20" s="1191">
        <v>3</v>
      </c>
      <c r="C20" s="1191" t="s">
        <v>528</v>
      </c>
      <c r="D20" s="1219" t="str">
        <f>IF(i_BTK=2,"Chi phí thiết kế bản vẽ thi công","")</f>
        <v/>
      </c>
      <c r="E20" s="1193" t="str">
        <f>IF(i_BTK=2,"GXD*"&amp;K20&amp;"%","")</f>
        <v/>
      </c>
      <c r="F20" s="1191" t="str">
        <f t="shared" si="0"/>
        <v/>
      </c>
      <c r="G20" s="1194">
        <f xml:space="preserve"> IF(i_BTK=2,GXD*K20%,0)</f>
        <v>0</v>
      </c>
      <c r="H20" s="1194">
        <f t="shared" si="1"/>
        <v>0</v>
      </c>
      <c r="I20" s="1194">
        <f t="shared" si="2"/>
        <v>0</v>
      </c>
      <c r="J20" s="1191" t="s">
        <v>523</v>
      </c>
      <c r="K20" s="1196">
        <f>ROUND(NOISUY(Config!$C$123,(GXD)/10^9,i_CapCT-1),Config!$C$173)</f>
        <v>2.92</v>
      </c>
      <c r="L20" s="1200"/>
      <c r="M20" s="1201"/>
      <c r="N20" s="1201"/>
      <c r="O20" s="1213" t="str">
        <f>CHOOSE(i_VB,Config!$B$100,Config!$B$101,Config!$B$102,Config!$B$103)</f>
        <v>QĐ 79/QĐ-BXD</v>
      </c>
      <c r="P20" s="1196" t="str">
        <f>Config!$C$123</f>
        <v>$N$94:$S$105</v>
      </c>
      <c r="Q20" s="1196">
        <v>123</v>
      </c>
    </row>
    <row r="21" spans="2:17" s="1202" customFormat="1" hidden="1" outlineLevel="1" x14ac:dyDescent="0.25">
      <c r="B21" s="1191">
        <v>5</v>
      </c>
      <c r="C21" s="1191" t="s">
        <v>528</v>
      </c>
      <c r="D21" s="1219" t="str">
        <f>IF(i_VB=1,"",IF(i_BTK=3,"Chi phí thiết kế bản vẽ thi công",""))</f>
        <v/>
      </c>
      <c r="E21" s="1193" t="str">
        <f>IF(i_BTK=3,"GXD*"&amp;K21&amp;"%","")</f>
        <v/>
      </c>
      <c r="F21" s="1191" t="str">
        <f xml:space="preserve"> IF(L21&lt;&gt;0,IF(G21&lt;= L21,"Mức tối thiểu",IF(M21&gt;0,IF(G21&gt;=M21,"Mức tối đa",E21),E21)),E21)</f>
        <v/>
      </c>
      <c r="G21" s="1194">
        <f>IF(i_VB=1,0,IF(i_BTK=3,GXD*K21%,0))</f>
        <v>0</v>
      </c>
      <c r="H21" s="1194">
        <f>G21*10%</f>
        <v>0</v>
      </c>
      <c r="I21" s="1194">
        <f>H21+G21</f>
        <v>0</v>
      </c>
      <c r="J21" s="1191" t="s">
        <v>525</v>
      </c>
      <c r="K21" s="1196">
        <f>ROUND(NOISUY(Config!$C$129,(GXD)/10^9,i_CapCT-1),Config!$C$173)</f>
        <v>1.139</v>
      </c>
      <c r="L21" s="1200"/>
      <c r="M21" s="1201"/>
      <c r="N21" s="1201"/>
      <c r="O21" s="1213" t="str">
        <f>CHOOSE(i_VB,Config!$B$100,Config!$B$101,Config!$B$102,Config!$B$103)</f>
        <v>QĐ 79/QĐ-BXD</v>
      </c>
      <c r="P21" s="1196" t="str">
        <f>Config!$C$129</f>
        <v>$N$79:$S$90</v>
      </c>
      <c r="Q21" s="1196">
        <v>129</v>
      </c>
    </row>
    <row r="22" spans="2:17" s="1202" customFormat="1" hidden="1" outlineLevel="1" x14ac:dyDescent="0.25">
      <c r="B22" s="1191">
        <v>5</v>
      </c>
      <c r="C22" s="1191" t="s">
        <v>529</v>
      </c>
      <c r="D22" s="1219" t="str">
        <f>IF(i_BTK=3,"Chi phí thiết kế xây dựng:","")</f>
        <v/>
      </c>
      <c r="E22" s="1193" t="str">
        <f>IF(i_BTK=3, C23&amp;"+"&amp;C24,"")</f>
        <v/>
      </c>
      <c r="F22" s="1191" t="str">
        <f t="shared" si="0"/>
        <v/>
      </c>
      <c r="G22" s="1194">
        <f>G23+G24</f>
        <v>0</v>
      </c>
      <c r="H22" s="1194">
        <f t="shared" si="1"/>
        <v>0</v>
      </c>
      <c r="I22" s="1194">
        <f t="shared" si="2"/>
        <v>0</v>
      </c>
      <c r="J22" s="1191" t="s">
        <v>525</v>
      </c>
      <c r="K22" s="1196"/>
      <c r="L22" s="1200"/>
      <c r="M22" s="1201"/>
      <c r="N22" s="1201"/>
      <c r="O22" s="1213" t="str">
        <f>CHOOSE(i_VB,Config!$B$100,Config!$B$101,Config!$B$102,Config!$B$103)</f>
        <v>QĐ 79/QĐ-BXD</v>
      </c>
      <c r="P22" s="1196"/>
      <c r="Q22" s="1196"/>
    </row>
    <row r="23" spans="2:17" s="1202" customFormat="1" hidden="1" outlineLevel="1" x14ac:dyDescent="0.25">
      <c r="B23" s="1216" t="s">
        <v>1198</v>
      </c>
      <c r="C23" s="1191" t="s">
        <v>3793</v>
      </c>
      <c r="D23" s="1219" t="str">
        <f>IF(i_BTK=3,"+ Chi phí thiết kế kỹ thuật","")</f>
        <v/>
      </c>
      <c r="E23" s="1193" t="str">
        <f>IF(i_BTK=3,"GXD*"&amp;K23&amp;"%","")</f>
        <v/>
      </c>
      <c r="F23" s="1191" t="str">
        <f xml:space="preserve"> IF(L23&lt;&gt;0,IF(G23&lt;= L23,"Mức tối thiểu",IF(M23&gt;0,IF(G23&gt;=M23,"Mức tối đa",E23),E23)),E23)</f>
        <v/>
      </c>
      <c r="G23" s="1194">
        <f xml:space="preserve"> IF(i_VB=1,IF(i_BTK=3,GXD*K23%,0),)</f>
        <v>0</v>
      </c>
      <c r="H23" s="1194">
        <f t="shared" si="1"/>
        <v>0</v>
      </c>
      <c r="I23" s="1194">
        <f>H23+G23</f>
        <v>0</v>
      </c>
      <c r="J23" s="1191" t="s">
        <v>526</v>
      </c>
      <c r="K23" s="1196">
        <f>ROUND(NOISUY(Config!$C$128,GXD/10^9,i_CapCT-1),Config!$C$173)</f>
        <v>2.0699999999999998</v>
      </c>
      <c r="L23" s="1200"/>
      <c r="M23" s="1201"/>
      <c r="N23" s="1201">
        <v>1</v>
      </c>
      <c r="O23" s="1213" t="str">
        <f>CHOOSE(i_VB,Config!$B$100,Config!$B$101,Config!$B$102,Config!$B$103)</f>
        <v>QĐ 79/QĐ-BXD</v>
      </c>
      <c r="P23" s="1196" t="str">
        <f>Config!$C$128</f>
        <v>$N$64:$S$75</v>
      </c>
      <c r="Q23" s="1196">
        <v>128</v>
      </c>
    </row>
    <row r="24" spans="2:17" s="1202" customFormat="1" hidden="1" outlineLevel="1" x14ac:dyDescent="0.25">
      <c r="B24" s="1216" t="s">
        <v>1200</v>
      </c>
      <c r="C24" s="1191" t="s">
        <v>3794</v>
      </c>
      <c r="D24" s="1219" t="str">
        <f>IF(i_BTK=3,"+Chi phí thiết kế bản vẽ thi công","")</f>
        <v/>
      </c>
      <c r="E24" s="1193" t="str">
        <f>IF(i_BTK=3,"GXD*"&amp;K24&amp;"%","")</f>
        <v/>
      </c>
      <c r="F24" s="1191" t="str">
        <f xml:space="preserve"> IF(L24&lt;&gt;0,IF(G24&lt;= L24,"Mức tối thiểu",IF(M24&gt;0,IF(G24&gt;=M24,"Mức tối đa",E24),E24)),E24)</f>
        <v/>
      </c>
      <c r="G24" s="1194">
        <f>IF(i_VB=1,IF(i_BTK=3,GXD*K24%,0),)</f>
        <v>0</v>
      </c>
      <c r="H24" s="1194">
        <f t="shared" si="1"/>
        <v>0</v>
      </c>
      <c r="I24" s="1194">
        <f>H24+G24</f>
        <v>0</v>
      </c>
      <c r="J24" s="1191" t="s">
        <v>527</v>
      </c>
      <c r="K24" s="1196">
        <f>ROUND(NOISUY(Config!$C$129,GXD/10^9,i_CapCT-1),Config!$C$173)</f>
        <v>1.139</v>
      </c>
      <c r="L24" s="1200"/>
      <c r="M24" s="1201"/>
      <c r="N24" s="1201">
        <v>1</v>
      </c>
      <c r="O24" s="1213" t="str">
        <f>CHOOSE(i_VB,Config!$B$100,Config!$B$101,Config!$B$102,Config!$B$103)</f>
        <v>QĐ 79/QĐ-BXD</v>
      </c>
      <c r="P24" s="1196" t="str">
        <f>Config!$C$129</f>
        <v>$N$79:$S$90</v>
      </c>
      <c r="Q24" s="1196">
        <v>129</v>
      </c>
    </row>
    <row r="25" spans="2:17" s="1202" customFormat="1" hidden="1" outlineLevel="1" x14ac:dyDescent="0.25">
      <c r="B25" s="1191">
        <v>4</v>
      </c>
      <c r="C25" s="1191" t="s">
        <v>1129</v>
      </c>
      <c r="D25" s="1219" t="str">
        <f>IF(OR(i_BTK=3,i_BTK=2)=TRUE,"Chi phí thẩm tra thiết kế","")</f>
        <v/>
      </c>
      <c r="E25" s="1193" t="str">
        <f>IF(OR(i_BTK=3,i_BTK=2)=TRUE,"GXD*"&amp;K25&amp;"%","")</f>
        <v/>
      </c>
      <c r="F25" s="1191" t="str">
        <f t="shared" si="0"/>
        <v/>
      </c>
      <c r="G25" s="1194">
        <f xml:space="preserve"> IF(OR(i_BTK=3,i_BTK=2)=TRUE,GXD*K25%,)</f>
        <v>0</v>
      </c>
      <c r="H25" s="1194">
        <f t="shared" si="1"/>
        <v>0</v>
      </c>
      <c r="I25" s="1194">
        <f t="shared" si="2"/>
        <v>0</v>
      </c>
      <c r="J25" s="1191" t="s">
        <v>524</v>
      </c>
      <c r="K25" s="1196">
        <f>ROUND(NOISUY(Config!$C$152,i_LoaiCT,(GXD)/10^9),Config!$C$173)</f>
        <v>0.25800000000000001</v>
      </c>
      <c r="L25" s="1200"/>
      <c r="M25" s="1201"/>
      <c r="N25" s="1201"/>
      <c r="O25" s="1213" t="str">
        <f>CHOOSE(i_VB,Config!$B$100,Config!$B$101,Config!$B$102,Config!$B$103)</f>
        <v>QĐ 79/QĐ-BXD</v>
      </c>
      <c r="P25" s="1196" t="str">
        <f>Config!$C$152</f>
        <v>$O$328:$Z$333</v>
      </c>
      <c r="Q25" s="1196">
        <v>152</v>
      </c>
    </row>
    <row r="26" spans="2:17" s="1202" customFormat="1" hidden="1" outlineLevel="1" x14ac:dyDescent="0.25">
      <c r="B26" s="1191">
        <v>5</v>
      </c>
      <c r="C26" s="1191" t="s">
        <v>1130</v>
      </c>
      <c r="D26" s="1219" t="str">
        <f>IF(OR(i_BTK=3,i_BTK=2)=TRUE,"Chi phí thẩm tra dự toán","")</f>
        <v/>
      </c>
      <c r="E26" s="1193" t="str">
        <f>IF(OR(i_BTK=3,i_BTK=2)=TRUE,IF(GTB&gt;=(GTB+GXD)*25%,"GXD*"&amp;K26&amp;"%*1,2","GXD*"&amp;K26&amp;"%"),"")</f>
        <v/>
      </c>
      <c r="F26" s="1191" t="str">
        <f t="shared" si="0"/>
        <v/>
      </c>
      <c r="G26" s="1194">
        <f xml:space="preserve"> IF(OR(i_BTK=3,i_BTK=2)=TRUE,IF(GTB&gt;=(GTB+GXD)*25%,GXD*K26%*1.2,GXD*K26%),0)</f>
        <v>0</v>
      </c>
      <c r="H26" s="1194">
        <f t="shared" si="1"/>
        <v>0</v>
      </c>
      <c r="I26" s="1194">
        <f t="shared" si="2"/>
        <v>0</v>
      </c>
      <c r="J26" s="1191" t="s">
        <v>525</v>
      </c>
      <c r="K26" s="1196">
        <f>ROUND(NOISUY(Config!$C$153,i_LoaiCT,(GXD)/10^9),Config!$C$173)</f>
        <v>0.25</v>
      </c>
      <c r="L26" s="1200"/>
      <c r="M26" s="1201"/>
      <c r="N26" s="1201"/>
      <c r="O26" s="1213" t="str">
        <f>CHOOSE(i_VB,Config!$B$100,Config!$B$101,Config!$B$102,Config!$B$103)</f>
        <v>QĐ 79/QĐ-BXD</v>
      </c>
      <c r="P26" s="1196" t="str">
        <f>Config!$C$153</f>
        <v>$O$336:$Z$341</v>
      </c>
      <c r="Q26" s="1196">
        <v>153</v>
      </c>
    </row>
    <row r="27" spans="2:17" s="1202" customFormat="1" ht="31.5" hidden="1" outlineLevel="1" x14ac:dyDescent="0.25">
      <c r="B27" s="1191">
        <v>6</v>
      </c>
      <c r="C27" s="1191" t="s">
        <v>1131</v>
      </c>
      <c r="D27" s="1218" t="s">
        <v>492</v>
      </c>
      <c r="E27" s="1193" t="str">
        <f>C28&amp;"+"&amp;C29</f>
        <v>TV6.1+TV6.2</v>
      </c>
      <c r="F27" s="1191" t="str">
        <f t="shared" si="0"/>
        <v>TV6.1+TV6.2</v>
      </c>
      <c r="G27" s="1194">
        <f>SUM(G28:G29)</f>
        <v>0</v>
      </c>
      <c r="H27" s="1194">
        <f>SUM(H28:H29)</f>
        <v>0</v>
      </c>
      <c r="I27" s="1194">
        <f>SUM(I28:I29)</f>
        <v>0</v>
      </c>
      <c r="J27" s="1191" t="s">
        <v>526</v>
      </c>
      <c r="K27" s="1196">
        <f>ROUND(NOISUY(Config!$C$154,i_LoaiCT,(GXD)/10^9),Config!$C$173)</f>
        <v>0</v>
      </c>
      <c r="L27" s="1200"/>
      <c r="M27" s="1201"/>
      <c r="N27" s="1201"/>
      <c r="O27" s="1213" t="str">
        <f>CHOOSE(i_VB,Config!$B$100,Config!$B$101,Config!$B$102,Config!$B$103)</f>
        <v>QĐ 79/QĐ-BXD</v>
      </c>
      <c r="P27" s="1196">
        <f>Config!$C$154</f>
        <v>0</v>
      </c>
      <c r="Q27" s="1196">
        <v>154</v>
      </c>
    </row>
    <row r="28" spans="2:17" s="1202" customFormat="1" hidden="1" outlineLevel="2" x14ac:dyDescent="0.25">
      <c r="B28" s="1216" t="s">
        <v>3624</v>
      </c>
      <c r="C28" s="1216" t="s">
        <v>3843</v>
      </c>
      <c r="D28" s="1219" t="s">
        <v>3695</v>
      </c>
      <c r="E28" s="1193" t="str">
        <f xml:space="preserve"> "GXD*"&amp;K28&amp;"%"</f>
        <v>GXD*0%</v>
      </c>
      <c r="F28" s="1191" t="str">
        <f t="shared" si="0"/>
        <v>GXD*0%</v>
      </c>
      <c r="G28" s="1194">
        <f>IF(GXD*K28%&lt;= L28,L28,GXD*K28%)</f>
        <v>0</v>
      </c>
      <c r="H28" s="1194">
        <f t="shared" si="1"/>
        <v>0</v>
      </c>
      <c r="I28" s="1194">
        <f>H28+G28</f>
        <v>0</v>
      </c>
      <c r="J28" s="1191" t="s">
        <v>524</v>
      </c>
      <c r="K28" s="1196">
        <f>IF(GXD&lt;10^9,0,ROUND(NOISUY(Config!$C$155,i_LoaiCT,(GXD)/10^9),Config!$C$173))</f>
        <v>0</v>
      </c>
      <c r="L28" s="1200"/>
      <c r="M28" s="1201"/>
      <c r="N28" s="1559">
        <v>1</v>
      </c>
      <c r="O28" s="1213" t="str">
        <f>CHOOSE(i_VB,Config!$B$100,Config!$B$101,Config!$B$102,Config!$B$103)</f>
        <v>QĐ 79/QĐ-BXD</v>
      </c>
      <c r="P28" s="1196" t="str">
        <f>Config!$C$155</f>
        <v>$O$352:$W$357</v>
      </c>
      <c r="Q28" s="1196">
        <v>155</v>
      </c>
    </row>
    <row r="29" spans="2:17" s="1202" customFormat="1" hidden="1" outlineLevel="2" x14ac:dyDescent="0.25">
      <c r="B29" s="1216" t="s">
        <v>3625</v>
      </c>
      <c r="C29" s="1216" t="s">
        <v>3844</v>
      </c>
      <c r="D29" s="1219" t="s">
        <v>3696</v>
      </c>
      <c r="E29" s="1193" t="str">
        <f xml:space="preserve"> "GXD*"&amp;K29&amp;"%"</f>
        <v>GXD*0%</v>
      </c>
      <c r="F29" s="1191" t="str">
        <f t="shared" si="0"/>
        <v>GXD*0%</v>
      </c>
      <c r="G29" s="1194">
        <f>IF(GXD*K29%&lt;= L29,L29,GXD*K29%)</f>
        <v>0</v>
      </c>
      <c r="H29" s="1194">
        <f t="shared" si="1"/>
        <v>0</v>
      </c>
      <c r="I29" s="1194">
        <f>H29+G29</f>
        <v>0</v>
      </c>
      <c r="J29" s="1191" t="s">
        <v>524</v>
      </c>
      <c r="K29" s="1196">
        <f>IF(GXD&lt;10^9,0,ROUND(NOISUY(Config!$C$156,i_LoaiCT,(GXD)/10^9),Config!$C$173))</f>
        <v>0</v>
      </c>
      <c r="L29" s="1200"/>
      <c r="M29" s="1201"/>
      <c r="N29" s="1559">
        <v>1</v>
      </c>
      <c r="O29" s="1213" t="str">
        <f>CHOOSE(i_VB,Config!$B$100,Config!$B$101,Config!$B$102,Config!$B$103)</f>
        <v>QĐ 79/QĐ-BXD</v>
      </c>
      <c r="P29" s="1196" t="str">
        <f>Config!$C$156</f>
        <v>$O$360:$W$365</v>
      </c>
      <c r="Q29" s="1196">
        <v>156</v>
      </c>
    </row>
    <row r="30" spans="2:17" s="1202" customFormat="1" ht="31.5" hidden="1" outlineLevel="1" x14ac:dyDescent="0.25">
      <c r="B30" s="1191">
        <v>9</v>
      </c>
      <c r="C30" s="1191" t="s">
        <v>1135</v>
      </c>
      <c r="D30" s="1218" t="s">
        <v>3701</v>
      </c>
      <c r="E30" s="1193" t="str">
        <f>C31&amp;"+"&amp;C32</f>
        <v>TV9.1+TV9.2</v>
      </c>
      <c r="F30" s="1191" t="str">
        <f t="shared" si="0"/>
        <v>TV9.1+TV9.2</v>
      </c>
      <c r="G30" s="1194">
        <f>SUM(G31:G32)</f>
        <v>0</v>
      </c>
      <c r="H30" s="1194">
        <f>SUM(H31:H32)</f>
        <v>0</v>
      </c>
      <c r="I30" s="1194">
        <f>SUM(I31:I32)</f>
        <v>0</v>
      </c>
      <c r="J30" s="1191" t="s">
        <v>529</v>
      </c>
      <c r="K30" s="1196">
        <f>ROUND(NOISUY(Config!$C$157,i_LoaiCT,(GTB)/10^9),Config!$C$173)</f>
        <v>0</v>
      </c>
      <c r="L30" s="1200"/>
      <c r="M30" s="1201"/>
      <c r="N30" s="1201"/>
      <c r="O30" s="1213" t="str">
        <f>CHOOSE(i_VB,Config!$B$100,Config!$B$101,Config!$B$102,Config!$B$103)</f>
        <v>QĐ 79/QĐ-BXD</v>
      </c>
      <c r="P30" s="1196">
        <f>Config!$C$157</f>
        <v>0</v>
      </c>
      <c r="Q30" s="1196">
        <v>157</v>
      </c>
    </row>
    <row r="31" spans="2:17" s="1202" customFormat="1" hidden="1" outlineLevel="2" x14ac:dyDescent="0.25">
      <c r="B31" s="1216" t="s">
        <v>3795</v>
      </c>
      <c r="C31" s="1216" t="s">
        <v>3796</v>
      </c>
      <c r="D31" s="1219" t="s">
        <v>3695</v>
      </c>
      <c r="E31" s="1193" t="str">
        <f xml:space="preserve"> "GTB*"&amp;K31&amp;"%"</f>
        <v>GTB*0.165%</v>
      </c>
      <c r="F31" s="1191" t="str">
        <f t="shared" si="0"/>
        <v>GTB*0.165%</v>
      </c>
      <c r="G31" s="1194">
        <f>IF(GTB*K31%&lt;= L31,L31,GTB*K31%)</f>
        <v>0</v>
      </c>
      <c r="H31" s="1194">
        <f t="shared" si="1"/>
        <v>0</v>
      </c>
      <c r="I31" s="1194">
        <f t="shared" ref="I31:I39" si="3">H31+G31</f>
        <v>0</v>
      </c>
      <c r="J31" s="1191" t="s">
        <v>525</v>
      </c>
      <c r="K31" s="1196">
        <f>ROUND(NOISUY(Config!$C$158,i_LoaiCT,(GTB)/10^9),Config!$C$173)</f>
        <v>0.16500000000000001</v>
      </c>
      <c r="L31" s="1200"/>
      <c r="M31" s="1201"/>
      <c r="N31" s="1559">
        <v>1</v>
      </c>
      <c r="O31" s="1213" t="str">
        <f>CHOOSE(i_VB,Config!$B$100,Config!$B$101,Config!$B$102,Config!$B$103)</f>
        <v>QĐ 79/QĐ-BXD</v>
      </c>
      <c r="P31" s="1196" t="str">
        <f>Config!$C$158</f>
        <v>$O$376:$W$381</v>
      </c>
      <c r="Q31" s="1196">
        <v>158</v>
      </c>
    </row>
    <row r="32" spans="2:17" s="1202" customFormat="1" hidden="1" outlineLevel="2" x14ac:dyDescent="0.25">
      <c r="B32" s="1216" t="s">
        <v>3797</v>
      </c>
      <c r="C32" s="1216" t="s">
        <v>3798</v>
      </c>
      <c r="D32" s="1219" t="s">
        <v>3696</v>
      </c>
      <c r="E32" s="1193" t="str">
        <f xml:space="preserve"> "GTB*"&amp;K32&amp;"%"</f>
        <v>GTB*0.202%</v>
      </c>
      <c r="F32" s="1191" t="str">
        <f t="shared" si="0"/>
        <v>GTB*0.202%</v>
      </c>
      <c r="G32" s="1194">
        <f>IF(GTB*K32%&lt;= L32,L32,GTB*K32%)</f>
        <v>0</v>
      </c>
      <c r="H32" s="1194">
        <f t="shared" si="1"/>
        <v>0</v>
      </c>
      <c r="I32" s="1194">
        <f t="shared" si="3"/>
        <v>0</v>
      </c>
      <c r="J32" s="1191" t="s">
        <v>525</v>
      </c>
      <c r="K32" s="1196">
        <f>ROUND(NOISUY(Config!$C$159,i_LoaiCT,(GTB)/10^9),Config!$C$173)</f>
        <v>0.20200000000000001</v>
      </c>
      <c r="L32" s="1200"/>
      <c r="M32" s="1201"/>
      <c r="N32" s="1559">
        <v>1</v>
      </c>
      <c r="O32" s="1213" t="str">
        <f>CHOOSE(i_VB,Config!$B$100,Config!$B$101,Config!$B$102,Config!$B$103)</f>
        <v>QĐ 79/QĐ-BXD</v>
      </c>
      <c r="P32" s="1196" t="str">
        <f>Config!$C$159</f>
        <v>$O$384:$W$389</v>
      </c>
      <c r="Q32" s="1196">
        <v>159</v>
      </c>
    </row>
    <row r="33" spans="2:17" s="1202" customFormat="1" outlineLevel="1" collapsed="1" x14ac:dyDescent="0.25">
      <c r="B33" s="1191">
        <v>3</v>
      </c>
      <c r="C33" s="1191" t="s">
        <v>1136</v>
      </c>
      <c r="D33" s="1218" t="s">
        <v>145</v>
      </c>
      <c r="E33" s="1193" t="str">
        <f xml:space="preserve"> "GXD*"&amp;K33&amp;"%"</f>
        <v>GXD*3.285%</v>
      </c>
      <c r="F33" s="1191" t="str">
        <f xml:space="preserve"> IF(L33&lt;&gt;0,IF(G33&lt;= L33,"Mức tối thiểu",IF(M33&gt;0,IF(G33&gt;=M33,"Mức tối đa",E33),E33)),E33)</f>
        <v>GXD*3.285%</v>
      </c>
      <c r="G33" s="1203">
        <f xml:space="preserve"> IF(GXD*K33%&lt;= L33,L33,GXD*K33%)</f>
        <v>12583996.339526806</v>
      </c>
      <c r="H33" s="1203">
        <f t="shared" si="1"/>
        <v>1258399.6339526807</v>
      </c>
      <c r="I33" s="1203">
        <f t="shared" si="3"/>
        <v>13842395.973479487</v>
      </c>
      <c r="J33" s="1191" t="s">
        <v>523</v>
      </c>
      <c r="K33" s="1196">
        <f>ROUND(NOISUY(Config!$C$160,i_LoaiCT,(GXD)/10^9),Config!$C$173)</f>
        <v>3.2850000000000001</v>
      </c>
      <c r="L33" s="1204">
        <v>0</v>
      </c>
      <c r="M33" s="1205"/>
      <c r="N33" s="1201"/>
      <c r="O33" s="1213" t="str">
        <f>CHOOSE(i_VB,Config!$B$100,Config!$B$101,Config!$B$102,Config!$B$103)</f>
        <v>QĐ 79/QĐ-BXD</v>
      </c>
      <c r="P33" s="1196" t="str">
        <f>Config!$C$160</f>
        <v>$O$392:$Z$397</v>
      </c>
      <c r="Q33" s="1196">
        <v>160</v>
      </c>
    </row>
    <row r="34" spans="2:17" s="1202" customFormat="1" hidden="1" outlineLevel="1" x14ac:dyDescent="0.25">
      <c r="B34" s="1191">
        <v>11</v>
      </c>
      <c r="C34" s="1191" t="s">
        <v>1137</v>
      </c>
      <c r="D34" s="1218" t="s">
        <v>146</v>
      </c>
      <c r="E34" s="1193" t="str">
        <f xml:space="preserve"> "GTB*"&amp;K34&amp;"%"</f>
        <v>GTB*0.844%</v>
      </c>
      <c r="F34" s="1191" t="str">
        <f xml:space="preserve"> IF(L34&lt;&gt;0,IF(G34&lt;= L34,"Mức tối thiểu",IF(M34&gt;0,IF(G34&gt;=M34,"Mức tối đa",E34),E34)),E34)</f>
        <v>GTB*0.844%</v>
      </c>
      <c r="G34" s="1203">
        <f xml:space="preserve"> IF(GTB*K34%&lt;= L34,L34,GTB*K34%)</f>
        <v>0</v>
      </c>
      <c r="H34" s="1203">
        <f t="shared" si="1"/>
        <v>0</v>
      </c>
      <c r="I34" s="1203">
        <f t="shared" si="3"/>
        <v>0</v>
      </c>
      <c r="J34" s="1191" t="s">
        <v>708</v>
      </c>
      <c r="K34" s="1196">
        <f>ROUND(NOISUY(Config!$C$161,i_LoaiCT,(GTB)/10^9),Config!$C$173)</f>
        <v>0.84399999999999997</v>
      </c>
      <c r="L34" s="1204">
        <v>0</v>
      </c>
      <c r="M34" s="1205"/>
      <c r="N34" s="1201"/>
      <c r="O34" s="1213" t="str">
        <f>CHOOSE(i_VB,Config!$B$100,Config!$B$101,Config!$B$102,Config!$B$103)</f>
        <v>QĐ 79/QĐ-BXD</v>
      </c>
      <c r="P34" s="1196" t="str">
        <f>Config!$C$161</f>
        <v>$O$400:$Z$405</v>
      </c>
      <c r="Q34" s="1196">
        <v>161</v>
      </c>
    </row>
    <row r="35" spans="2:17" s="1202" customFormat="1" hidden="1" outlineLevel="1" x14ac:dyDescent="0.25">
      <c r="B35" s="1191"/>
      <c r="C35" s="1191" t="s">
        <v>3046</v>
      </c>
      <c r="D35" s="1218" t="s">
        <v>3047</v>
      </c>
      <c r="E35" s="1193"/>
      <c r="F35" s="1193" t="s">
        <v>3703</v>
      </c>
      <c r="G35" s="1203"/>
      <c r="H35" s="1203">
        <f t="shared" si="1"/>
        <v>0</v>
      </c>
      <c r="I35" s="1203">
        <f t="shared" si="3"/>
        <v>0</v>
      </c>
      <c r="J35" s="1191" t="s">
        <v>1128</v>
      </c>
      <c r="K35" s="1206"/>
      <c r="L35" s="1204"/>
      <c r="M35" s="1204"/>
      <c r="N35" s="1201"/>
      <c r="O35" s="1201"/>
      <c r="P35" s="1206"/>
      <c r="Q35" s="1206"/>
    </row>
    <row r="36" spans="2:17" s="1202" customFormat="1" hidden="1" outlineLevel="1" x14ac:dyDescent="0.25">
      <c r="B36" s="1191"/>
      <c r="C36" s="1191"/>
      <c r="D36" s="1218" t="s">
        <v>3759</v>
      </c>
      <c r="E36" s="1193" t="str">
        <f>J35&amp;"*"&amp;K36&amp;"%"</f>
        <v>TV15*3%</v>
      </c>
      <c r="F36" s="1191" t="str">
        <f xml:space="preserve"> IF(L36&lt;&gt;0,IF(G36&lt;= L36,"Mức tối thiểu",IF(M36&gt;0,IF(G36&gt;=M36,"Mức tối đa",E36),E36)),E36)</f>
        <v>TV15*3%</v>
      </c>
      <c r="G36" s="1203">
        <f>G35*K36%</f>
        <v>0</v>
      </c>
      <c r="H36" s="1203">
        <f>G36*10%</f>
        <v>0</v>
      </c>
      <c r="I36" s="1203">
        <f>H36+G36</f>
        <v>0</v>
      </c>
      <c r="J36" s="1191" t="s">
        <v>1129</v>
      </c>
      <c r="K36" s="1196">
        <v>3</v>
      </c>
      <c r="L36" s="1204"/>
      <c r="M36" s="1205"/>
      <c r="N36" s="1201"/>
      <c r="O36" s="1201"/>
      <c r="P36" s="1196">
        <v>3</v>
      </c>
      <c r="Q36" s="1196">
        <v>3</v>
      </c>
    </row>
    <row r="37" spans="2:17" s="1202" customFormat="1" hidden="1" outlineLevel="1" x14ac:dyDescent="0.25">
      <c r="B37" s="1191"/>
      <c r="C37" s="1191"/>
      <c r="D37" s="1192" t="s">
        <v>3754</v>
      </c>
      <c r="E37" s="1193" t="str">
        <f>J35&amp;"*"&amp;K37&amp;"%"</f>
        <v>TV15*0%</v>
      </c>
      <c r="F37" s="1191" t="str">
        <f xml:space="preserve"> IF(L37&lt;&gt;0,IF(G37&lt;= L37,"Mức tối thiểu",IF(M37&gt;0,IF(G37&gt;=M37,"Mức tối đa",E37),E37)),E37)</f>
        <v>TV15*0%</v>
      </c>
      <c r="G37" s="1203">
        <f>G35*K37%</f>
        <v>0</v>
      </c>
      <c r="H37" s="1203">
        <f t="shared" si="1"/>
        <v>0</v>
      </c>
      <c r="I37" s="1203">
        <f t="shared" si="3"/>
        <v>0</v>
      </c>
      <c r="J37" s="1191" t="s">
        <v>1130</v>
      </c>
      <c r="K37" s="1206">
        <f>ROUND(NOISUY(diachivung(Config!$O$564:$T$565),1,G35/10^9),Config!$C$173)</f>
        <v>0</v>
      </c>
      <c r="L37" s="1204"/>
      <c r="M37" s="1204"/>
      <c r="N37" s="1201"/>
      <c r="O37" s="1201"/>
      <c r="P37" s="1206">
        <f>NOISUY(diachivung(Config!$O$564:$T$565),1,L35/10^9)</f>
        <v>0</v>
      </c>
      <c r="Q37" s="1206">
        <f>NOISUY(diachivung(Config!$O$564:$T$565),1,M35/10^9)</f>
        <v>0</v>
      </c>
    </row>
    <row r="38" spans="2:17" s="1202" customFormat="1" hidden="1" outlineLevel="1" x14ac:dyDescent="0.25">
      <c r="B38" s="1191"/>
      <c r="C38" s="1193" t="s">
        <v>1129</v>
      </c>
      <c r="D38" s="1218" t="s">
        <v>1133</v>
      </c>
      <c r="E38" s="1193"/>
      <c r="F38" s="1191">
        <f t="shared" ref="F38:F51" si="4" xml:space="preserve"> IF(L38&lt;&gt;0,IF(G38&lt;= L38,"Mức tối thiểu",IF(M38&gt;0,IF(G38&gt;=M38,"Mức tối đa",E38),E38)),E38)</f>
        <v>0</v>
      </c>
      <c r="G38" s="1203"/>
      <c r="H38" s="1203">
        <f t="shared" si="1"/>
        <v>0</v>
      </c>
      <c r="I38" s="1203">
        <f t="shared" si="3"/>
        <v>0</v>
      </c>
      <c r="J38" s="1191" t="s">
        <v>1131</v>
      </c>
      <c r="K38" s="1206"/>
      <c r="L38" s="1204"/>
      <c r="M38" s="1204"/>
      <c r="N38" s="1201"/>
      <c r="O38" s="1201"/>
      <c r="P38" s="1206"/>
      <c r="Q38" s="1206"/>
    </row>
    <row r="39" spans="2:17" s="1202" customFormat="1" hidden="1" outlineLevel="1" x14ac:dyDescent="0.25">
      <c r="B39" s="1207"/>
      <c r="C39" s="1208" t="s">
        <v>1130</v>
      </c>
      <c r="D39" s="1220" t="s">
        <v>1134</v>
      </c>
      <c r="E39" s="1208"/>
      <c r="F39" s="1207">
        <f t="shared" si="4"/>
        <v>0</v>
      </c>
      <c r="G39" s="1209"/>
      <c r="H39" s="1209">
        <f t="shared" si="1"/>
        <v>0</v>
      </c>
      <c r="I39" s="1209">
        <f t="shared" si="3"/>
        <v>0</v>
      </c>
      <c r="J39" s="1191" t="s">
        <v>1132</v>
      </c>
      <c r="K39" s="1210"/>
      <c r="L39" s="1211"/>
      <c r="M39" s="1211"/>
      <c r="N39" s="1212"/>
      <c r="O39" s="1212"/>
      <c r="P39" s="1210"/>
      <c r="Q39" s="1210"/>
    </row>
    <row r="40" spans="2:17" ht="17.25" collapsed="1" x14ac:dyDescent="0.25">
      <c r="B40" s="362">
        <v>5</v>
      </c>
      <c r="C40" s="362" t="s">
        <v>520</v>
      </c>
      <c r="D40" s="1217" t="s">
        <v>675</v>
      </c>
      <c r="E40" s="366" t="s">
        <v>1139</v>
      </c>
      <c r="F40" s="362" t="s">
        <v>4048</v>
      </c>
      <c r="G40" s="364">
        <f xml:space="preserve"> SUM(G41:G$58)</f>
        <v>27627713.718458556</v>
      </c>
      <c r="H40" s="364">
        <f xml:space="preserve"> SUM(H41:H$58)</f>
        <v>2226403.7602028558</v>
      </c>
      <c r="I40" s="364">
        <f xml:space="preserve"> SUM(I41:I$58)</f>
        <v>29854117.478661414</v>
      </c>
      <c r="J40" s="362" t="s">
        <v>1067</v>
      </c>
      <c r="K40" s="665"/>
      <c r="L40" s="666"/>
      <c r="M40" s="667"/>
      <c r="N40" s="667"/>
      <c r="O40" s="398"/>
      <c r="P40" s="665"/>
      <c r="Q40" s="665"/>
    </row>
    <row r="41" spans="2:17" s="1202" customFormat="1" hidden="1" x14ac:dyDescent="0.25">
      <c r="B41" s="1584" t="s">
        <v>1198</v>
      </c>
      <c r="C41" s="1584"/>
      <c r="D41" s="1585" t="s">
        <v>1199</v>
      </c>
      <c r="E41" s="1586"/>
      <c r="F41" s="1214"/>
      <c r="G41" s="1215"/>
      <c r="H41" s="1587"/>
      <c r="I41" s="1587"/>
      <c r="J41" s="1584"/>
      <c r="K41" s="1588"/>
      <c r="L41" s="1589"/>
      <c r="M41" s="1588"/>
      <c r="N41" s="1588"/>
      <c r="O41" s="1588"/>
      <c r="P41" s="1588"/>
      <c r="Q41" s="1588"/>
    </row>
    <row r="42" spans="2:17" hidden="1" outlineLevel="2" x14ac:dyDescent="0.25">
      <c r="B42" s="368"/>
      <c r="C42" s="368" t="s">
        <v>530</v>
      </c>
      <c r="D42" s="1221" t="s">
        <v>1069</v>
      </c>
      <c r="E42" s="369"/>
      <c r="F42" s="368"/>
      <c r="G42" s="370">
        <f xml:space="preserve"> IF(GXD*K42%&lt;= L42,L42,GXD*K42%)</f>
        <v>0</v>
      </c>
      <c r="H42" s="388">
        <f>G42*10%</f>
        <v>0</v>
      </c>
      <c r="I42" s="388">
        <f>H42+G42</f>
        <v>0</v>
      </c>
      <c r="J42" s="368"/>
      <c r="K42" s="668"/>
      <c r="L42" s="676">
        <v>0</v>
      </c>
      <c r="M42" s="668"/>
      <c r="N42" s="669"/>
      <c r="O42" s="668"/>
      <c r="P42" s="668"/>
      <c r="Q42" s="668"/>
    </row>
    <row r="43" spans="2:17" hidden="1" outlineLevel="2" x14ac:dyDescent="0.25">
      <c r="B43" s="371">
        <v>1</v>
      </c>
      <c r="C43" s="371" t="s">
        <v>531</v>
      </c>
      <c r="D43" s="1222" t="s">
        <v>1113</v>
      </c>
      <c r="E43" s="373" t="str">
        <f xml:space="preserve"> "GXD*"&amp;K43&amp;"%"</f>
        <v>GXD*%</v>
      </c>
      <c r="F43" s="371" t="str">
        <f xml:space="preserve"> IF(L43&lt;&gt;0,IF(G43&lt;= L43,"Mức tối thiểu",IF(M43&gt;0,IF(G43&gt;=M43,"Mức tối đa",E43),E43)),E43)</f>
        <v>GXD*%</v>
      </c>
      <c r="G43" s="374">
        <f xml:space="preserve"> IF(GXD*K43%&lt;= L43,L43,GXD*K43%)</f>
        <v>0</v>
      </c>
      <c r="H43" s="375">
        <f>G43*10%</f>
        <v>0</v>
      </c>
      <c r="I43" s="375">
        <f t="shared" ref="I43:I51" si="5">H43+G43</f>
        <v>0</v>
      </c>
      <c r="J43" s="371" t="s">
        <v>530</v>
      </c>
      <c r="K43" s="1525"/>
      <c r="L43" s="670">
        <v>0</v>
      </c>
      <c r="M43" s="671"/>
      <c r="N43" s="672"/>
      <c r="O43" s="671"/>
      <c r="P43" s="1525"/>
      <c r="Q43" s="1525"/>
    </row>
    <row r="44" spans="2:17" outlineLevel="2" x14ac:dyDescent="0.25">
      <c r="B44" s="371">
        <v>1</v>
      </c>
      <c r="C44" s="371" t="s">
        <v>532</v>
      </c>
      <c r="D44" s="1560" t="s">
        <v>479</v>
      </c>
      <c r="E44" s="1561" t="str">
        <f xml:space="preserve"> "TMĐT*"&amp;K44&amp;"%"</f>
        <v>TMĐT*0.95%</v>
      </c>
      <c r="F44" s="371" t="str">
        <f t="shared" si="4"/>
        <v>TMĐT*0.95%</v>
      </c>
      <c r="G44" s="374">
        <f xml:space="preserve"> IF($I$7*K44%&lt;= L44,L44,$I$7*K44%)</f>
        <v>5258505.9964999994</v>
      </c>
      <c r="H44" s="374"/>
      <c r="I44" s="374">
        <f t="shared" si="5"/>
        <v>5258505.9964999994</v>
      </c>
      <c r="J44" s="371" t="s">
        <v>530</v>
      </c>
      <c r="K44" s="1562">
        <f xml:space="preserve"> ROUND(NOISUY(Config!$C$162,1,'Tong hop DT XDCT'!TMDT_Duyet/10^9),Config!$C$173)</f>
        <v>0.95</v>
      </c>
      <c r="L44" s="670"/>
      <c r="M44" s="671"/>
      <c r="N44" s="672"/>
      <c r="O44" s="671" t="str">
        <f>CHOOSE(i_KTQT,Config!$E$110,Config!$E$111,Config!$E$112)</f>
        <v>TT09/2016/TT-BTC</v>
      </c>
      <c r="P44" s="1562">
        <f xml:space="preserve"> ROUND(NOISUY(Config!$C$162,1,'Tong hop DT XDCT'!TMDT_Duyet/10^9),Config!$C$173)</f>
        <v>0.95</v>
      </c>
      <c r="Q44" s="1562">
        <f xml:space="preserve"> ROUND(NOISUY(Config!$C$162,1,'Tong hop DT XDCT'!TMDT_Duyet/10^9),Config!$C$173)</f>
        <v>0.95</v>
      </c>
    </row>
    <row r="45" spans="2:17" outlineLevel="2" x14ac:dyDescent="0.25">
      <c r="B45" s="371">
        <v>2</v>
      </c>
      <c r="C45" s="371" t="s">
        <v>533</v>
      </c>
      <c r="D45" s="1560" t="s">
        <v>480</v>
      </c>
      <c r="E45" s="1561" t="str">
        <f xml:space="preserve"> "TMĐT*"&amp;K45&amp;"%"</f>
        <v>TMĐT*1.6%</v>
      </c>
      <c r="F45" s="371" t="str">
        <f t="shared" si="4"/>
        <v>TMĐT*1.6%</v>
      </c>
      <c r="G45" s="374">
        <f xml:space="preserve"> IF($I$7*K45%&lt;= L45,L45,$I$7*K45%)</f>
        <v>8856431.1520000007</v>
      </c>
      <c r="H45" s="374">
        <f>G45*10%</f>
        <v>885643.11520000012</v>
      </c>
      <c r="I45" s="374">
        <f t="shared" si="5"/>
        <v>9742074.2672000006</v>
      </c>
      <c r="J45" s="371" t="s">
        <v>531</v>
      </c>
      <c r="K45" s="1562">
        <f xml:space="preserve"> ROUND(NOISUY(Config!$C$162,2,'Tong hop DT XDCT'!TMDT_Duyet/10^9),Config!$C$173)</f>
        <v>1.6</v>
      </c>
      <c r="L45" s="670"/>
      <c r="M45" s="671"/>
      <c r="N45" s="672"/>
      <c r="O45" s="671" t="str">
        <f>CHOOSE(i_KTQT,Config!$E$110,Config!$E$111,Config!$E$112)</f>
        <v>TT09/2016/TT-BTC</v>
      </c>
      <c r="P45" s="1562">
        <f xml:space="preserve"> ROUND(NOISUY(Config!$C$162,2,'Tong hop DT XDCT'!TMDT_Duyet/10^9),Config!$C$173)</f>
        <v>1.6</v>
      </c>
      <c r="Q45" s="1562">
        <f xml:space="preserve"> ROUND(NOISUY(Config!$C$162,2,'Tong hop DT XDCT'!TMDT_Duyet/10^9),Config!$C$173)</f>
        <v>1.6</v>
      </c>
    </row>
    <row r="46" spans="2:17" outlineLevel="2" x14ac:dyDescent="0.25">
      <c r="B46" s="371">
        <v>3</v>
      </c>
      <c r="C46" s="371" t="s">
        <v>702</v>
      </c>
      <c r="D46" s="1560" t="str">
        <f>IF(i_BTK=1,"Phí thẩm định Báo cáo kinh tế kỹ thuật","Phí thẩm định Dự án đầu tư")</f>
        <v>Phí thẩm định Báo cáo kinh tế kỹ thuật</v>
      </c>
      <c r="E46" s="1561" t="str">
        <f xml:space="preserve"> "TMĐT*"&amp;K46&amp;"%"</f>
        <v>TMĐT*0.019%</v>
      </c>
      <c r="F46" s="371" t="str">
        <f t="shared" si="4"/>
        <v>TMĐT*0.019%</v>
      </c>
      <c r="G46" s="374">
        <f xml:space="preserve"> IF($I$7*K46%&lt;= L46,L46,IF($I$7*K46%&gt;= M46,$M$46,$I$7*K46%))</f>
        <v>105170.11992999999</v>
      </c>
      <c r="H46" s="374"/>
      <c r="I46" s="374">
        <f t="shared" si="5"/>
        <v>105170.11992999999</v>
      </c>
      <c r="J46" s="371" t="s">
        <v>532</v>
      </c>
      <c r="K46" s="671">
        <f>ROUND(NOISUY(Config!$C$169,1,'Tong hop DT XDCT'!TMDT_Duyet/10^9),Config!$C$173)</f>
        <v>1.9E-2</v>
      </c>
      <c r="L46" s="670"/>
      <c r="M46" s="670">
        <v>150000000</v>
      </c>
      <c r="N46" s="672"/>
      <c r="O46" s="671" t="str">
        <f>CHOOSE(Config!$F$99,Config!$F$100,Config!$F$101)</f>
        <v>TT 209/2016/TT-BTC</v>
      </c>
      <c r="P46" s="671">
        <f>ROUND(NOISUY(Config!$C$169,1,'Tong hop DT XDCT'!TMDT_Duyet/10^9),Config!$C$173)</f>
        <v>1.9E-2</v>
      </c>
      <c r="Q46" s="671">
        <f>ROUND(NOISUY(Config!$C$169,1,'Tong hop DT XDCT'!TMDT_Duyet/10^9),Config!$C$173)</f>
        <v>1.9E-2</v>
      </c>
    </row>
    <row r="47" spans="2:17" hidden="1" outlineLevel="2" x14ac:dyDescent="0.25">
      <c r="B47" s="371">
        <v>4</v>
      </c>
      <c r="C47" s="371" t="s">
        <v>710</v>
      </c>
      <c r="D47" s="1560" t="s">
        <v>3752</v>
      </c>
      <c r="E47" s="1563" t="str">
        <f xml:space="preserve"> "GXD*"&amp;K47&amp;"%"</f>
        <v>GXD*0.165%</v>
      </c>
      <c r="F47" s="371" t="str">
        <f t="shared" si="4"/>
        <v>GXD*0.165%</v>
      </c>
      <c r="G47" s="374">
        <f xml:space="preserve"> IF(i_BTK=1,0,IF(GXD*K47%&lt;= L47,L47,GXD*K47%))</f>
        <v>0</v>
      </c>
      <c r="H47" s="374"/>
      <c r="I47" s="374">
        <f t="shared" si="5"/>
        <v>0</v>
      </c>
      <c r="J47" s="371" t="s">
        <v>533</v>
      </c>
      <c r="K47" s="1564">
        <f>ROUND(NOISUY(Config!$C$163,i_LoaiCT,GXD/10^9),Config!$C$173)</f>
        <v>0.16500000000000001</v>
      </c>
      <c r="L47" s="670"/>
      <c r="M47" s="671"/>
      <c r="N47" s="672"/>
      <c r="O47" s="671" t="str">
        <f>CHOOSE(Config!$E$99,Config!$E$100,Config!$E$101)</f>
        <v>TT 210/2016/TT-BTC</v>
      </c>
      <c r="P47" s="1564">
        <f>ROUND(NOISUY(Config!$C$163,i_LoaiCT,GXD/10^9),Config!$C$173)</f>
        <v>0.16500000000000001</v>
      </c>
      <c r="Q47" s="1564">
        <f>ROUND(NOISUY(Config!$C$163,i_LoaiCT,GXD/10^9),Config!$C$173)</f>
        <v>0.16500000000000001</v>
      </c>
    </row>
    <row r="48" spans="2:17" hidden="1" outlineLevel="2" x14ac:dyDescent="0.25">
      <c r="B48" s="371">
        <v>5</v>
      </c>
      <c r="C48" s="371" t="s">
        <v>1124</v>
      </c>
      <c r="D48" s="1560" t="s">
        <v>3753</v>
      </c>
      <c r="E48" s="1563" t="str">
        <f xml:space="preserve"> "GXD*"&amp;K48&amp;"%"</f>
        <v>GXD*0.16%</v>
      </c>
      <c r="F48" s="371" t="str">
        <f t="shared" si="4"/>
        <v>GXD*0.16%</v>
      </c>
      <c r="G48" s="374">
        <f xml:space="preserve"> IF(i_BTK=1,0,IF(GXD*K48%&lt;= L48,L48,GXD*K48%))</f>
        <v>0</v>
      </c>
      <c r="H48" s="374"/>
      <c r="I48" s="374">
        <f t="shared" si="5"/>
        <v>0</v>
      </c>
      <c r="J48" s="371" t="s">
        <v>702</v>
      </c>
      <c r="K48" s="1562">
        <f>ROUND(NOISUY(Config!$C$166,i_LoaiCT,GXD/10^9),Config!$C$173)</f>
        <v>0.16</v>
      </c>
      <c r="L48" s="670"/>
      <c r="M48" s="671"/>
      <c r="N48" s="672"/>
      <c r="O48" s="671" t="str">
        <f>CHOOSE(Config!$E$99,Config!$E$100,Config!$E$101)</f>
        <v>TT 210/2016/TT-BTC</v>
      </c>
      <c r="P48" s="1562">
        <f>ROUND(NOISUY(Config!$C$166,i_LoaiCT,GXD/10^9),Config!$C$173)</f>
        <v>0.16</v>
      </c>
      <c r="Q48" s="1562">
        <f>ROUND(NOISUY(Config!$C$166,i_LoaiCT,GXD/10^9),Config!$C$173)</f>
        <v>0.16</v>
      </c>
    </row>
    <row r="49" spans="1:17" s="1202" customFormat="1" ht="31.5" hidden="1" outlineLevel="1" x14ac:dyDescent="0.25">
      <c r="B49" s="1191">
        <v>6</v>
      </c>
      <c r="C49" s="1191" t="s">
        <v>3109</v>
      </c>
      <c r="D49" s="1192" t="s">
        <v>1125</v>
      </c>
      <c r="E49" s="1193" t="str">
        <f xml:space="preserve"> "GXD*"&amp;K49&amp;"%"</f>
        <v>GXD*0%</v>
      </c>
      <c r="F49" s="1191" t="str">
        <f xml:space="preserve"> IF(L49&lt;&gt;0,IF(G49&lt;= L49,"Mức tối thiểu",IF(M49&gt;0,IF(G49&gt;=M49,"Mức tối đa",E49),E49)),E49)</f>
        <v>GXD*0%</v>
      </c>
      <c r="G49" s="1194">
        <f xml:space="preserve"> IF((GXD+GTB+CP_HMC)*K49%&lt;= L49,L49,IF((GXD+GTB+CP_HMC)*K49%&gt;=M49,M49,GXD*K49%))</f>
        <v>0</v>
      </c>
      <c r="H49" s="1203">
        <f>G49*10%</f>
        <v>0</v>
      </c>
      <c r="I49" s="1203">
        <f t="shared" si="5"/>
        <v>0</v>
      </c>
      <c r="J49" s="1193" t="s">
        <v>3127</v>
      </c>
      <c r="K49" s="1206">
        <f>IF(GXD&lt;10^9,0,0.03)</f>
        <v>0</v>
      </c>
      <c r="L49" s="1204">
        <f>IF(GXD&lt;10^9,0,1000000)</f>
        <v>0</v>
      </c>
      <c r="M49" s="1204">
        <v>30000000</v>
      </c>
      <c r="N49" s="1201"/>
      <c r="O49" s="1201" t="s">
        <v>3758</v>
      </c>
      <c r="P49" s="1206">
        <f>IF(GXD&lt;10^9,0,0.03)</f>
        <v>0</v>
      </c>
      <c r="Q49" s="1206">
        <f>IF(GXD&lt;10^9,0,0.03)</f>
        <v>0</v>
      </c>
    </row>
    <row r="50" spans="1:17" hidden="1" outlineLevel="1" x14ac:dyDescent="0.25">
      <c r="B50" s="371">
        <v>7</v>
      </c>
      <c r="C50" s="371" t="s">
        <v>3110</v>
      </c>
      <c r="D50" s="372" t="s">
        <v>1126</v>
      </c>
      <c r="E50" s="373" t="str">
        <f xml:space="preserve"> "GXD*"&amp;K50&amp;"%"</f>
        <v>GXD*0%</v>
      </c>
      <c r="F50" s="371" t="str">
        <f t="shared" si="4"/>
        <v>GXD*0%</v>
      </c>
      <c r="G50" s="374">
        <f xml:space="preserve"> IF((GXD+GTB+CP_HMC)*K50%&lt;= L50,L50,IF((GXD+GTB+CP_HMC)*K50%&gt;=M50,M50,GXD*K50%))</f>
        <v>0</v>
      </c>
      <c r="H50" s="375">
        <f>G50*10%</f>
        <v>0</v>
      </c>
      <c r="I50" s="375">
        <f t="shared" si="5"/>
        <v>0</v>
      </c>
      <c r="J50" s="373" t="s">
        <v>710</v>
      </c>
      <c r="K50" s="1244">
        <f>IF(GXD&lt;10^9,0,0.05)</f>
        <v>0</v>
      </c>
      <c r="L50" s="1245">
        <f>IF(GXD&lt;10^9,0,1000000)</f>
        <v>0</v>
      </c>
      <c r="M50" s="1245">
        <v>50000000</v>
      </c>
      <c r="N50" s="672"/>
      <c r="O50" s="671" t="s">
        <v>3758</v>
      </c>
      <c r="P50" s="1244">
        <f>IF(GXD&lt;10^9,0,0.05)</f>
        <v>0</v>
      </c>
      <c r="Q50" s="1244">
        <f>IF(GXD&lt;10^9,0,0.05)</f>
        <v>0</v>
      </c>
    </row>
    <row r="51" spans="1:17" s="1202" customFormat="1" hidden="1" outlineLevel="1" x14ac:dyDescent="0.25">
      <c r="B51" s="1191">
        <v>8</v>
      </c>
      <c r="C51" s="1191" t="s">
        <v>3111</v>
      </c>
      <c r="D51" s="1192" t="s">
        <v>481</v>
      </c>
      <c r="E51" s="1193" t="str">
        <f xml:space="preserve"> "GXD*"&amp;K51&amp;"%"</f>
        <v>GXD*0%</v>
      </c>
      <c r="F51" s="1191" t="str">
        <f t="shared" si="4"/>
        <v>GXD*0%</v>
      </c>
      <c r="G51" s="1194">
        <f xml:space="preserve"> IF((GXD+GTB+CP_HMC)*K51%&lt;= L51,L51,IF((GXD+GTB+CP_HMC)*K51%&gt;=M51,M51,GXD*K51%))</f>
        <v>0</v>
      </c>
      <c r="H51" s="1203">
        <f>G51*10%</f>
        <v>0</v>
      </c>
      <c r="I51" s="1203">
        <f t="shared" si="5"/>
        <v>0</v>
      </c>
      <c r="J51" s="1193" t="s">
        <v>1124</v>
      </c>
      <c r="K51" s="1206">
        <f>IF(GXD&lt;10^9,0,0.05)</f>
        <v>0</v>
      </c>
      <c r="L51" s="1204">
        <f>IF(GXD&lt;10^9,0,1000000)</f>
        <v>0</v>
      </c>
      <c r="M51" s="1204">
        <v>50000000</v>
      </c>
      <c r="N51" s="1201"/>
      <c r="O51" s="1201" t="s">
        <v>3758</v>
      </c>
      <c r="P51" s="1206">
        <f>IF(GXD&lt;10^9,0,0.05)</f>
        <v>0</v>
      </c>
      <c r="Q51" s="1206">
        <f>IF(GXD&lt;10^9,0,0.05)</f>
        <v>0</v>
      </c>
    </row>
    <row r="52" spans="1:17" hidden="1" outlineLevel="1" x14ac:dyDescent="0.25">
      <c r="B52" s="371" t="s">
        <v>1200</v>
      </c>
      <c r="C52" s="371"/>
      <c r="D52" s="1222" t="s">
        <v>1201</v>
      </c>
      <c r="E52" s="373"/>
      <c r="F52" s="371"/>
      <c r="G52" s="374"/>
      <c r="H52" s="374"/>
      <c r="I52" s="374"/>
      <c r="J52" s="371"/>
      <c r="K52" s="671"/>
      <c r="L52" s="670"/>
      <c r="M52" s="671"/>
      <c r="N52" s="672"/>
      <c r="O52" s="671"/>
      <c r="P52" s="671"/>
      <c r="Q52" s="671"/>
    </row>
    <row r="53" spans="1:17" hidden="1" outlineLevel="2" x14ac:dyDescent="0.25">
      <c r="B53" s="371"/>
      <c r="C53" s="371"/>
      <c r="D53" s="1222" t="s">
        <v>1202</v>
      </c>
      <c r="E53" s="373"/>
      <c r="F53" s="371"/>
      <c r="G53" s="374"/>
      <c r="H53" s="374"/>
      <c r="I53" s="374"/>
      <c r="J53" s="371"/>
      <c r="K53" s="671"/>
      <c r="L53" s="670"/>
      <c r="M53" s="671"/>
      <c r="N53" s="672"/>
      <c r="O53" s="671"/>
      <c r="P53" s="671"/>
      <c r="Q53" s="671"/>
    </row>
    <row r="54" spans="1:17" hidden="1" outlineLevel="2" x14ac:dyDescent="0.25">
      <c r="B54" s="371"/>
      <c r="C54" s="371"/>
      <c r="D54" s="1222" t="s">
        <v>1203</v>
      </c>
      <c r="E54" s="373"/>
      <c r="F54" s="371"/>
      <c r="G54" s="374"/>
      <c r="H54" s="374"/>
      <c r="I54" s="374"/>
      <c r="J54" s="371"/>
      <c r="K54" s="671"/>
      <c r="L54" s="670"/>
      <c r="M54" s="671"/>
      <c r="N54" s="672"/>
      <c r="O54" s="671"/>
      <c r="P54" s="671"/>
      <c r="Q54" s="671"/>
    </row>
    <row r="55" spans="1:17" outlineLevel="1" collapsed="1" x14ac:dyDescent="0.25">
      <c r="B55" s="371">
        <v>4</v>
      </c>
      <c r="C55" s="371"/>
      <c r="D55" s="1222" t="s">
        <v>1068</v>
      </c>
      <c r="E55" s="373" t="s">
        <v>1123</v>
      </c>
      <c r="F55" s="371" t="str">
        <f xml:space="preserve"> IF(L55&lt;&gt;0,IF(G55&lt;= L55,"Mức tối thiểu",IF(G55&gt;=M55,"Mức tối đa",E55)),E55)</f>
        <v>Xem bảng tính</v>
      </c>
      <c r="G55" s="374">
        <f>'CP HMC'!E14</f>
        <v>13407606.450028559</v>
      </c>
      <c r="H55" s="374">
        <f>'CP HMC'!F14</f>
        <v>1340760.6450028559</v>
      </c>
      <c r="I55" s="374">
        <f>H55+G55</f>
        <v>14748367.095031414</v>
      </c>
      <c r="J55" s="371" t="s">
        <v>533</v>
      </c>
      <c r="K55" s="671"/>
      <c r="L55" s="670"/>
      <c r="M55" s="671"/>
      <c r="N55" s="672"/>
      <c r="O55" s="671"/>
      <c r="P55" s="671"/>
      <c r="Q55" s="671"/>
    </row>
    <row r="56" spans="1:17" hidden="1" outlineLevel="1" x14ac:dyDescent="0.25">
      <c r="B56" s="371" t="s">
        <v>1204</v>
      </c>
      <c r="C56" s="371"/>
      <c r="D56" s="1222" t="s">
        <v>1205</v>
      </c>
      <c r="E56" s="373"/>
      <c r="F56" s="371"/>
      <c r="G56" s="374"/>
      <c r="H56" s="374"/>
      <c r="I56" s="374"/>
      <c r="J56" s="371"/>
      <c r="K56" s="671"/>
      <c r="L56" s="670"/>
      <c r="M56" s="671"/>
      <c r="N56" s="672"/>
      <c r="O56" s="671"/>
      <c r="P56" s="671"/>
      <c r="Q56" s="671"/>
    </row>
    <row r="57" spans="1:17" hidden="1" outlineLevel="2" x14ac:dyDescent="0.25">
      <c r="B57" s="371"/>
      <c r="C57" s="371"/>
      <c r="D57" s="1222" t="s">
        <v>1202</v>
      </c>
      <c r="E57" s="373"/>
      <c r="F57" s="371"/>
      <c r="G57" s="374"/>
      <c r="H57" s="374"/>
      <c r="I57" s="374"/>
      <c r="J57" s="371"/>
      <c r="K57" s="671"/>
      <c r="L57" s="670"/>
      <c r="M57" s="671"/>
      <c r="N57" s="672"/>
      <c r="O57" s="671"/>
      <c r="P57" s="671"/>
      <c r="Q57" s="671"/>
    </row>
    <row r="58" spans="1:17" hidden="1" outlineLevel="2" x14ac:dyDescent="0.25">
      <c r="B58" s="376"/>
      <c r="C58" s="376"/>
      <c r="D58" s="1223" t="s">
        <v>1203</v>
      </c>
      <c r="E58" s="377"/>
      <c r="F58" s="376"/>
      <c r="G58" s="378"/>
      <c r="H58" s="378"/>
      <c r="I58" s="378"/>
      <c r="J58" s="376"/>
      <c r="K58" s="674"/>
      <c r="L58" s="675"/>
      <c r="M58" s="674"/>
      <c r="N58" s="673"/>
      <c r="O58" s="674"/>
      <c r="P58" s="674"/>
      <c r="Q58" s="674"/>
    </row>
    <row r="59" spans="1:17" ht="17.25" collapsed="1" x14ac:dyDescent="0.25">
      <c r="B59" s="362">
        <v>6</v>
      </c>
      <c r="C59" s="362" t="s">
        <v>521</v>
      </c>
      <c r="D59" s="1217" t="s">
        <v>1079</v>
      </c>
      <c r="E59" s="366" t="s">
        <v>1206</v>
      </c>
      <c r="F59" s="362" t="str">
        <f xml:space="preserve"> IF(L59&lt;&gt;0,IF(G59&lt;= L59,"Mức tối thiểu",IF(G59&gt;=M59,"Mức tối đa",E59)),E59)</f>
        <v>GDP1+GDP2</v>
      </c>
      <c r="G59" s="364">
        <f>SUM(G60:G61)</f>
        <v>0</v>
      </c>
      <c r="H59" s="364"/>
      <c r="I59" s="364">
        <f>H59+G59</f>
        <v>0</v>
      </c>
      <c r="J59" s="362" t="s">
        <v>1070</v>
      </c>
      <c r="K59" s="665"/>
      <c r="L59" s="666"/>
      <c r="M59" s="667"/>
      <c r="N59" s="667"/>
      <c r="O59" s="398"/>
      <c r="P59" s="665"/>
      <c r="Q59" s="665"/>
    </row>
    <row r="60" spans="1:17" ht="42.75" customHeight="1" x14ac:dyDescent="0.25">
      <c r="B60" s="368"/>
      <c r="C60" s="368" t="s">
        <v>1114</v>
      </c>
      <c r="D60" s="1221" t="s">
        <v>1090</v>
      </c>
      <c r="E60" s="368" t="str">
        <f xml:space="preserve"> "(GXD+GTB+GQLDA+GTV+GK)*"&amp;K60&amp;"%"</f>
        <v>(GXD+GTB+GQLDA+GTV+GK)*5%</v>
      </c>
      <c r="F60" s="368" t="str">
        <f xml:space="preserve"> IF(L60&lt;&gt;0,IF(G60&lt;= L60,"Mức tối thiểu",IF(M60&gt;0,IF(G60&gt;=M60,"Mức tối đa",E60),E60)),E60)</f>
        <v>(GXD+GTB+GQLDA+GTV+GK)*5%</v>
      </c>
      <c r="G60" s="388"/>
      <c r="H60" s="370"/>
      <c r="I60" s="370">
        <f>H60+G60</f>
        <v>0</v>
      </c>
      <c r="J60" s="379" t="s">
        <v>1071</v>
      </c>
      <c r="K60" s="833">
        <v>5</v>
      </c>
      <c r="L60" s="676"/>
      <c r="M60" s="668"/>
      <c r="N60" s="669"/>
      <c r="O60" s="668"/>
      <c r="P60" s="833">
        <v>5</v>
      </c>
      <c r="Q60" s="833">
        <v>5</v>
      </c>
    </row>
    <row r="61" spans="1:17" ht="17.25" x14ac:dyDescent="0.25">
      <c r="B61" s="376"/>
      <c r="C61" s="376" t="s">
        <v>1115</v>
      </c>
      <c r="D61" s="1223" t="s">
        <v>1072</v>
      </c>
      <c r="E61" s="377" t="s">
        <v>1123</v>
      </c>
      <c r="F61" s="371" t="s">
        <v>1123</v>
      </c>
      <c r="G61" s="378">
        <f>DP2B!H47</f>
        <v>0</v>
      </c>
      <c r="H61" s="378"/>
      <c r="I61" s="378">
        <f>H61+G61</f>
        <v>0</v>
      </c>
      <c r="J61" s="380" t="s">
        <v>1073</v>
      </c>
      <c r="K61" s="677">
        <f>IF(DP2B!E12&gt;0,G61/DP2B!E12,0)</f>
        <v>0</v>
      </c>
      <c r="L61" s="674"/>
      <c r="M61" s="674"/>
      <c r="N61" s="673"/>
      <c r="O61" s="674"/>
      <c r="P61" s="677">
        <f>IF(DP2B!J12&gt;0,L61/DP2B!J12,0)</f>
        <v>0</v>
      </c>
      <c r="Q61" s="677">
        <f>IF(DP2B!K12&gt;0,M61/DP2B!K12,0)</f>
        <v>0</v>
      </c>
    </row>
    <row r="62" spans="1:17" s="350" customFormat="1" ht="17.25" x14ac:dyDescent="0.25">
      <c r="B62" s="362">
        <v>7</v>
      </c>
      <c r="C62" s="362" t="s">
        <v>106</v>
      </c>
      <c r="D62" s="1217" t="s">
        <v>105</v>
      </c>
      <c r="E62" s="366"/>
      <c r="F62" s="362" t="s">
        <v>1119</v>
      </c>
      <c r="G62" s="364">
        <f>GXD+GTB+G10+G11+G40+G59</f>
        <v>452986020.60885435</v>
      </c>
      <c r="H62" s="364">
        <f>+H8+H9+H10+H11+H40+H59</f>
        <v>44762234.449242435</v>
      </c>
      <c r="I62" s="364">
        <f>I8+I9+I10+I11+I40+I59</f>
        <v>497748255.05809683</v>
      </c>
      <c r="J62" s="362" t="s">
        <v>1138</v>
      </c>
      <c r="K62" s="678"/>
      <c r="L62" s="679"/>
      <c r="M62" s="680"/>
      <c r="N62" s="680"/>
      <c r="O62" s="399"/>
      <c r="P62" s="678"/>
      <c r="Q62" s="678"/>
    </row>
    <row r="63" spans="1:17" ht="24" customHeight="1" x14ac:dyDescent="0.25">
      <c r="B63" s="777" t="e">
        <f ca="1">"Bằng chữ : "&amp;[3]!docsoUNI(TMDT)&amp;" đồng"</f>
        <v>#NAME?</v>
      </c>
      <c r="C63" s="560"/>
      <c r="D63" s="560"/>
      <c r="E63" s="560"/>
      <c r="F63" s="560"/>
      <c r="G63" s="560"/>
      <c r="H63" s="560"/>
      <c r="I63" s="560"/>
      <c r="J63" s="560"/>
    </row>
    <row r="64" spans="1:17" s="351" customFormat="1" x14ac:dyDescent="0.25">
      <c r="A64" s="1"/>
      <c r="B64" s="1"/>
      <c r="C64" s="1"/>
      <c r="D64" s="54"/>
      <c r="E64" s="365"/>
      <c r="G64" s="1"/>
      <c r="H64" s="150" t="s">
        <v>312</v>
      </c>
      <c r="I64" s="1"/>
      <c r="J64" s="1"/>
      <c r="L64" s="1111"/>
    </row>
    <row r="65" spans="1:10" s="351" customFormat="1" x14ac:dyDescent="0.25">
      <c r="A65" s="1"/>
      <c r="B65" s="1"/>
      <c r="C65" s="1"/>
      <c r="D65" s="66"/>
      <c r="E65" s="365"/>
      <c r="G65" s="1"/>
      <c r="H65" s="67"/>
      <c r="I65" s="1"/>
      <c r="J65" s="1"/>
    </row>
    <row r="66" spans="1:10" s="351" customFormat="1" x14ac:dyDescent="0.25">
      <c r="A66" s="1"/>
      <c r="B66" s="1"/>
      <c r="C66" s="1"/>
      <c r="D66" s="97"/>
      <c r="E66" s="365"/>
      <c r="G66" s="1"/>
      <c r="H66" s="151"/>
      <c r="I66" s="1"/>
      <c r="J66" s="1"/>
    </row>
    <row r="67" spans="1:10" s="351" customFormat="1" x14ac:dyDescent="0.25">
      <c r="A67" s="1"/>
      <c r="B67" s="1"/>
      <c r="C67" s="1"/>
      <c r="D67" s="66"/>
      <c r="E67" s="365"/>
      <c r="G67" s="1"/>
      <c r="H67" s="152" t="s">
        <v>314</v>
      </c>
      <c r="I67" s="1"/>
      <c r="J67" s="1"/>
    </row>
  </sheetData>
  <dataValidations disablePrompts="1" count="21">
    <dataValidation allowBlank="1" showInputMessage="1" showErrorMessage="1" promptTitle="Ghi chú" prompt="Chi phí này thông thường được lập bằng dự toán chi tiết. Sau khi người dùng lập và link kết quả tính toán vào đây. " sqref="D42:K42 P42:Q42"/>
    <dataValidation allowBlank="1" showInputMessage="1" showErrorMessage="1" promptTitle="Ghi chú" prompt="Thực hiện theo hướng dẫn tại thông tư 329/2016/TT-BTC ngày 26/12/2016 của Bộ Tài Chính, người dùng tính ra định mức tỷ lệ phù hợp và điền giá trị vào ô màu vàng. " sqref="K43 P43:Q43"/>
    <dataValidation allowBlank="1" showInputMessage="1" showErrorMessage="1" promptTitle="Ghi chú" prompt="Thực hiện theo hướng dẫn tại thông tư 329/2016/TT-BTC ngày 26/12/2016 của Bộ Tài Chính. " sqref="D43:I43"/>
    <dataValidation allowBlank="1" showInputMessage="1" showErrorMessage="1" promptTitle="Cách tính" prompt="Quy định tại khoản 3, Điều 9, Nghị định 63/NĐ-CP_x000a_Chi phí thẩm định hồ sơ yêu cầu, hồ sơ mời thầu  được tính bằng 0,05% giá gói thầu, nhưng tối thiểu là 1 triệu đồng, tối đa là 50 triệu đồng " sqref="D50:E50"/>
    <dataValidation allowBlank="1" showInputMessage="1" showErrorMessage="1" promptTitle="Ghi chú" prompt="Nhập 1: Nếu muốn tham gia tính toán_x000a_Nhập 0: Nếu không muốn tham gia tính toán" sqref="N49:N51"/>
    <dataValidation allowBlank="1" showInputMessage="1" showErrorMessage="1" promptTitle="Cách tính" prompt="Quy định tại khoản 2, Điều 9, Nghị định 63/NĐ-CP_x000a_Chi phí thẩm định hồ sơ mời quan tâm, hồ sơ mời sơ tuyển được tính bằng 0,03% giá gói thầu, nhưng tối thiểu là 1 triệu đồng, tối đa là 30 triệu đồng" sqref="D49:E49"/>
    <dataValidation allowBlank="1" showInputMessage="1" showErrorMessage="1" promptTitle="Cách tính" prompt="Quy định tại khoản 2, Điều 9, Nghị định 63/NĐ-CP_x000a_Chi phí thẩm định hồ sơ mời quan tâm, hồ sơ mời sơ tuyển được tính bằng 0,03% giá gói thầu, nhưng tối thiểu là 1.000 đồng, tối đa là 30.000 đồng. " sqref="K49:M49 P49:Q49"/>
    <dataValidation allowBlank="1" showInputMessage="1" showErrorMessage="1" promptTitle="Cách tính" prompt="Quy định tại khoản 5, Điều 9, Nghị định 63/NĐ-CP_x000a_Chi phí thẩm định kết quả lựa chọn nhà thầu được tính bằng 0,05% giá gói thầu, nhưng tối thiểu là 1.000 đồng, tối đa là 50.000 đồng. " sqref="M51"/>
    <dataValidation allowBlank="1" showInputMessage="1" showErrorMessage="1" promptTitle="Cách tính" prompt="Quy định tại khoản 3, Điều 9, Nghị định 63/NĐ-CP_x000a_Chi phí thẩm định hồ sơ yêu cầu, hồ sơ mời thầu  được tính bằng 0,05% giá gói thầu, nhưng tối thiểu là 1.000 đồng, tối đa là 50.000 đồng. " sqref="L51 E51 K50:M50 P50:Q50"/>
    <dataValidation allowBlank="1" showInputMessage="1" showErrorMessage="1" promptTitle="Ghi chú" prompt="Nhập 1: Nếu muốn bị trừ lại sau khi sum tổng" sqref="N37"/>
    <dataValidation allowBlank="1" showInputMessage="1" showErrorMessage="1" promptTitle="Ghi chú" prompt="Nhập 1: Nếu muốn bị trừ khi sum tổng_x000a_" sqref="N38:N39 N12:N36"/>
    <dataValidation allowBlank="1" showInputMessage="1" showErrorMessage="1" promptTitle="Dự phòng do yếu tố khối lượng " prompt="- Dự án lập báo cáo kinh tế - kỹ thuật : ≤5% _x000a_- Khác : ≤10%._x000a_" sqref="E60"/>
    <dataValidation allowBlank="1" showInputMessage="1" showErrorMessage="1" promptTitle="Hệ số nội suy" prompt="Hệ số này được nội suy từ thông tin cung cấp từ sheet Config của chương trình._x000a_Người dùng có thể thay đổi và quản lý các giá trị này. " sqref="K10 K45 K51 K36 P10:Q10 P45:Q45 P51:Q51 P36:Q36 P12:Q34 K12:K34"/>
    <dataValidation allowBlank="1" showInputMessage="1" showErrorMessage="1" promptTitle="Mức tối đa" prompt="Tổng chi phí QLDA và CP Tư vấn không được vượt quá 15% chi phí xây dựng và chi phí thiết bị của dự án" sqref="M10:M11"/>
    <dataValidation allowBlank="1" showInputMessage="1" showErrorMessage="1" promptTitle="Hướng dẫn cách tính " prompt="Theo Thông tư 209/2016/TT-BTC ngày 10/11/2016. Lệ phí được tính trên tổng mức đã duyệt. Tối đa không quá 150.000.000 đồng/dự án." sqref="D46"/>
    <dataValidation allowBlank="1" showInputMessage="1" showErrorMessage="1" promptTitle="Hướng dẫn cách tính " prompt="Theo Thông tư số 210/2016/TT-BTC ngày 10/11/2016 của Bộ Tài Chính._x000a_Nội suy trên chi phí xây dựng chưa thuế. " sqref="D47:D48"/>
    <dataValidation allowBlank="1" showInputMessage="1" showErrorMessage="1" promptTitle="Hướng dẫn cách tính" prompt="Theo Thông tư số 19/2011/TT-BTC (hoặc thông tư 33/2007/TT-BTC)  có ban hành biểu phí áp dụng tính chi phí kiểm toán _x000a_  = Định mức tỷ lệ * Tổng mức đầu tư được phê duyệt * (1+%VAT)" sqref="D45"/>
    <dataValidation allowBlank="1" showInputMessage="1" showErrorMessage="1" promptTitle="Ghi chú" prompt="Nhập vào giá trị Tổng mức đầu tư đã duyệt để tính toán chi phí kiểm toán và chi phí thẩm tra phê duyệt quyết toán" sqref="I7"/>
    <dataValidation allowBlank="1" showInputMessage="1" showErrorMessage="1" promptTitle="Dự phòng do yếu tố khối lượng " prompt="Không vượt quá 5%._x000a__x000a_" sqref="D60 F60:K60 P60:Q60"/>
    <dataValidation allowBlank="1" showInputMessage="1" showErrorMessage="1" promptTitle="Ghi chú" prompt="Tham khảo mục V.3 Quyết định 79/QĐ-BXD ngày15/2/2017. " sqref="E30 F12:F13 G12:I12 D12:E15 E25:E27 D25:D26 G14:I15 F25:I26 D20:I24"/>
    <dataValidation allowBlank="1" showInputMessage="1" showErrorMessage="1" promptTitle="Ghi chú" prompt="Định mức quy định 0,2 là định mức tham khảo. Sau này người lập dự toán sẽ quyết định định mức tỷ lệ phù hợp với quy định hiện hành. " sqref="J43 L43"/>
  </dataValidations>
  <hyperlinks>
    <hyperlink ref="F8" location="TH_CPXD!E8" display="Bảng tổng hợp CPXD"/>
    <hyperlink ref="F9" location="TH_CPTB!E8" display="Bảng tổng hợp CPTB"/>
    <hyperlink ref="F55" location="'CP HMC'!G14" display="'CP HMC'!G14"/>
    <hyperlink ref="F61" location="DP2B!H47" display="Xem bảng tính"/>
  </hyperlinks>
  <pageMargins left="0.55118110236220497" right="0.196850393700787" top="0.43307086614173201" bottom="0.59055118110236204" header="0.15748031496063" footer="0.23622047244094499"/>
  <pageSetup paperSize="9" scale="95" orientation="landscape" r:id="rId1"/>
  <headerFooter alignWithMargins="0">
    <oddHeader>&amp;L&amp;"Times New Roman,Bold Italic"&amp;9Dự toán Bắc Nam  - ÐT: 0966.966.455</oddHeader>
    <oddFooter>&amp;R&amp;9Trang &amp;P/&amp;N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73409" r:id="rId4" name="opt1">
              <controlPr defaultSize="0" print="0" autoFill="0" autoLine="0" autoPict="0" macro="'[4]so13-thu-vien.xls'!Update_TongMDT_TDT">
                <anchor>
                  <from>
                    <xdr:col>0</xdr:col>
                    <xdr:colOff>266700</xdr:colOff>
                    <xdr:row>7</xdr:row>
                    <xdr:rowOff>19050</xdr:rowOff>
                  </from>
                  <to>
                    <xdr:col>0</xdr:col>
                    <xdr:colOff>3114675</xdr:colOff>
                    <xdr:row>8</xdr:row>
                    <xdr:rowOff>28575</xdr:rowOff>
                  </to>
                </anchor>
              </controlPr>
            </control>
          </mc:Choice>
        </mc:AlternateContent>
        <mc:AlternateContent xmlns:mc="http://schemas.openxmlformats.org/markup-compatibility/2006">
          <mc:Choice Requires="x14">
            <control shapeId="273410" r:id="rId5" name="Option Button 2">
              <controlPr defaultSize="0" print="0" autoFill="0" autoLine="0" autoPict="0" macro="'[4]so13-thu-vien.xls'!Update_TongMDT_TDT">
                <anchor>
                  <from>
                    <xdr:col>0</xdr:col>
                    <xdr:colOff>266700</xdr:colOff>
                    <xdr:row>8</xdr:row>
                    <xdr:rowOff>28575</xdr:rowOff>
                  </from>
                  <to>
                    <xdr:col>0</xdr:col>
                    <xdr:colOff>3400425</xdr:colOff>
                    <xdr:row>9</xdr:row>
                    <xdr:rowOff>9525</xdr:rowOff>
                  </to>
                </anchor>
              </controlPr>
            </control>
          </mc:Choice>
        </mc:AlternateContent>
        <mc:AlternateContent xmlns:mc="http://schemas.openxmlformats.org/markup-compatibility/2006">
          <mc:Choice Requires="x14">
            <control shapeId="273411" r:id="rId6" name="Group Box 3">
              <controlPr defaultSize="0" print="0" autoFill="0" autoPict="0">
                <anchor>
                  <from>
                    <xdr:col>0</xdr:col>
                    <xdr:colOff>28575</xdr:colOff>
                    <xdr:row>32</xdr:row>
                    <xdr:rowOff>95250</xdr:rowOff>
                  </from>
                  <to>
                    <xdr:col>0</xdr:col>
                    <xdr:colOff>3409950</xdr:colOff>
                    <xdr:row>61</xdr:row>
                    <xdr:rowOff>142875</xdr:rowOff>
                  </to>
                </anchor>
              </controlPr>
            </control>
          </mc:Choice>
        </mc:AlternateContent>
        <mc:AlternateContent xmlns:mc="http://schemas.openxmlformats.org/markup-compatibility/2006">
          <mc:Choice Requires="x14">
            <control shapeId="273412" r:id="rId7" name="Label 4">
              <controlPr defaultSize="0" print="0" autoFill="0" autoLine="0" autoPict="0">
                <anchor>
                  <from>
                    <xdr:col>0</xdr:col>
                    <xdr:colOff>76200</xdr:colOff>
                    <xdr:row>39</xdr:row>
                    <xdr:rowOff>114300</xdr:rowOff>
                  </from>
                  <to>
                    <xdr:col>0</xdr:col>
                    <xdr:colOff>914400</xdr:colOff>
                    <xdr:row>43</xdr:row>
                    <xdr:rowOff>66675</xdr:rowOff>
                  </to>
                </anchor>
              </controlPr>
            </control>
          </mc:Choice>
        </mc:AlternateContent>
        <mc:AlternateContent xmlns:mc="http://schemas.openxmlformats.org/markup-compatibility/2006">
          <mc:Choice Requires="x14">
            <control shapeId="273413" r:id="rId8" name="Dr_LCT">
              <controlPr defaultSize="0" print="0" autoLine="0" autoPict="0" macro="'[4]so13-thu-vien.xls'!Update_TongMDT_TDT">
                <anchor>
                  <from>
                    <xdr:col>0</xdr:col>
                    <xdr:colOff>1028700</xdr:colOff>
                    <xdr:row>39</xdr:row>
                    <xdr:rowOff>47625</xdr:rowOff>
                  </from>
                  <to>
                    <xdr:col>0</xdr:col>
                    <xdr:colOff>3362325</xdr:colOff>
                    <xdr:row>43</xdr:row>
                    <xdr:rowOff>66675</xdr:rowOff>
                  </to>
                </anchor>
              </controlPr>
            </control>
          </mc:Choice>
        </mc:AlternateContent>
        <mc:AlternateContent xmlns:mc="http://schemas.openxmlformats.org/markup-compatibility/2006">
          <mc:Choice Requires="x14">
            <control shapeId="273414" r:id="rId9" name="Label 6">
              <controlPr defaultSize="0" print="0" autoFill="0" autoLine="0" autoPict="0">
                <anchor>
                  <from>
                    <xdr:col>0</xdr:col>
                    <xdr:colOff>57150</xdr:colOff>
                    <xdr:row>43</xdr:row>
                    <xdr:rowOff>104775</xdr:rowOff>
                  </from>
                  <to>
                    <xdr:col>0</xdr:col>
                    <xdr:colOff>914400</xdr:colOff>
                    <xdr:row>44</xdr:row>
                    <xdr:rowOff>85725</xdr:rowOff>
                  </to>
                </anchor>
              </controlPr>
            </control>
          </mc:Choice>
        </mc:AlternateContent>
        <mc:AlternateContent xmlns:mc="http://schemas.openxmlformats.org/markup-compatibility/2006">
          <mc:Choice Requires="x14">
            <control shapeId="273415" r:id="rId10" name="Dr_CCT">
              <controlPr defaultSize="0" print="0" autoLine="0" autoPict="0" macro="'[4]so13-thu-vien.xls'!Update_TongMDT_TDT">
                <anchor>
                  <from>
                    <xdr:col>0</xdr:col>
                    <xdr:colOff>1028700</xdr:colOff>
                    <xdr:row>43</xdr:row>
                    <xdr:rowOff>85725</xdr:rowOff>
                  </from>
                  <to>
                    <xdr:col>0</xdr:col>
                    <xdr:colOff>3362325</xdr:colOff>
                    <xdr:row>44</xdr:row>
                    <xdr:rowOff>104775</xdr:rowOff>
                  </to>
                </anchor>
              </controlPr>
            </control>
          </mc:Choice>
        </mc:AlternateContent>
        <mc:AlternateContent xmlns:mc="http://schemas.openxmlformats.org/markup-compatibility/2006">
          <mc:Choice Requires="x14">
            <control shapeId="273416" r:id="rId11" name="Label 8">
              <controlPr defaultSize="0" print="0" autoFill="0" autoLine="0" autoPict="0">
                <anchor>
                  <from>
                    <xdr:col>0</xdr:col>
                    <xdr:colOff>47625</xdr:colOff>
                    <xdr:row>44</xdr:row>
                    <xdr:rowOff>152400</xdr:rowOff>
                  </from>
                  <to>
                    <xdr:col>0</xdr:col>
                    <xdr:colOff>914400</xdr:colOff>
                    <xdr:row>45</xdr:row>
                    <xdr:rowOff>142875</xdr:rowOff>
                  </to>
                </anchor>
              </controlPr>
            </control>
          </mc:Choice>
        </mc:AlternateContent>
        <mc:AlternateContent xmlns:mc="http://schemas.openxmlformats.org/markup-compatibility/2006">
          <mc:Choice Requires="x14">
            <control shapeId="273417" r:id="rId12" name="Dr_LTK">
              <controlPr defaultSize="0" print="0" autoLine="0" autoPict="0" macro="'[4]so13-thu-vien.xls'!Update_TongMDT_TDT">
                <anchor>
                  <from>
                    <xdr:col>0</xdr:col>
                    <xdr:colOff>1028700</xdr:colOff>
                    <xdr:row>44</xdr:row>
                    <xdr:rowOff>114300</xdr:rowOff>
                  </from>
                  <to>
                    <xdr:col>0</xdr:col>
                    <xdr:colOff>3362325</xdr:colOff>
                    <xdr:row>45</xdr:row>
                    <xdr:rowOff>123825</xdr:rowOff>
                  </to>
                </anchor>
              </controlPr>
            </control>
          </mc:Choice>
        </mc:AlternateContent>
        <mc:AlternateContent xmlns:mc="http://schemas.openxmlformats.org/markup-compatibility/2006">
          <mc:Choice Requires="x14">
            <control shapeId="273418" r:id="rId13" name="Group Box 10">
              <controlPr defaultSize="0" print="0" autoFill="0" autoPict="0">
                <anchor>
                  <from>
                    <xdr:col>0</xdr:col>
                    <xdr:colOff>38100</xdr:colOff>
                    <xdr:row>0</xdr:row>
                    <xdr:rowOff>66675</xdr:rowOff>
                  </from>
                  <to>
                    <xdr:col>0</xdr:col>
                    <xdr:colOff>3429000</xdr:colOff>
                    <xdr:row>14</xdr:row>
                    <xdr:rowOff>95250</xdr:rowOff>
                  </to>
                </anchor>
              </controlPr>
            </control>
          </mc:Choice>
        </mc:AlternateContent>
        <mc:AlternateContent xmlns:mc="http://schemas.openxmlformats.org/markup-compatibility/2006">
          <mc:Choice Requires="x14">
            <control shapeId="273419" r:id="rId14" name="Label 11">
              <controlPr defaultSize="0" print="0" autoFill="0" autoLine="0" autoPict="0">
                <anchor>
                  <from>
                    <xdr:col>0</xdr:col>
                    <xdr:colOff>95250</xdr:colOff>
                    <xdr:row>0</xdr:row>
                    <xdr:rowOff>247650</xdr:rowOff>
                  </from>
                  <to>
                    <xdr:col>0</xdr:col>
                    <xdr:colOff>3305175</xdr:colOff>
                    <xdr:row>1</xdr:row>
                    <xdr:rowOff>171450</xdr:rowOff>
                  </to>
                </anchor>
              </controlPr>
            </control>
          </mc:Choice>
        </mc:AlternateContent>
        <mc:AlternateContent xmlns:mc="http://schemas.openxmlformats.org/markup-compatibility/2006">
          <mc:Choice Requires="x14">
            <control shapeId="273420" r:id="rId15" name="Drop Down 12">
              <controlPr defaultSize="0" print="0" autoLine="0" autoPict="0" macro="'[4]so13-thu-vien.xls'!Update_TongMDT_TDT">
                <anchor>
                  <from>
                    <xdr:col>0</xdr:col>
                    <xdr:colOff>152400</xdr:colOff>
                    <xdr:row>1</xdr:row>
                    <xdr:rowOff>190500</xdr:rowOff>
                  </from>
                  <to>
                    <xdr:col>0</xdr:col>
                    <xdr:colOff>3314700</xdr:colOff>
                    <xdr:row>2</xdr:row>
                    <xdr:rowOff>190500</xdr:rowOff>
                  </to>
                </anchor>
              </controlPr>
            </control>
          </mc:Choice>
        </mc:AlternateContent>
        <mc:AlternateContent xmlns:mc="http://schemas.openxmlformats.org/markup-compatibility/2006">
          <mc:Choice Requires="x14">
            <control shapeId="273421" r:id="rId16" name="Label 13">
              <controlPr defaultSize="0" print="0" autoFill="0" autoLine="0" autoPict="0">
                <anchor>
                  <from>
                    <xdr:col>0</xdr:col>
                    <xdr:colOff>76200</xdr:colOff>
                    <xdr:row>5</xdr:row>
                    <xdr:rowOff>0</xdr:rowOff>
                  </from>
                  <to>
                    <xdr:col>0</xdr:col>
                    <xdr:colOff>3286125</xdr:colOff>
                    <xdr:row>5</xdr:row>
                    <xdr:rowOff>180975</xdr:rowOff>
                  </to>
                </anchor>
              </controlPr>
            </control>
          </mc:Choice>
        </mc:AlternateContent>
        <mc:AlternateContent xmlns:mc="http://schemas.openxmlformats.org/markup-compatibility/2006">
          <mc:Choice Requires="x14">
            <control shapeId="273422" r:id="rId17" name="Drop Down 14">
              <controlPr defaultSize="0" print="0" autoLine="0" autoPict="0" macro="'[4]so13-thu-vien.xls'!Update_TongMDT_TDT">
                <anchor>
                  <from>
                    <xdr:col>0</xdr:col>
                    <xdr:colOff>133350</xdr:colOff>
                    <xdr:row>5</xdr:row>
                    <xdr:rowOff>200025</xdr:rowOff>
                  </from>
                  <to>
                    <xdr:col>0</xdr:col>
                    <xdr:colOff>3295650</xdr:colOff>
                    <xdr:row>6</xdr:row>
                    <xdr:rowOff>0</xdr:rowOff>
                  </to>
                </anchor>
              </controlPr>
            </control>
          </mc:Choice>
        </mc:AlternateContent>
        <mc:AlternateContent xmlns:mc="http://schemas.openxmlformats.org/markup-compatibility/2006">
          <mc:Choice Requires="x14">
            <control shapeId="273423" r:id="rId18" name="Label 15">
              <controlPr defaultSize="0" print="0" autoFill="0" autoLine="0" autoPict="0">
                <anchor>
                  <from>
                    <xdr:col>0</xdr:col>
                    <xdr:colOff>66675</xdr:colOff>
                    <xdr:row>9</xdr:row>
                    <xdr:rowOff>76200</xdr:rowOff>
                  </from>
                  <to>
                    <xdr:col>0</xdr:col>
                    <xdr:colOff>3276600</xdr:colOff>
                    <xdr:row>10</xdr:row>
                    <xdr:rowOff>38100</xdr:rowOff>
                  </to>
                </anchor>
              </controlPr>
            </control>
          </mc:Choice>
        </mc:AlternateContent>
        <mc:AlternateContent xmlns:mc="http://schemas.openxmlformats.org/markup-compatibility/2006">
          <mc:Choice Requires="x14">
            <control shapeId="273424" r:id="rId19" name="Drop Down 16">
              <controlPr defaultSize="0" print="0" autoLine="0" autoPict="0" macro="'[4]so13-thu-vien.xls'!Update_TongMDT_TDT">
                <anchor>
                  <from>
                    <xdr:col>0</xdr:col>
                    <xdr:colOff>123825</xdr:colOff>
                    <xdr:row>10</xdr:row>
                    <xdr:rowOff>76200</xdr:rowOff>
                  </from>
                  <to>
                    <xdr:col>0</xdr:col>
                    <xdr:colOff>3286125</xdr:colOff>
                    <xdr:row>11</xdr:row>
                    <xdr:rowOff>95250</xdr:rowOff>
                  </to>
                </anchor>
              </controlPr>
            </control>
          </mc:Choice>
        </mc:AlternateContent>
        <mc:AlternateContent xmlns:mc="http://schemas.openxmlformats.org/markup-compatibility/2006">
          <mc:Choice Requires="x14">
            <control shapeId="273425" r:id="rId20" name="Label 17">
              <controlPr defaultSize="0" print="0" autoFill="0" autoLine="0" autoPict="0">
                <anchor>
                  <from>
                    <xdr:col>0</xdr:col>
                    <xdr:colOff>57150</xdr:colOff>
                    <xdr:row>11</xdr:row>
                    <xdr:rowOff>171450</xdr:rowOff>
                  </from>
                  <to>
                    <xdr:col>0</xdr:col>
                    <xdr:colOff>3267075</xdr:colOff>
                    <xdr:row>12</xdr:row>
                    <xdr:rowOff>152400</xdr:rowOff>
                  </to>
                </anchor>
              </controlPr>
            </control>
          </mc:Choice>
        </mc:AlternateContent>
        <mc:AlternateContent xmlns:mc="http://schemas.openxmlformats.org/markup-compatibility/2006">
          <mc:Choice Requires="x14">
            <control shapeId="273426" r:id="rId21" name="Drop Down 18">
              <controlPr defaultSize="0" print="0" autoLine="0" autoPict="0" macro="'[4]so13-thu-vien.xls'!Update_TongMDT_TDT">
                <anchor>
                  <from>
                    <xdr:col>0</xdr:col>
                    <xdr:colOff>114300</xdr:colOff>
                    <xdr:row>12</xdr:row>
                    <xdr:rowOff>190500</xdr:rowOff>
                  </from>
                  <to>
                    <xdr:col>0</xdr:col>
                    <xdr:colOff>3276600</xdr:colOff>
                    <xdr:row>14</xdr:row>
                    <xdr:rowOff>28575</xdr:rowOff>
                  </to>
                </anchor>
              </controlPr>
            </control>
          </mc:Choice>
        </mc:AlternateContent>
        <mc:AlternateContent xmlns:mc="http://schemas.openxmlformats.org/markup-compatibility/2006">
          <mc:Choice Requires="x14">
            <control shapeId="273427" r:id="rId22" name="Label 19">
              <controlPr defaultSize="0" print="0" autoFill="0" autoLine="0" autoPict="0">
                <anchor>
                  <from>
                    <xdr:col>0</xdr:col>
                    <xdr:colOff>85725</xdr:colOff>
                    <xdr:row>54</xdr:row>
                    <xdr:rowOff>19050</xdr:rowOff>
                  </from>
                  <to>
                    <xdr:col>0</xdr:col>
                    <xdr:colOff>3343275</xdr:colOff>
                    <xdr:row>61</xdr:row>
                    <xdr:rowOff>133350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DP2B">
    <tabColor rgb="FF00B050"/>
  </sheetPr>
  <dimension ref="A1:H47"/>
  <sheetViews>
    <sheetView topLeftCell="A24" workbookViewId="0">
      <selection activeCell="A7" sqref="A7:IV17"/>
    </sheetView>
  </sheetViews>
  <sheetFormatPr defaultRowHeight="15" outlineLevelCol="1" x14ac:dyDescent="0.25"/>
  <cols>
    <col min="1" max="1" width="5.85546875" style="2" customWidth="1"/>
    <col min="2" max="2" width="5.85546875" style="2" hidden="1" customWidth="1" outlineLevel="1"/>
    <col min="3" max="3" width="38.140625" style="2" customWidth="1" collapsed="1"/>
    <col min="4" max="8" width="11.5703125" style="2" bestFit="1" customWidth="1"/>
    <col min="9" max="16384" width="9.140625" style="2"/>
  </cols>
  <sheetData>
    <row r="1" spans="1:8" s="189" customFormat="1" ht="20.25" x14ac:dyDescent="0.25">
      <c r="A1" s="58" t="s">
        <v>1393</v>
      </c>
      <c r="B1" s="400"/>
      <c r="C1" s="400"/>
      <c r="D1" s="40"/>
      <c r="E1" s="40"/>
      <c r="F1" s="40"/>
      <c r="G1" s="40"/>
      <c r="H1" s="40"/>
    </row>
    <row r="2" spans="1:8" s="190" customFormat="1" ht="15.75" x14ac:dyDescent="0.2">
      <c r="A2" s="105" t="str">
        <f xml:space="preserve"> "CÔNG TRÌNH : "&amp;'Bia du toan'!$G$12</f>
        <v>CÔNG TRÌNH : TRƯỜNG CAO ĐẲNG LÝ TỰ TRỌNG</v>
      </c>
      <c r="B2" s="401"/>
      <c r="C2" s="401"/>
      <c r="D2" s="105"/>
      <c r="E2" s="105"/>
      <c r="F2" s="105"/>
      <c r="G2" s="105"/>
      <c r="H2" s="105"/>
    </row>
    <row r="3" spans="1:8" s="190" customFormat="1" ht="15.75" x14ac:dyDescent="0.2">
      <c r="A3" s="105" t="str">
        <f xml:space="preserve"> "HẠNG MỤC : "&amp; 'Bia du toan'!$G$13</f>
        <v>HẠNG MỤC : CẢI TẠO THƯ VIỆN GIAI ĐOẠN 2 - NĂM 2019</v>
      </c>
      <c r="B3" s="401"/>
      <c r="C3" s="401"/>
      <c r="D3" s="105"/>
      <c r="E3" s="105"/>
      <c r="F3" s="105"/>
      <c r="G3" s="105"/>
      <c r="H3" s="105"/>
    </row>
    <row r="4" spans="1:8" s="1" customFormat="1" ht="12.75" x14ac:dyDescent="0.2">
      <c r="A4" s="560"/>
      <c r="B4" s="560"/>
      <c r="C4" s="560"/>
      <c r="D4" s="560"/>
      <c r="E4" s="560"/>
      <c r="F4" s="560"/>
      <c r="G4" s="560"/>
      <c r="H4" s="560"/>
    </row>
    <row r="5" spans="1:8" s="1" customFormat="1" ht="16.5" customHeight="1" x14ac:dyDescent="0.2">
      <c r="A5" s="300" t="s">
        <v>665</v>
      </c>
      <c r="B5" s="300"/>
    </row>
    <row r="6" spans="1:8" x14ac:dyDescent="0.25">
      <c r="A6" s="292" t="s">
        <v>15</v>
      </c>
      <c r="B6" s="292" t="s">
        <v>1389</v>
      </c>
      <c r="C6" s="292" t="s">
        <v>666</v>
      </c>
      <c r="D6" s="292" t="s">
        <v>667</v>
      </c>
      <c r="E6" s="292" t="s">
        <v>668</v>
      </c>
    </row>
    <row r="7" spans="1:8" ht="16.5" x14ac:dyDescent="0.3">
      <c r="A7" s="295">
        <v>1</v>
      </c>
      <c r="B7" s="295" t="s">
        <v>1373</v>
      </c>
      <c r="C7" s="294" t="s">
        <v>678</v>
      </c>
      <c r="D7" s="295" t="s">
        <v>670</v>
      </c>
      <c r="E7" s="297">
        <f>'Tong hop DT XDCT'!I8</f>
        <v>421381917.00089759</v>
      </c>
    </row>
    <row r="8" spans="1:8" ht="16.5" x14ac:dyDescent="0.3">
      <c r="A8" s="295">
        <v>2</v>
      </c>
      <c r="B8" s="295" t="s">
        <v>1374</v>
      </c>
      <c r="C8" s="294" t="s">
        <v>677</v>
      </c>
      <c r="D8" s="295" t="s">
        <v>671</v>
      </c>
      <c r="E8" s="297">
        <f>'Tong hop DT XDCT'!I9</f>
        <v>0</v>
      </c>
    </row>
    <row r="9" spans="1:8" ht="16.5" x14ac:dyDescent="0.3">
      <c r="A9" s="295">
        <v>3</v>
      </c>
      <c r="B9" s="295" t="s">
        <v>1375</v>
      </c>
      <c r="C9" s="294" t="s">
        <v>143</v>
      </c>
      <c r="D9" s="295" t="s">
        <v>672</v>
      </c>
      <c r="E9" s="297">
        <f>'Tong hop DT XDCT'!I10</f>
        <v>0</v>
      </c>
    </row>
    <row r="10" spans="1:8" ht="16.5" x14ac:dyDescent="0.3">
      <c r="A10" s="295">
        <v>4</v>
      </c>
      <c r="B10" s="295" t="s">
        <v>1376</v>
      </c>
      <c r="C10" s="294" t="s">
        <v>676</v>
      </c>
      <c r="D10" s="295" t="s">
        <v>673</v>
      </c>
      <c r="E10" s="297">
        <f>'Tong hop DT XDCT'!I11</f>
        <v>46512220.578537829</v>
      </c>
    </row>
    <row r="11" spans="1:8" ht="16.5" x14ac:dyDescent="0.3">
      <c r="A11" s="295">
        <v>5</v>
      </c>
      <c r="B11" s="295" t="s">
        <v>1377</v>
      </c>
      <c r="C11" s="294" t="s">
        <v>675</v>
      </c>
      <c r="D11" s="295" t="s">
        <v>674</v>
      </c>
      <c r="E11" s="297">
        <f>'Tong hop DT XDCT'!I40</f>
        <v>29854117.478661414</v>
      </c>
    </row>
    <row r="12" spans="1:8" x14ac:dyDescent="0.25">
      <c r="A12" s="295"/>
      <c r="B12" s="295" t="s">
        <v>1378</v>
      </c>
      <c r="C12" s="296" t="s">
        <v>669</v>
      </c>
      <c r="D12" s="293"/>
      <c r="E12" s="298">
        <f xml:space="preserve"> SUM(E7:E11)</f>
        <v>497748255.05809683</v>
      </c>
    </row>
    <row r="13" spans="1:8" hidden="1" x14ac:dyDescent="0.25"/>
    <row r="14" spans="1:8" ht="17.25" x14ac:dyDescent="0.3">
      <c r="B14" s="101" t="s">
        <v>1372</v>
      </c>
      <c r="C14" s="101" t="s">
        <v>1391</v>
      </c>
      <c r="D14" s="558"/>
    </row>
    <row r="15" spans="1:8" x14ac:dyDescent="0.25">
      <c r="B15" s="101" t="s">
        <v>1390</v>
      </c>
      <c r="C15" s="101" t="s">
        <v>1371</v>
      </c>
      <c r="D15" s="558"/>
    </row>
    <row r="16" spans="1:8" hidden="1" x14ac:dyDescent="0.25">
      <c r="A16" s="101"/>
      <c r="B16" s="101"/>
      <c r="D16" s="559"/>
    </row>
    <row r="17" spans="1:8" ht="17.25" x14ac:dyDescent="0.3">
      <c r="A17" s="299" t="s">
        <v>679</v>
      </c>
      <c r="B17" s="299"/>
    </row>
    <row r="21" spans="1:8" ht="15.75" x14ac:dyDescent="0.25">
      <c r="A21" s="301" t="s">
        <v>1193</v>
      </c>
      <c r="B21" s="301"/>
    </row>
    <row r="22" spans="1:8" ht="15.75" x14ac:dyDescent="0.25">
      <c r="A22" s="301" t="s">
        <v>1192</v>
      </c>
      <c r="B22" s="301"/>
    </row>
    <row r="23" spans="1:8" ht="15.75" x14ac:dyDescent="0.25">
      <c r="A23" s="302" t="s">
        <v>1187</v>
      </c>
      <c r="B23" s="302"/>
    </row>
    <row r="24" spans="1:8" ht="18.75" x14ac:dyDescent="0.35">
      <c r="A24" s="302" t="s">
        <v>1191</v>
      </c>
      <c r="B24" s="302"/>
    </row>
    <row r="25" spans="1:8" ht="21" customHeight="1" x14ac:dyDescent="0.25">
      <c r="A25" s="1797" t="s">
        <v>1188</v>
      </c>
      <c r="B25" s="1797"/>
      <c r="C25" s="1797"/>
      <c r="D25" s="1797"/>
      <c r="E25" s="1797"/>
      <c r="F25" s="1797"/>
      <c r="G25" s="1797"/>
      <c r="H25" s="1797"/>
    </row>
    <row r="26" spans="1:8" ht="18.75" x14ac:dyDescent="0.35">
      <c r="A26" s="304" t="s">
        <v>1194</v>
      </c>
      <c r="B26" s="304"/>
    </row>
    <row r="29" spans="1:8" ht="17.25" x14ac:dyDescent="0.3">
      <c r="A29" s="101" t="s">
        <v>1182</v>
      </c>
      <c r="B29" s="101"/>
    </row>
    <row r="31" spans="1:8" ht="17.25" x14ac:dyDescent="0.25">
      <c r="A31" s="1791" t="s">
        <v>15</v>
      </c>
      <c r="B31" s="1791" t="s">
        <v>1389</v>
      </c>
      <c r="C31" s="1791" t="s">
        <v>680</v>
      </c>
      <c r="D31" s="306" t="s">
        <v>3381</v>
      </c>
      <c r="E31" s="306"/>
      <c r="F31" s="306"/>
      <c r="G31" s="306"/>
      <c r="H31" s="306"/>
    </row>
    <row r="32" spans="1:8" ht="15.75" x14ac:dyDescent="0.25">
      <c r="A32" s="1792"/>
      <c r="B32" s="1792"/>
      <c r="C32" s="1792"/>
      <c r="D32" s="307">
        <v>1</v>
      </c>
      <c r="E32" s="307">
        <v>2</v>
      </c>
      <c r="F32" s="307">
        <v>3</v>
      </c>
      <c r="G32" s="307">
        <v>4</v>
      </c>
      <c r="H32" s="307">
        <v>5</v>
      </c>
    </row>
    <row r="33" spans="1:8" ht="34.5" x14ac:dyDescent="0.25">
      <c r="A33" s="313">
        <v>1</v>
      </c>
      <c r="B33" s="313" t="s">
        <v>1379</v>
      </c>
      <c r="C33" s="314" t="s">
        <v>1183</v>
      </c>
      <c r="D33" s="315">
        <v>100</v>
      </c>
      <c r="E33" s="315">
        <v>100</v>
      </c>
      <c r="F33" s="315">
        <v>100</v>
      </c>
      <c r="G33" s="315">
        <v>100</v>
      </c>
      <c r="H33" s="315">
        <v>100</v>
      </c>
    </row>
    <row r="34" spans="1:8" ht="18.75" x14ac:dyDescent="0.25">
      <c r="A34" s="313">
        <v>2</v>
      </c>
      <c r="B34" s="313" t="s">
        <v>1380</v>
      </c>
      <c r="C34" s="314" t="s">
        <v>3382</v>
      </c>
      <c r="D34" s="313"/>
      <c r="E34" s="316">
        <f xml:space="preserve"> E33/D33</f>
        <v>1</v>
      </c>
      <c r="F34" s="316">
        <f xml:space="preserve"> F33/E33</f>
        <v>1</v>
      </c>
      <c r="G34" s="316">
        <f xml:space="preserve"> G33/F33</f>
        <v>1</v>
      </c>
      <c r="H34" s="316">
        <f xml:space="preserve"> H33/G33</f>
        <v>1</v>
      </c>
    </row>
    <row r="35" spans="1:8" ht="39" customHeight="1" x14ac:dyDescent="0.25">
      <c r="A35" s="313">
        <v>3</v>
      </c>
      <c r="B35" s="313" t="s">
        <v>1381</v>
      </c>
      <c r="C35" s="403" t="s">
        <v>1184</v>
      </c>
      <c r="D35" s="313"/>
      <c r="E35" s="316"/>
      <c r="F35" s="316"/>
      <c r="G35" s="316"/>
      <c r="H35" s="316">
        <f>SUM(E34:H34)</f>
        <v>4</v>
      </c>
    </row>
    <row r="36" spans="1:8" ht="18.75" x14ac:dyDescent="0.35">
      <c r="A36" s="313">
        <v>4</v>
      </c>
      <c r="B36" s="313" t="s">
        <v>1382</v>
      </c>
      <c r="C36" s="404" t="s">
        <v>1185</v>
      </c>
      <c r="D36" s="1793">
        <f>AVERAGE(E34:H34)</f>
        <v>1</v>
      </c>
      <c r="E36" s="1794"/>
      <c r="F36" s="1794"/>
      <c r="G36" s="1794"/>
      <c r="H36" s="1795"/>
    </row>
    <row r="37" spans="1:8" ht="18.75" x14ac:dyDescent="0.35">
      <c r="A37" s="313">
        <v>5</v>
      </c>
      <c r="B37" s="313" t="s">
        <v>1383</v>
      </c>
      <c r="C37" s="317" t="s">
        <v>1195</v>
      </c>
      <c r="D37" s="1790"/>
      <c r="E37" s="1790"/>
      <c r="F37" s="1790"/>
      <c r="G37" s="1790"/>
      <c r="H37" s="1790"/>
    </row>
    <row r="38" spans="1:8" s="412" customFormat="1" ht="15.75" x14ac:dyDescent="0.25">
      <c r="A38" s="410"/>
      <c r="B38" s="410"/>
      <c r="C38" s="408"/>
      <c r="D38" s="411"/>
      <c r="E38" s="411"/>
      <c r="F38" s="411"/>
      <c r="G38" s="411"/>
      <c r="H38" s="411"/>
    </row>
    <row r="39" spans="1:8" x14ac:dyDescent="0.25">
      <c r="A39" s="305" t="s">
        <v>682</v>
      </c>
      <c r="B39" s="305"/>
    </row>
    <row r="40" spans="1:8" ht="15.75" x14ac:dyDescent="0.25">
      <c r="A40" s="1796" t="s">
        <v>15</v>
      </c>
      <c r="B40" s="1796" t="s">
        <v>1389</v>
      </c>
      <c r="C40" s="1796" t="s">
        <v>683</v>
      </c>
      <c r="D40" s="308" t="s">
        <v>681</v>
      </c>
      <c r="E40" s="308"/>
      <c r="F40" s="308"/>
      <c r="G40" s="308"/>
      <c r="H40" s="308"/>
    </row>
    <row r="41" spans="1:8" ht="15.75" x14ac:dyDescent="0.25">
      <c r="A41" s="1796"/>
      <c r="B41" s="1796"/>
      <c r="C41" s="1796"/>
      <c r="D41" s="390">
        <v>1</v>
      </c>
      <c r="E41" s="390">
        <v>2</v>
      </c>
      <c r="F41" s="390">
        <v>3</v>
      </c>
      <c r="G41" s="390">
        <v>4</v>
      </c>
      <c r="H41" s="390">
        <v>5</v>
      </c>
    </row>
    <row r="42" spans="1:8" ht="15.75" x14ac:dyDescent="0.25">
      <c r="A42" s="310">
        <v>1</v>
      </c>
      <c r="B42" s="310" t="s">
        <v>534</v>
      </c>
      <c r="C42" s="311" t="s">
        <v>684</v>
      </c>
      <c r="D42" s="409">
        <v>0.15</v>
      </c>
      <c r="E42" s="409">
        <v>0.25</v>
      </c>
      <c r="F42" s="409">
        <v>0.25</v>
      </c>
      <c r="G42" s="409">
        <v>0.25</v>
      </c>
      <c r="H42" s="409">
        <v>0.1</v>
      </c>
    </row>
    <row r="43" spans="1:8" ht="34.5" x14ac:dyDescent="0.25">
      <c r="A43" s="310">
        <v>2</v>
      </c>
      <c r="B43" s="310" t="s">
        <v>535</v>
      </c>
      <c r="C43" s="311" t="s">
        <v>3383</v>
      </c>
      <c r="D43" s="312">
        <f xml:space="preserve"> $E$12*D42</f>
        <v>74662238.258714527</v>
      </c>
      <c r="E43" s="312">
        <f xml:space="preserve"> $E$12*E42</f>
        <v>124437063.76452421</v>
      </c>
      <c r="F43" s="312">
        <f xml:space="preserve"> $E$12*F42</f>
        <v>124437063.76452421</v>
      </c>
      <c r="G43" s="312">
        <f xml:space="preserve"> $E$12*G42</f>
        <v>124437063.76452421</v>
      </c>
      <c r="H43" s="312">
        <f xml:space="preserve"> $E$12*H42</f>
        <v>49774825.505809687</v>
      </c>
    </row>
    <row r="44" spans="1:8" ht="18.75" x14ac:dyDescent="0.25">
      <c r="A44" s="310">
        <v>3</v>
      </c>
      <c r="B44" s="310" t="s">
        <v>1384</v>
      </c>
      <c r="C44" s="311" t="s">
        <v>3384</v>
      </c>
      <c r="D44" s="315"/>
      <c r="E44" s="315"/>
      <c r="F44" s="315"/>
      <c r="G44" s="315"/>
      <c r="H44" s="315"/>
    </row>
    <row r="45" spans="1:8" ht="34.5" x14ac:dyDescent="0.25">
      <c r="A45" s="310">
        <v>4</v>
      </c>
      <c r="B45" s="310" t="s">
        <v>1385</v>
      </c>
      <c r="C45" s="311" t="s">
        <v>3385</v>
      </c>
      <c r="D45" s="318">
        <f xml:space="preserve"> D43-D44</f>
        <v>74662238.258714527</v>
      </c>
      <c r="E45" s="318">
        <f xml:space="preserve"> E43-E44</f>
        <v>124437063.76452421</v>
      </c>
      <c r="F45" s="318">
        <f xml:space="preserve"> F43-F44</f>
        <v>124437063.76452421</v>
      </c>
      <c r="G45" s="318">
        <f xml:space="preserve"> G43-G44</f>
        <v>124437063.76452421</v>
      </c>
      <c r="H45" s="318">
        <f xml:space="preserve"> H43-H44</f>
        <v>49774825.505809687</v>
      </c>
    </row>
    <row r="46" spans="1:8" ht="31.5" x14ac:dyDescent="0.25">
      <c r="A46" s="310">
        <v>5</v>
      </c>
      <c r="B46" s="310" t="s">
        <v>1386</v>
      </c>
      <c r="C46" s="311" t="s">
        <v>685</v>
      </c>
      <c r="D46" s="312">
        <f xml:space="preserve"> D45*(($D$36+$D$37)^D41-1)</f>
        <v>0</v>
      </c>
      <c r="E46" s="312">
        <f xml:space="preserve"> E45*(($D$36+$D$37)^E41-1)</f>
        <v>0</v>
      </c>
      <c r="F46" s="312">
        <f xml:space="preserve"> F45*(($D$36+$D$37)^F41-1)</f>
        <v>0</v>
      </c>
      <c r="G46" s="312">
        <f xml:space="preserve"> G45*(($D$36+$D$37)^G41-1)</f>
        <v>0</v>
      </c>
      <c r="H46" s="312">
        <f xml:space="preserve"> H45*(($D$36+$D$37)^H41-1)</f>
        <v>0</v>
      </c>
    </row>
    <row r="47" spans="1:8" ht="18.75" x14ac:dyDescent="0.25">
      <c r="A47" s="310">
        <v>7</v>
      </c>
      <c r="B47" s="310" t="s">
        <v>1387</v>
      </c>
      <c r="C47" s="311" t="s">
        <v>687</v>
      </c>
      <c r="D47" s="405">
        <f>SUM($D$46:D46)</f>
        <v>0</v>
      </c>
      <c r="E47" s="405">
        <f>SUM($D$46:E46)</f>
        <v>0</v>
      </c>
      <c r="F47" s="405">
        <f>SUM($D$46:F46)</f>
        <v>0</v>
      </c>
      <c r="G47" s="405">
        <f>SUM($D$46:G46)</f>
        <v>0</v>
      </c>
      <c r="H47" s="405">
        <f>SUM($D$46:H46)</f>
        <v>0</v>
      </c>
    </row>
  </sheetData>
  <mergeCells count="9">
    <mergeCell ref="A40:A41"/>
    <mergeCell ref="C40:C41"/>
    <mergeCell ref="B31:B32"/>
    <mergeCell ref="B40:B41"/>
    <mergeCell ref="A25:H25"/>
    <mergeCell ref="A31:A32"/>
    <mergeCell ref="C31:C32"/>
    <mergeCell ref="D36:H36"/>
    <mergeCell ref="D37:H37"/>
  </mergeCells>
  <dataValidations count="4">
    <dataValidation allowBlank="1" showInputMessage="1" showErrorMessage="1" promptTitle="Chi phí lãi vay từng năm" prompt="Bạn nhập vào chi phí lãi vay từng năm thực hiện dự án" sqref="D44:H44"/>
    <dataValidation allowBlank="1" showInputMessage="1" showErrorMessage="1" promptTitle="Mức độ biến động của các yếu tố" prompt="Người dùng nhập vào mức dự báo biến động của các yếu tố chi phí, giá cả." sqref="D36:H38"/>
    <dataValidation allowBlank="1" showInputMessage="1" showErrorMessage="1" promptTitle="Nhập chỉ số giá xây dựng " prompt="Nhập chỉ số giá xây dựng cá năm gần nhất" sqref="D33:H33"/>
    <dataValidation allowBlank="1" showInputMessage="1" showErrorMessage="1" promptTitle="Điền mức phân bổ vốn huy động" prompt="Nhập vào tỷ lệ phân bổ vốn theo tiến độ từng năm (%)" sqref="D42:H42"/>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drawing r:id="rId2"/>
  <legacyDrawing r:id="rId3"/>
  <oleObjects>
    <mc:AlternateContent xmlns:mc="http://schemas.openxmlformats.org/markup-compatibility/2006">
      <mc:Choice Requires="x14">
        <oleObject progId="Equation.3" shapeId="56321" r:id="rId4">
          <objectPr defaultSize="0" autoPict="0" r:id="rId5">
            <anchor moveWithCells="1">
              <from>
                <xdr:col>1</xdr:col>
                <xdr:colOff>0</xdr:colOff>
                <xdr:row>17</xdr:row>
                <xdr:rowOff>19050</xdr:rowOff>
              </from>
              <to>
                <xdr:col>2</xdr:col>
                <xdr:colOff>2362200</xdr:colOff>
                <xdr:row>20</xdr:row>
                <xdr:rowOff>0</xdr:rowOff>
              </to>
            </anchor>
          </objectPr>
        </oleObject>
      </mc:Choice>
      <mc:Fallback>
        <oleObject progId="Equation.3" shapeId="56321" r:id="rId4"/>
      </mc:Fallback>
    </mc:AlternateContent>
    <mc:AlternateContent xmlns:mc="http://schemas.openxmlformats.org/markup-compatibility/2006">
      <mc:Choice Requires="x14">
        <oleObject progId="Equation.3" shapeId="56322" r:id="rId6">
          <objectPr defaultSize="0" autoPict="0" r:id="rId7">
            <anchor moveWithCells="1">
              <from>
                <xdr:col>2</xdr:col>
                <xdr:colOff>1285875</xdr:colOff>
                <xdr:row>27</xdr:row>
                <xdr:rowOff>0</xdr:rowOff>
              </from>
              <to>
                <xdr:col>2</xdr:col>
                <xdr:colOff>2486025</xdr:colOff>
                <xdr:row>30</xdr:row>
                <xdr:rowOff>19050</xdr:rowOff>
              </to>
            </anchor>
          </objectPr>
        </oleObject>
      </mc:Choice>
      <mc:Fallback>
        <oleObject progId="Equation.3" shapeId="56322" r:id="rId6"/>
      </mc:Fallback>
    </mc:AlternateContent>
    <mc:AlternateContent xmlns:mc="http://schemas.openxmlformats.org/markup-compatibility/2006">
      <mc:Choice Requires="x14">
        <oleObject progId="Equation.3" shapeId="56323" r:id="rId8">
          <objectPr defaultSize="0" autoPict="0" r:id="rId9">
            <anchor moveWithCells="1">
              <from>
                <xdr:col>2</xdr:col>
                <xdr:colOff>1971675</xdr:colOff>
                <xdr:row>34</xdr:row>
                <xdr:rowOff>19050</xdr:rowOff>
              </from>
              <to>
                <xdr:col>3</xdr:col>
                <xdr:colOff>0</xdr:colOff>
                <xdr:row>35</xdr:row>
                <xdr:rowOff>0</xdr:rowOff>
              </to>
            </anchor>
          </objectPr>
        </oleObject>
      </mc:Choice>
      <mc:Fallback>
        <oleObject progId="Equation.3" shapeId="56323" r:id="rId8"/>
      </mc:Fallback>
    </mc:AlternateContent>
  </oleObjec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THCPXD"/>
  <dimension ref="A1:F21"/>
  <sheetViews>
    <sheetView workbookViewId="0">
      <selection activeCell="A7" sqref="A7:IV17"/>
    </sheetView>
  </sheetViews>
  <sheetFormatPr defaultColWidth="10.28515625" defaultRowHeight="15" outlineLevelCol="1" x14ac:dyDescent="0.2"/>
  <cols>
    <col min="1" max="1" width="4.85546875" style="65" customWidth="1"/>
    <col min="2" max="2" width="10.85546875" style="65" hidden="1" customWidth="1" outlineLevel="1"/>
    <col min="3" max="3" width="36.140625" style="65" customWidth="1" collapsed="1"/>
    <col min="4" max="4" width="24.7109375" style="65" bestFit="1" customWidth="1"/>
    <col min="5" max="5" width="17.140625" style="148" customWidth="1"/>
    <col min="6" max="6" width="9.28515625" style="65" customWidth="1"/>
    <col min="7" max="7" width="10.28515625" style="65"/>
    <col min="8" max="8" width="15.28515625" style="65" bestFit="1" customWidth="1"/>
    <col min="9" max="16384" width="10.28515625" style="65"/>
  </cols>
  <sheetData>
    <row r="1" spans="1:6" s="86" customFormat="1" ht="20.25" x14ac:dyDescent="0.2">
      <c r="A1" s="84" t="s">
        <v>462</v>
      </c>
      <c r="B1" s="84"/>
      <c r="C1" s="85"/>
      <c r="D1" s="85"/>
      <c r="E1" s="146"/>
      <c r="F1" s="85"/>
    </row>
    <row r="2" spans="1:6" ht="15.75" x14ac:dyDescent="0.25">
      <c r="A2" s="8" t="str">
        <f>"CÔNG TRÌNH : "&amp;'Bia du toan'!$G$12</f>
        <v>CÔNG TRÌNH : TRƯỜNG CAO ĐẲNG LÝ TỰ TRỌNG</v>
      </c>
      <c r="B2" s="8"/>
      <c r="C2" s="87"/>
      <c r="D2" s="87"/>
      <c r="E2" s="147"/>
      <c r="F2" s="87"/>
    </row>
    <row r="3" spans="1:6" ht="15.75" x14ac:dyDescent="0.25">
      <c r="A3" s="8" t="str">
        <f>"HẠNG MỤC : "&amp; 'Bia du toan'!$G$13</f>
        <v>HẠNG MỤC : CẢI TẠO THƯ VIỆN GIAI ĐOẠN 2 - NĂM 2019</v>
      </c>
      <c r="B3" s="8"/>
      <c r="C3" s="87"/>
      <c r="D3" s="87"/>
      <c r="E3" s="147"/>
      <c r="F3" s="87"/>
    </row>
    <row r="4" spans="1:6" x14ac:dyDescent="0.2">
      <c r="A4" s="88"/>
      <c r="B4" s="88"/>
      <c r="C4" s="87"/>
      <c r="D4" s="87"/>
      <c r="F4" s="89" t="s">
        <v>463</v>
      </c>
    </row>
    <row r="5" spans="1:6" x14ac:dyDescent="0.2">
      <c r="A5" s="88"/>
      <c r="B5" s="88"/>
      <c r="C5" s="87"/>
      <c r="D5" s="87"/>
      <c r="E5" s="149"/>
      <c r="F5" s="89" t="s">
        <v>464</v>
      </c>
    </row>
    <row r="7" spans="1:6" x14ac:dyDescent="0.2">
      <c r="A7" s="162" t="s">
        <v>15</v>
      </c>
      <c r="B7" s="162" t="s">
        <v>335</v>
      </c>
      <c r="C7" s="162" t="s">
        <v>465</v>
      </c>
      <c r="D7" s="162" t="s">
        <v>270</v>
      </c>
      <c r="E7" s="164" t="s">
        <v>466</v>
      </c>
      <c r="F7" s="162" t="s">
        <v>272</v>
      </c>
    </row>
    <row r="8" spans="1:6" s="90" customFormat="1" ht="14.25" x14ac:dyDescent="0.2">
      <c r="A8" s="127">
        <v>1</v>
      </c>
      <c r="B8" s="127" t="s">
        <v>512</v>
      </c>
      <c r="C8" s="128" t="s">
        <v>306</v>
      </c>
      <c r="D8" s="129" t="s">
        <v>467</v>
      </c>
      <c r="E8" s="421">
        <f xml:space="preserve"> SUM(E9:E9)</f>
        <v>383074470.00081599</v>
      </c>
      <c r="F8" s="127" t="s">
        <v>99</v>
      </c>
    </row>
    <row r="9" spans="1:6" ht="30" x14ac:dyDescent="0.2">
      <c r="A9" s="1570"/>
      <c r="B9" s="1570"/>
      <c r="C9" s="1571" t="str">
        <f xml:space="preserve"> Config!$C$4</f>
        <v>CẢI TẠO THƯ VIỆN GIAI ĐOẠN 2 - NĂM 2019</v>
      </c>
      <c r="D9" s="1572" t="s">
        <v>3837</v>
      </c>
      <c r="E9" s="1573">
        <f xml:space="preserve"> THKP!$F$27</f>
        <v>383074470.00081599</v>
      </c>
      <c r="F9" s="1570" t="s">
        <v>467</v>
      </c>
    </row>
    <row r="10" spans="1:6" x14ac:dyDescent="0.2">
      <c r="A10" s="91">
        <v>2</v>
      </c>
      <c r="B10" s="91"/>
      <c r="C10" s="48" t="s">
        <v>77</v>
      </c>
      <c r="D10" s="91" t="str">
        <f>"G x"&amp; Config!D15&amp;"%"</f>
        <v>G x10%</v>
      </c>
      <c r="E10" s="419">
        <f xml:space="preserve"> E$8*Config!$D$15%</f>
        <v>38307447.000081599</v>
      </c>
      <c r="F10" s="92" t="s">
        <v>101</v>
      </c>
    </row>
    <row r="11" spans="1:6" x14ac:dyDescent="0.2">
      <c r="A11" s="130">
        <v>3</v>
      </c>
      <c r="B11" s="130" t="s">
        <v>513</v>
      </c>
      <c r="C11" s="420" t="s">
        <v>309</v>
      </c>
      <c r="D11" s="130" t="s">
        <v>310</v>
      </c>
      <c r="E11" s="422">
        <f xml:space="preserve"> E$8+E$10</f>
        <v>421381917.00089759</v>
      </c>
      <c r="F11" s="130" t="s">
        <v>468</v>
      </c>
    </row>
    <row r="12" spans="1:6" x14ac:dyDescent="0.2">
      <c r="C12" s="94"/>
    </row>
    <row r="13" spans="1:6" s="90" customFormat="1" x14ac:dyDescent="0.2">
      <c r="A13" s="95"/>
      <c r="B13" s="95"/>
      <c r="C13" s="54" t="s">
        <v>311</v>
      </c>
      <c r="D13" s="55" t="s">
        <v>312</v>
      </c>
      <c r="E13" s="150"/>
      <c r="F13" s="88"/>
    </row>
    <row r="14" spans="1:6" x14ac:dyDescent="0.25">
      <c r="C14" s="66"/>
      <c r="D14" s="66"/>
      <c r="E14" s="67"/>
    </row>
    <row r="15" spans="1:6" x14ac:dyDescent="0.25">
      <c r="C15" s="66"/>
      <c r="D15" s="66"/>
      <c r="E15" s="67"/>
    </row>
    <row r="16" spans="1:6" x14ac:dyDescent="0.25">
      <c r="C16" s="66"/>
      <c r="D16" s="66"/>
      <c r="E16" s="67"/>
    </row>
    <row r="17" spans="3:6" x14ac:dyDescent="0.25">
      <c r="C17" s="66"/>
      <c r="D17" s="66"/>
      <c r="E17" s="67"/>
    </row>
    <row r="18" spans="3:6" x14ac:dyDescent="0.25">
      <c r="C18" s="66"/>
      <c r="D18" s="66"/>
      <c r="E18" s="67"/>
    </row>
    <row r="19" spans="3:6" x14ac:dyDescent="0.25">
      <c r="C19" s="66"/>
      <c r="D19" s="66"/>
      <c r="E19" s="67"/>
    </row>
    <row r="20" spans="3:6" x14ac:dyDescent="0.25">
      <c r="C20" s="97" t="s">
        <v>313</v>
      </c>
      <c r="D20" s="98" t="s">
        <v>313</v>
      </c>
      <c r="E20" s="151"/>
      <c r="F20" s="87"/>
    </row>
    <row r="21" spans="3:6" x14ac:dyDescent="0.25">
      <c r="C21" s="66"/>
      <c r="D21" s="96" t="s">
        <v>314</v>
      </c>
      <c r="E21" s="152"/>
      <c r="F21" s="87"/>
    </row>
  </sheetData>
  <phoneticPr fontId="2" type="noConversion"/>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THCPTB"/>
  <dimension ref="A1:I24"/>
  <sheetViews>
    <sheetView workbookViewId="0">
      <selection activeCell="E8" sqref="E8"/>
    </sheetView>
  </sheetViews>
  <sheetFormatPr defaultRowHeight="15" outlineLevelCol="1" x14ac:dyDescent="0.25"/>
  <cols>
    <col min="1" max="1" width="5.42578125" style="2" customWidth="1"/>
    <col min="2" max="2" width="8.140625" style="2" hidden="1" customWidth="1" outlineLevel="1"/>
    <col min="3" max="3" width="55" style="2" customWidth="1" collapsed="1"/>
    <col min="4" max="4" width="4.7109375" style="2" bestFit="1" customWidth="1"/>
    <col min="5" max="5" width="10.5703125" style="2" bestFit="1" customWidth="1"/>
    <col min="6" max="6" width="14.28515625" style="118" customWidth="1"/>
    <col min="7" max="7" width="11.42578125" style="118" customWidth="1"/>
    <col min="8" max="8" width="15.42578125" style="118" customWidth="1"/>
    <col min="9" max="9" width="7" style="2" customWidth="1"/>
    <col min="10" max="16384" width="9.140625" style="2"/>
  </cols>
  <sheetData>
    <row r="1" spans="1:9" s="69" customFormat="1" ht="20.25" x14ac:dyDescent="0.3">
      <c r="A1" s="58" t="s">
        <v>469</v>
      </c>
      <c r="B1" s="58"/>
      <c r="C1" s="64"/>
      <c r="D1" s="64"/>
      <c r="E1" s="64"/>
      <c r="F1" s="153"/>
      <c r="G1" s="153"/>
      <c r="H1" s="153"/>
      <c r="I1" s="64"/>
    </row>
    <row r="2" spans="1:9" s="99" customFormat="1" ht="18.75" x14ac:dyDescent="0.3">
      <c r="A2" s="8" t="str">
        <f>"CÔNG TRÌNH : "&amp;'Bia du toan'!$G$12</f>
        <v>CÔNG TRÌNH : TRƯỜNG CAO ĐẲNG LÝ TỰ TRỌNG</v>
      </c>
      <c r="B2" s="8"/>
      <c r="C2" s="85"/>
      <c r="D2" s="85"/>
      <c r="E2" s="85"/>
      <c r="F2" s="146"/>
      <c r="G2" s="146"/>
      <c r="H2" s="146"/>
      <c r="I2" s="85"/>
    </row>
    <row r="3" spans="1:9" ht="15.75" x14ac:dyDescent="0.25">
      <c r="A3" s="8" t="str">
        <f>"HẠNG MỤC : "&amp; 'Bia du toan'!$G$13</f>
        <v>HẠNG MỤC : CẢI TẠO THƯ VIỆN GIAI ĐOẠN 2 - NĂM 2019</v>
      </c>
      <c r="B3" s="8"/>
      <c r="C3" s="87"/>
      <c r="D3" s="87"/>
      <c r="E3" s="87"/>
      <c r="F3" s="147"/>
      <c r="G3" s="147"/>
      <c r="H3" s="147"/>
      <c r="I3" s="87"/>
    </row>
    <row r="4" spans="1:9" x14ac:dyDescent="0.25">
      <c r="A4" s="55"/>
      <c r="B4" s="55"/>
      <c r="C4" s="87"/>
      <c r="D4" s="87"/>
      <c r="E4" s="87"/>
      <c r="F4" s="147"/>
      <c r="G4" s="67"/>
      <c r="H4" s="147"/>
      <c r="I4" s="89" t="s">
        <v>463</v>
      </c>
    </row>
    <row r="5" spans="1:9" x14ac:dyDescent="0.25">
      <c r="A5" s="55"/>
      <c r="B5" s="55"/>
      <c r="C5" s="87"/>
      <c r="D5" s="87"/>
      <c r="E5" s="87"/>
      <c r="F5" s="147"/>
      <c r="G5" s="149"/>
      <c r="H5" s="67"/>
      <c r="I5" s="89" t="s">
        <v>464</v>
      </c>
    </row>
    <row r="6" spans="1:9" x14ac:dyDescent="0.25">
      <c r="A6" s="66"/>
      <c r="B6" s="66"/>
      <c r="C6" s="66"/>
      <c r="D6" s="66"/>
      <c r="E6" s="66"/>
      <c r="F6" s="67"/>
      <c r="G6" s="67"/>
      <c r="H6" s="67"/>
      <c r="I6" s="66"/>
    </row>
    <row r="7" spans="1:9" ht="28.5" x14ac:dyDescent="0.25">
      <c r="A7" s="165" t="s">
        <v>15</v>
      </c>
      <c r="B7" s="163" t="s">
        <v>335</v>
      </c>
      <c r="C7" s="165" t="s">
        <v>470</v>
      </c>
      <c r="D7" s="165" t="s">
        <v>68</v>
      </c>
      <c r="E7" s="165" t="s">
        <v>3386</v>
      </c>
      <c r="F7" s="166" t="s">
        <v>471</v>
      </c>
      <c r="G7" s="166" t="s">
        <v>472</v>
      </c>
      <c r="H7" s="166" t="s">
        <v>473</v>
      </c>
      <c r="I7" s="165" t="s">
        <v>272</v>
      </c>
    </row>
    <row r="8" spans="1:9" ht="17.25" x14ac:dyDescent="0.25">
      <c r="A8" s="127">
        <v>1</v>
      </c>
      <c r="B8" s="127" t="s">
        <v>514</v>
      </c>
      <c r="C8" s="128" t="s">
        <v>474</v>
      </c>
      <c r="D8" s="128"/>
      <c r="E8" s="128"/>
      <c r="F8" s="1592">
        <f>SUM(F9:F10)</f>
        <v>0</v>
      </c>
      <c r="G8" s="1592">
        <f>SUM(G9:G10)</f>
        <v>0</v>
      </c>
      <c r="H8" s="1592">
        <f>SUM(H9:H10)</f>
        <v>0</v>
      </c>
      <c r="I8" s="127" t="s">
        <v>3365</v>
      </c>
    </row>
    <row r="9" spans="1:9" x14ac:dyDescent="0.25">
      <c r="A9" s="91"/>
      <c r="B9" s="91"/>
      <c r="C9" s="48" t="s">
        <v>475</v>
      </c>
      <c r="D9" s="48"/>
      <c r="E9" s="48"/>
      <c r="F9" s="419"/>
      <c r="G9" s="419">
        <f>F9*10%</f>
        <v>0</v>
      </c>
      <c r="H9" s="419">
        <f>E9*(G9+F9)</f>
        <v>0</v>
      </c>
      <c r="I9" s="47"/>
    </row>
    <row r="10" spans="1:9" x14ac:dyDescent="0.25">
      <c r="A10" s="47"/>
      <c r="B10" s="47"/>
      <c r="C10" s="48" t="s">
        <v>475</v>
      </c>
      <c r="D10" s="48"/>
      <c r="E10" s="48"/>
      <c r="F10" s="419"/>
      <c r="G10" s="419">
        <f>F10*10%</f>
        <v>0</v>
      </c>
      <c r="H10" s="419">
        <f>E10*(G10+F10)</f>
        <v>0</v>
      </c>
      <c r="I10" s="47"/>
    </row>
    <row r="11" spans="1:9" ht="17.25" x14ac:dyDescent="0.25">
      <c r="A11" s="93">
        <v>2</v>
      </c>
      <c r="B11" s="93" t="s">
        <v>515</v>
      </c>
      <c r="C11" s="50" t="s">
        <v>476</v>
      </c>
      <c r="D11" s="50"/>
      <c r="E11" s="50"/>
      <c r="F11" s="419"/>
      <c r="G11" s="419">
        <f>F11*10%</f>
        <v>0</v>
      </c>
      <c r="H11" s="419">
        <f>G11+F11</f>
        <v>0</v>
      </c>
      <c r="I11" s="92" t="s">
        <v>3364</v>
      </c>
    </row>
    <row r="12" spans="1:9" s="101" customFormat="1" ht="17.25" x14ac:dyDescent="0.2">
      <c r="A12" s="92">
        <v>3</v>
      </c>
      <c r="B12" s="92" t="s">
        <v>516</v>
      </c>
      <c r="C12" s="50" t="s">
        <v>477</v>
      </c>
      <c r="D12" s="50"/>
      <c r="E12" s="50"/>
      <c r="F12" s="836"/>
      <c r="G12" s="836">
        <f>F12*10%</f>
        <v>0</v>
      </c>
      <c r="H12" s="836">
        <f>G12+F12</f>
        <v>0</v>
      </c>
      <c r="I12" s="92" t="s">
        <v>3362</v>
      </c>
    </row>
    <row r="13" spans="1:9" s="101" customFormat="1" ht="17.25" x14ac:dyDescent="0.2">
      <c r="A13" s="92">
        <v>4</v>
      </c>
      <c r="B13" s="92" t="s">
        <v>516</v>
      </c>
      <c r="C13" s="50" t="s">
        <v>3361</v>
      </c>
      <c r="D13" s="50"/>
      <c r="E13" s="50"/>
      <c r="F13" s="836"/>
      <c r="G13" s="836">
        <f>F13*10%</f>
        <v>0</v>
      </c>
      <c r="H13" s="836">
        <f>G13+F13</f>
        <v>0</v>
      </c>
      <c r="I13" s="92" t="s">
        <v>3126</v>
      </c>
    </row>
    <row r="14" spans="1:9" ht="17.25" x14ac:dyDescent="0.25">
      <c r="A14" s="130"/>
      <c r="B14" s="130" t="s">
        <v>106</v>
      </c>
      <c r="C14" s="52" t="s">
        <v>3366</v>
      </c>
      <c r="D14" s="52"/>
      <c r="E14" s="52"/>
      <c r="F14" s="1591">
        <f>F8+F11+GTB_LDHC+F13</f>
        <v>0</v>
      </c>
      <c r="G14" s="1591">
        <f>G8+G11+GTB_LDHC+G13</f>
        <v>0</v>
      </c>
      <c r="H14" s="1591">
        <f>H8+H11+GTB_LDHC+H13</f>
        <v>0</v>
      </c>
      <c r="I14" s="130" t="s">
        <v>3128</v>
      </c>
    </row>
    <row r="15" spans="1:9" x14ac:dyDescent="0.25">
      <c r="A15" s="66"/>
      <c r="B15" s="66"/>
      <c r="C15" s="94"/>
      <c r="D15" s="94"/>
      <c r="E15" s="94"/>
      <c r="F15" s="67"/>
      <c r="G15" s="67"/>
      <c r="H15" s="154"/>
      <c r="I15" s="66"/>
    </row>
    <row r="16" spans="1:9" s="101" customFormat="1" x14ac:dyDescent="0.25">
      <c r="A16" s="100"/>
      <c r="B16" s="100"/>
      <c r="C16" s="54" t="s">
        <v>311</v>
      </c>
      <c r="D16" s="54"/>
      <c r="E16" s="54"/>
      <c r="F16" s="150" t="s">
        <v>312</v>
      </c>
      <c r="G16" s="150"/>
      <c r="H16" s="150"/>
      <c r="I16" s="55"/>
    </row>
    <row r="17" spans="1:9" x14ac:dyDescent="0.25">
      <c r="A17" s="66"/>
      <c r="B17" s="66"/>
      <c r="C17" s="66"/>
      <c r="D17" s="66"/>
      <c r="E17" s="66"/>
      <c r="F17" s="67"/>
      <c r="G17" s="67"/>
      <c r="H17" s="67"/>
      <c r="I17" s="66"/>
    </row>
    <row r="18" spans="1:9" x14ac:dyDescent="0.25">
      <c r="A18" s="66"/>
      <c r="B18" s="66"/>
      <c r="C18" s="66"/>
      <c r="D18" s="66"/>
      <c r="E18" s="66"/>
      <c r="F18" s="67"/>
      <c r="G18" s="67"/>
      <c r="H18" s="67"/>
      <c r="I18" s="66"/>
    </row>
    <row r="19" spans="1:9" x14ac:dyDescent="0.25">
      <c r="A19" s="66"/>
      <c r="B19" s="66"/>
      <c r="C19" s="66"/>
      <c r="D19" s="66"/>
      <c r="E19" s="66"/>
      <c r="F19" s="67"/>
      <c r="G19" s="67"/>
      <c r="H19" s="67"/>
      <c r="I19" s="66"/>
    </row>
    <row r="20" spans="1:9" x14ac:dyDescent="0.25">
      <c r="A20" s="66"/>
      <c r="B20" s="66"/>
      <c r="C20" s="66"/>
      <c r="D20" s="66"/>
      <c r="E20" s="66"/>
      <c r="F20" s="67"/>
      <c r="G20" s="67"/>
      <c r="H20" s="67"/>
      <c r="I20" s="66"/>
    </row>
    <row r="21" spans="1:9" x14ac:dyDescent="0.25">
      <c r="A21" s="66"/>
      <c r="B21" s="66"/>
      <c r="C21" s="66"/>
      <c r="D21" s="66"/>
      <c r="E21" s="66"/>
      <c r="F21" s="67"/>
      <c r="G21" s="67"/>
      <c r="H21" s="67"/>
      <c r="I21" s="66"/>
    </row>
    <row r="22" spans="1:9" x14ac:dyDescent="0.25">
      <c r="A22" s="66"/>
      <c r="B22" s="66"/>
      <c r="C22" s="66"/>
      <c r="D22" s="66"/>
      <c r="E22" s="66"/>
      <c r="F22" s="67"/>
      <c r="G22" s="67"/>
      <c r="H22" s="67"/>
      <c r="I22" s="66"/>
    </row>
    <row r="23" spans="1:9" x14ac:dyDescent="0.25">
      <c r="A23" s="66"/>
      <c r="B23" s="66"/>
      <c r="C23" s="97" t="s">
        <v>313</v>
      </c>
      <c r="D23" s="97"/>
      <c r="E23" s="97"/>
      <c r="F23" s="151" t="s">
        <v>313</v>
      </c>
      <c r="G23" s="151"/>
      <c r="H23" s="152"/>
      <c r="I23" s="96"/>
    </row>
    <row r="24" spans="1:9" x14ac:dyDescent="0.25">
      <c r="A24" s="66"/>
      <c r="B24" s="66"/>
      <c r="C24" s="66"/>
      <c r="D24" s="66"/>
      <c r="E24" s="66"/>
      <c r="F24" s="152" t="s">
        <v>314</v>
      </c>
      <c r="G24" s="152"/>
      <c r="H24" s="152"/>
      <c r="I24" s="96"/>
    </row>
  </sheetData>
  <phoneticPr fontId="2" type="noConversion"/>
  <pageMargins left="0.55118110236220497" right="0.196850393700787" top="0.43307086614173201" bottom="0.59055118110236204" header="0.15748031496063" footer="0.23622047244094499"/>
  <pageSetup paperSize="9" orientation="landscape" r:id="rId1"/>
  <headerFooter alignWithMargins="0">
    <oddHeader>&amp;L&amp;"Times New Roman,Bold Italic"&amp;9Dự toán Bắc Nam  - ÐT: 0966.966.455</oddHeader>
    <oddFooter>&amp;R&amp;9Trang &amp;P/&amp;N</oddFooter>
  </headerFooter>
  <legacy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H41"/>
  <sheetViews>
    <sheetView workbookViewId="0"/>
  </sheetViews>
  <sheetFormatPr defaultRowHeight="15" outlineLevelCol="1" x14ac:dyDescent="0.25"/>
  <cols>
    <col min="1" max="1" width="5.85546875" style="2" customWidth="1"/>
    <col min="2" max="2" width="8.140625" style="2" hidden="1" customWidth="1" outlineLevel="1"/>
    <col min="3" max="3" width="43.7109375" style="2" bestFit="1" customWidth="1" collapsed="1"/>
    <col min="4" max="4" width="8.28515625" style="2" bestFit="1" customWidth="1"/>
    <col min="5" max="5" width="6.85546875" style="2" bestFit="1" customWidth="1"/>
    <col min="6" max="8" width="11.5703125" style="2" bestFit="1" customWidth="1"/>
    <col min="9" max="16384" width="9.140625" style="2"/>
  </cols>
  <sheetData>
    <row r="1" spans="1:8" s="189" customFormat="1" ht="20.25" x14ac:dyDescent="0.25">
      <c r="A1" s="58" t="s">
        <v>3356</v>
      </c>
      <c r="B1" s="58"/>
      <c r="C1" s="400"/>
      <c r="D1" s="40"/>
      <c r="E1" s="40"/>
      <c r="F1" s="40"/>
      <c r="G1" s="40"/>
      <c r="H1" s="40"/>
    </row>
    <row r="2" spans="1:8" s="190" customFormat="1" ht="15.75" x14ac:dyDescent="0.2">
      <c r="A2" s="105" t="str">
        <f xml:space="preserve"> "CÔNG TRÌNH : "&amp;'Bia du toan'!$G$12</f>
        <v>CÔNG TRÌNH : TRƯỜNG CAO ĐẲNG LÝ TỰ TRỌNG</v>
      </c>
      <c r="B2" s="105"/>
      <c r="C2" s="401"/>
      <c r="D2" s="105"/>
      <c r="E2" s="105"/>
      <c r="F2" s="105"/>
      <c r="G2" s="105"/>
      <c r="H2" s="105"/>
    </row>
    <row r="3" spans="1:8" s="190" customFormat="1" ht="15.75" x14ac:dyDescent="0.2">
      <c r="A3" s="105" t="str">
        <f xml:space="preserve"> "HẠNG MỤC : "&amp; 'Bia du toan'!$G$13</f>
        <v>HẠNG MỤC : CẢI TẠO THƯ VIỆN GIAI ĐOẠN 2 - NĂM 2019</v>
      </c>
      <c r="B3" s="105"/>
      <c r="C3" s="401"/>
      <c r="D3" s="105"/>
      <c r="E3" s="105"/>
      <c r="F3" s="105"/>
      <c r="G3" s="105"/>
      <c r="H3" s="105"/>
    </row>
    <row r="4" spans="1:8" s="1" customFormat="1" ht="12.75" x14ac:dyDescent="0.2"/>
    <row r="5" spans="1:8" s="1" customFormat="1" ht="16.5" customHeight="1" x14ac:dyDescent="0.2">
      <c r="A5" s="300" t="s">
        <v>665</v>
      </c>
      <c r="B5" s="300"/>
    </row>
    <row r="6" spans="1:8" x14ac:dyDescent="0.25">
      <c r="A6" s="292" t="s">
        <v>15</v>
      </c>
      <c r="B6" s="292" t="s">
        <v>1389</v>
      </c>
      <c r="C6" s="292" t="s">
        <v>666</v>
      </c>
      <c r="D6" s="292" t="s">
        <v>667</v>
      </c>
      <c r="E6" s="292" t="s">
        <v>668</v>
      </c>
    </row>
    <row r="7" spans="1:8" ht="16.5" x14ac:dyDescent="0.3">
      <c r="A7" s="295">
        <v>1</v>
      </c>
      <c r="B7" s="295" t="s">
        <v>1373</v>
      </c>
      <c r="C7" s="294" t="str">
        <f>'DT Goi thau TB'!B7</f>
        <v xml:space="preserve">Chi phí mua sắm thiết bị </v>
      </c>
      <c r="D7" s="295" t="s">
        <v>3367</v>
      </c>
      <c r="E7" s="297">
        <f>'DT Goi thau TB'!$E$7</f>
        <v>0</v>
      </c>
    </row>
    <row r="8" spans="1:8" ht="16.5" x14ac:dyDescent="0.3">
      <c r="A8" s="295">
        <v>2</v>
      </c>
      <c r="B8" s="295"/>
      <c r="C8" s="294" t="str">
        <f>'DT Goi thau TB'!B10</f>
        <v xml:space="preserve">Chi phí đào tạo và chuyển giao công nghệ </v>
      </c>
      <c r="D8" s="295" t="s">
        <v>3368</v>
      </c>
      <c r="E8" s="297">
        <f>'DT Goi thau TB'!$E$10</f>
        <v>0</v>
      </c>
    </row>
    <row r="9" spans="1:8" ht="16.5" x14ac:dyDescent="0.3">
      <c r="A9" s="295">
        <v>3</v>
      </c>
      <c r="B9" s="295"/>
      <c r="C9" s="294" t="str">
        <f>'DT Goi thau TB'!B11</f>
        <v xml:space="preserve">Chi phí lắp đặt, thí nghiệm, hiệu chỉnh </v>
      </c>
      <c r="D9" s="295" t="s">
        <v>3363</v>
      </c>
      <c r="E9" s="297">
        <f>'DT Goi thau TB'!$E$11</f>
        <v>0</v>
      </c>
    </row>
    <row r="10" spans="1:8" ht="16.5" x14ac:dyDescent="0.3">
      <c r="A10" s="295"/>
      <c r="B10" s="295" t="s">
        <v>1375</v>
      </c>
      <c r="C10" s="296" t="s">
        <v>3357</v>
      </c>
      <c r="D10" s="295" t="s">
        <v>1176</v>
      </c>
      <c r="E10" s="298">
        <f xml:space="preserve"> SUM(E7:E9)</f>
        <v>0</v>
      </c>
    </row>
    <row r="11" spans="1:8" hidden="1" x14ac:dyDescent="0.25"/>
    <row r="12" spans="1:8" ht="17.25" x14ac:dyDescent="0.3">
      <c r="B12" s="101" t="s">
        <v>1372</v>
      </c>
      <c r="C12" s="101" t="s">
        <v>1391</v>
      </c>
      <c r="D12" s="558"/>
    </row>
    <row r="13" spans="1:8" x14ac:dyDescent="0.25">
      <c r="B13" s="101" t="s">
        <v>1390</v>
      </c>
      <c r="C13" s="101" t="s">
        <v>1371</v>
      </c>
      <c r="D13" s="558"/>
    </row>
    <row r="14" spans="1:8" hidden="1" x14ac:dyDescent="0.25"/>
    <row r="15" spans="1:8" ht="17.25" x14ac:dyDescent="0.3">
      <c r="A15" s="299" t="s">
        <v>679</v>
      </c>
      <c r="B15" s="299"/>
    </row>
    <row r="19" spans="1:8" ht="15.75" x14ac:dyDescent="0.25">
      <c r="A19" s="301" t="s">
        <v>1180</v>
      </c>
      <c r="B19" s="301"/>
    </row>
    <row r="20" spans="1:8" ht="15.75" x14ac:dyDescent="0.25">
      <c r="A20" s="301" t="s">
        <v>1181</v>
      </c>
      <c r="B20" s="301"/>
    </row>
    <row r="21" spans="1:8" ht="18.75" x14ac:dyDescent="0.35">
      <c r="A21" s="303" t="s">
        <v>1179</v>
      </c>
      <c r="B21" s="303"/>
    </row>
    <row r="22" spans="1:8" ht="56.25" customHeight="1" x14ac:dyDescent="0.25">
      <c r="A22" s="1789" t="s">
        <v>1189</v>
      </c>
      <c r="B22" s="1789"/>
      <c r="C22" s="1789"/>
      <c r="D22" s="1789"/>
      <c r="E22" s="1789"/>
      <c r="F22" s="1789"/>
      <c r="G22" s="1789"/>
      <c r="H22" s="1789"/>
    </row>
    <row r="23" spans="1:8" ht="18.75" x14ac:dyDescent="0.3">
      <c r="A23" s="402" t="s">
        <v>1178</v>
      </c>
      <c r="B23" s="402"/>
    </row>
    <row r="25" spans="1:8" ht="17.25" x14ac:dyDescent="0.3">
      <c r="A25" s="101" t="s">
        <v>1182</v>
      </c>
      <c r="B25" s="101"/>
    </row>
    <row r="27" spans="1:8" ht="17.25" x14ac:dyDescent="0.25">
      <c r="A27" s="1791" t="s">
        <v>15</v>
      </c>
      <c r="B27" s="1791" t="s">
        <v>1389</v>
      </c>
      <c r="C27" s="1791" t="s">
        <v>680</v>
      </c>
      <c r="D27" s="306" t="s">
        <v>3381</v>
      </c>
      <c r="E27" s="306"/>
      <c r="F27" s="306"/>
      <c r="G27" s="306"/>
      <c r="H27" s="306"/>
    </row>
    <row r="28" spans="1:8" ht="15.75" x14ac:dyDescent="0.25">
      <c r="A28" s="1792"/>
      <c r="B28" s="1792"/>
      <c r="C28" s="1792"/>
      <c r="D28" s="307">
        <v>1</v>
      </c>
      <c r="E28" s="307">
        <v>2</v>
      </c>
      <c r="F28" s="307">
        <v>3</v>
      </c>
      <c r="G28" s="307">
        <v>4</v>
      </c>
      <c r="H28" s="307">
        <v>5</v>
      </c>
    </row>
    <row r="29" spans="1:8" ht="18.75" x14ac:dyDescent="0.25">
      <c r="A29" s="313">
        <v>1</v>
      </c>
      <c r="B29" s="313" t="s">
        <v>1379</v>
      </c>
      <c r="C29" s="314" t="s">
        <v>1183</v>
      </c>
      <c r="D29" s="315">
        <v>100</v>
      </c>
      <c r="E29" s="315">
        <v>100</v>
      </c>
      <c r="F29" s="315">
        <v>100</v>
      </c>
      <c r="G29" s="315">
        <v>100</v>
      </c>
      <c r="H29" s="315">
        <v>100</v>
      </c>
    </row>
    <row r="30" spans="1:8" ht="18.75" x14ac:dyDescent="0.25">
      <c r="A30" s="313">
        <v>2</v>
      </c>
      <c r="B30" s="313" t="s">
        <v>1380</v>
      </c>
      <c r="C30" s="314" t="s">
        <v>3382</v>
      </c>
      <c r="D30" s="313"/>
      <c r="E30" s="316">
        <f xml:space="preserve"> E29/D29</f>
        <v>1</v>
      </c>
      <c r="F30" s="316">
        <f xml:space="preserve"> F29/E29</f>
        <v>1</v>
      </c>
      <c r="G30" s="316">
        <f xml:space="preserve"> G29/F29</f>
        <v>1</v>
      </c>
      <c r="H30" s="316">
        <f xml:space="preserve"> H29/G29</f>
        <v>1</v>
      </c>
    </row>
    <row r="31" spans="1:8" ht="39" customHeight="1" x14ac:dyDescent="0.25">
      <c r="A31" s="313">
        <v>3</v>
      </c>
      <c r="B31" s="313" t="s">
        <v>1381</v>
      </c>
      <c r="C31" s="403" t="s">
        <v>1184</v>
      </c>
      <c r="D31" s="313"/>
      <c r="E31" s="316"/>
      <c r="F31" s="316"/>
      <c r="G31" s="316"/>
      <c r="H31" s="316">
        <f>SUM(E30:H30)</f>
        <v>4</v>
      </c>
    </row>
    <row r="32" spans="1:8" ht="18.75" x14ac:dyDescent="0.35">
      <c r="A32" s="313">
        <v>4</v>
      </c>
      <c r="B32" s="313" t="s">
        <v>1382</v>
      </c>
      <c r="C32" s="404" t="s">
        <v>1185</v>
      </c>
      <c r="D32" s="1793">
        <f>AVERAGE(E30:H30)</f>
        <v>1</v>
      </c>
      <c r="E32" s="1794"/>
      <c r="F32" s="1794"/>
      <c r="G32" s="1794"/>
      <c r="H32" s="1795"/>
    </row>
    <row r="33" spans="1:8" ht="18.75" x14ac:dyDescent="0.35">
      <c r="A33" s="313">
        <v>5</v>
      </c>
      <c r="B33" s="313" t="s">
        <v>1383</v>
      </c>
      <c r="C33" s="317" t="s">
        <v>1195</v>
      </c>
      <c r="D33" s="1790"/>
      <c r="E33" s="1790"/>
      <c r="F33" s="1790"/>
      <c r="G33" s="1790"/>
      <c r="H33" s="1790"/>
    </row>
    <row r="35" spans="1:8" x14ac:dyDescent="0.25">
      <c r="A35" s="101" t="s">
        <v>1186</v>
      </c>
      <c r="B35" s="101"/>
    </row>
    <row r="36" spans="1:8" ht="15.75" x14ac:dyDescent="0.25">
      <c r="A36" s="1796" t="s">
        <v>15</v>
      </c>
      <c r="B36" s="1791" t="s">
        <v>1389</v>
      </c>
      <c r="C36" s="1796" t="s">
        <v>683</v>
      </c>
      <c r="D36" s="308" t="s">
        <v>681</v>
      </c>
      <c r="E36" s="308"/>
      <c r="F36" s="308"/>
      <c r="G36" s="308"/>
      <c r="H36" s="308"/>
    </row>
    <row r="37" spans="1:8" ht="15.75" x14ac:dyDescent="0.25">
      <c r="A37" s="1796"/>
      <c r="B37" s="1792"/>
      <c r="C37" s="1796"/>
      <c r="D37" s="736">
        <v>1</v>
      </c>
      <c r="E37" s="736">
        <v>2</v>
      </c>
      <c r="F37" s="736">
        <v>3</v>
      </c>
      <c r="G37" s="736">
        <v>4</v>
      </c>
      <c r="H37" s="736">
        <v>5</v>
      </c>
    </row>
    <row r="38" spans="1:8" ht="15.75" x14ac:dyDescent="0.25">
      <c r="A38" s="310">
        <v>1</v>
      </c>
      <c r="B38" s="310" t="s">
        <v>534</v>
      </c>
      <c r="C38" s="311" t="s">
        <v>684</v>
      </c>
      <c r="D38" s="409">
        <v>0.15</v>
      </c>
      <c r="E38" s="409">
        <v>0.25</v>
      </c>
      <c r="F38" s="409">
        <v>0.25</v>
      </c>
      <c r="G38" s="409">
        <v>0.25</v>
      </c>
      <c r="H38" s="409">
        <v>0.1</v>
      </c>
    </row>
    <row r="39" spans="1:8" ht="36" x14ac:dyDescent="0.25">
      <c r="A39" s="310">
        <v>2</v>
      </c>
      <c r="B39" s="310" t="s">
        <v>535</v>
      </c>
      <c r="C39" s="311" t="s">
        <v>1190</v>
      </c>
      <c r="D39" s="312">
        <f xml:space="preserve"> $E$10*D38</f>
        <v>0</v>
      </c>
      <c r="E39" s="312">
        <f xml:space="preserve"> $E$10*E38</f>
        <v>0</v>
      </c>
      <c r="F39" s="312">
        <f xml:space="preserve"> $E$10*F38</f>
        <v>0</v>
      </c>
      <c r="G39" s="312">
        <f xml:space="preserve"> $E$10*G38</f>
        <v>0</v>
      </c>
      <c r="H39" s="312">
        <f xml:space="preserve"> $E$10*H38</f>
        <v>0</v>
      </c>
    </row>
    <row r="40" spans="1:8" ht="15.75" x14ac:dyDescent="0.25">
      <c r="A40" s="310">
        <v>3</v>
      </c>
      <c r="B40" s="310" t="s">
        <v>1384</v>
      </c>
      <c r="C40" s="311" t="s">
        <v>686</v>
      </c>
      <c r="D40" s="312">
        <f>D39*(($D$32+$D$33)^D37-1)</f>
        <v>0</v>
      </c>
      <c r="E40" s="312">
        <f>E39*(($D$32+$D$33)^E37-1)</f>
        <v>0</v>
      </c>
      <c r="F40" s="312">
        <f>F39*(($D$32+$D$33)^F37-1)</f>
        <v>0</v>
      </c>
      <c r="G40" s="312">
        <f>G39*(($D$32+$D$33)^G37-1)</f>
        <v>0</v>
      </c>
      <c r="H40" s="312">
        <f>H39*(($D$32+$D$33)^H37-1)</f>
        <v>0</v>
      </c>
    </row>
    <row r="41" spans="1:8" ht="18.75" x14ac:dyDescent="0.25">
      <c r="A41" s="310">
        <v>4</v>
      </c>
      <c r="B41" s="310" t="s">
        <v>1385</v>
      </c>
      <c r="C41" s="311" t="s">
        <v>687</v>
      </c>
      <c r="D41" s="405">
        <f>SUM($D$40:D40)</f>
        <v>0</v>
      </c>
      <c r="E41" s="405">
        <f>SUM($D$40:E40)</f>
        <v>0</v>
      </c>
      <c r="F41" s="405">
        <f>SUM($D$40:F40)</f>
        <v>0</v>
      </c>
      <c r="G41" s="405">
        <f>SUM($D$40:G40)</f>
        <v>0</v>
      </c>
      <c r="H41" s="405">
        <f>SUM($D$40:H40)</f>
        <v>0</v>
      </c>
    </row>
  </sheetData>
  <mergeCells count="9">
    <mergeCell ref="A36:A37"/>
    <mergeCell ref="B36:B37"/>
    <mergeCell ref="C36:C37"/>
    <mergeCell ref="A22:H22"/>
    <mergeCell ref="A27:A28"/>
    <mergeCell ref="B27:B28"/>
    <mergeCell ref="C27:C28"/>
    <mergeCell ref="D32:H32"/>
    <mergeCell ref="D33:H33"/>
  </mergeCells>
  <dataValidations count="3">
    <dataValidation allowBlank="1" showInputMessage="1" showErrorMessage="1" promptTitle="Điền mức phân bổ vốn huy động" prompt="Nhập vào tỷ lệ phân bổ vốn theo tiến độ từng năm (%)" sqref="D38:H38"/>
    <dataValidation allowBlank="1" showInputMessage="1" showErrorMessage="1" promptTitle="Nhập chỉ số giá xây dựng " prompt="Nhập chỉ số giá xây dựng cá năm gần nhất" sqref="D29:H29"/>
    <dataValidation allowBlank="1" showInputMessage="1" showErrorMessage="1" promptTitle="Mức độ biến động của các yếu tố" prompt="Người dùng nhập vào mức dự báo biến động của các yếu tố chi phí, giá cả." sqref="D32:H33"/>
  </dataValidations>
  <pageMargins left="0.7" right="0.26" top="0.54" bottom="0.56999999999999995" header="0.3" footer="0.3"/>
  <pageSetup scale="95" orientation="portrait" r:id="rId1"/>
  <headerFooter>
    <oddHeader>&amp;L&amp;"Times New Roman,Bold Italic"&amp;9Dự toán Bắc Nam  - ÐT: 0966.966.455</oddHeader>
    <oddFooter>&amp;R&amp;9Trang &amp;P/&amp;N</oddFooter>
  </headerFooter>
  <drawing r:id="rId2"/>
  <legacyDrawing r:id="rId3"/>
  <oleObjects>
    <mc:AlternateContent xmlns:mc="http://schemas.openxmlformats.org/markup-compatibility/2006">
      <mc:Choice Requires="x14">
        <oleObject progId="Equation.3" shapeId="93185" r:id="rId4">
          <objectPr defaultSize="0" autoPict="0" r:id="rId5">
            <anchor moveWithCells="1">
              <from>
                <xdr:col>2</xdr:col>
                <xdr:colOff>9525</xdr:colOff>
                <xdr:row>15</xdr:row>
                <xdr:rowOff>28575</xdr:rowOff>
              </from>
              <to>
                <xdr:col>2</xdr:col>
                <xdr:colOff>609600</xdr:colOff>
                <xdr:row>18</xdr:row>
                <xdr:rowOff>0</xdr:rowOff>
              </to>
            </anchor>
          </objectPr>
        </oleObject>
      </mc:Choice>
      <mc:Fallback>
        <oleObject progId="Equation.3" shapeId="93185" r:id="rId4"/>
      </mc:Fallback>
    </mc:AlternateContent>
    <mc:AlternateContent xmlns:mc="http://schemas.openxmlformats.org/markup-compatibility/2006">
      <mc:Choice Requires="x14">
        <oleObject progId="Equation.3" shapeId="93186" r:id="rId6">
          <objectPr defaultSize="0" autoPict="0" r:id="rId7">
            <anchor moveWithCells="1">
              <from>
                <xdr:col>2</xdr:col>
                <xdr:colOff>1285875</xdr:colOff>
                <xdr:row>22</xdr:row>
                <xdr:rowOff>228600</xdr:rowOff>
              </from>
              <to>
                <xdr:col>2</xdr:col>
                <xdr:colOff>1285875</xdr:colOff>
                <xdr:row>25</xdr:row>
                <xdr:rowOff>152400</xdr:rowOff>
              </to>
            </anchor>
          </objectPr>
        </oleObject>
      </mc:Choice>
      <mc:Fallback>
        <oleObject progId="Equation.3" shapeId="93186" r:id="rId6"/>
      </mc:Fallback>
    </mc:AlternateContent>
    <mc:AlternateContent xmlns:mc="http://schemas.openxmlformats.org/markup-compatibility/2006">
      <mc:Choice Requires="x14">
        <oleObject progId="Equation.3" shapeId="93187" r:id="rId8">
          <objectPr defaultSize="0" autoPict="0" r:id="rId9">
            <anchor moveWithCells="1">
              <from>
                <xdr:col>2</xdr:col>
                <xdr:colOff>1971675</xdr:colOff>
                <xdr:row>30</xdr:row>
                <xdr:rowOff>19050</xdr:rowOff>
              </from>
              <to>
                <xdr:col>2</xdr:col>
                <xdr:colOff>1971675</xdr:colOff>
                <xdr:row>31</xdr:row>
                <xdr:rowOff>0</xdr:rowOff>
              </to>
            </anchor>
          </objectPr>
        </oleObject>
      </mc:Choice>
      <mc:Fallback>
        <oleObject progId="Equation.3" shapeId="93187" r:id="rId8"/>
      </mc:Fallback>
    </mc:AlternateContent>
    <mc:AlternateContent xmlns:mc="http://schemas.openxmlformats.org/markup-compatibility/2006">
      <mc:Choice Requires="x14">
        <oleObject progId="Equation.3" shapeId="93188" r:id="rId10">
          <objectPr defaultSize="0" autoPict="0" r:id="rId5">
            <anchor moveWithCells="1">
              <from>
                <xdr:col>2</xdr:col>
                <xdr:colOff>9525</xdr:colOff>
                <xdr:row>15</xdr:row>
                <xdr:rowOff>28575</xdr:rowOff>
              </from>
              <to>
                <xdr:col>2</xdr:col>
                <xdr:colOff>2809875</xdr:colOff>
                <xdr:row>17</xdr:row>
                <xdr:rowOff>171450</xdr:rowOff>
              </to>
            </anchor>
          </objectPr>
        </oleObject>
      </mc:Choice>
      <mc:Fallback>
        <oleObject progId="Equation.3" shapeId="93188" r:id="rId10"/>
      </mc:Fallback>
    </mc:AlternateContent>
  </oleObjects>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TDT_TB"/>
  <dimension ref="A1:H25"/>
  <sheetViews>
    <sheetView showGridLines="0" workbookViewId="0"/>
  </sheetViews>
  <sheetFormatPr defaultRowHeight="12.75" outlineLevelCol="1" x14ac:dyDescent="0.2"/>
  <cols>
    <col min="1" max="1" width="4.28515625" style="1" bestFit="1" customWidth="1"/>
    <col min="2" max="2" width="70.140625" style="1" bestFit="1" customWidth="1"/>
    <col min="3" max="3" width="9.28515625" style="1" bestFit="1" customWidth="1"/>
    <col min="4" max="4" width="10.140625" style="1" bestFit="1" customWidth="1"/>
    <col min="5" max="5" width="15.140625" style="1" customWidth="1"/>
    <col min="6" max="6" width="9.85546875" style="1" bestFit="1" customWidth="1"/>
    <col min="7" max="7" width="0" style="1" hidden="1" customWidth="1" outlineLevel="1"/>
    <col min="8" max="8" width="9.140625" style="1" collapsed="1"/>
    <col min="9" max="16384" width="9.140625" style="1"/>
  </cols>
  <sheetData>
    <row r="1" spans="1:7" s="835" customFormat="1" ht="37.5" x14ac:dyDescent="0.3">
      <c r="A1" s="838" t="s">
        <v>3374</v>
      </c>
      <c r="B1" s="834"/>
      <c r="C1" s="834"/>
      <c r="D1" s="834"/>
      <c r="E1" s="834"/>
      <c r="F1" s="834"/>
    </row>
    <row r="2" spans="1:7" s="348" customFormat="1" ht="15.75" x14ac:dyDescent="0.25">
      <c r="A2" s="352" t="s">
        <v>1077</v>
      </c>
      <c r="B2" s="352"/>
      <c r="C2" s="352"/>
      <c r="D2" s="352"/>
      <c r="E2" s="352"/>
      <c r="F2" s="352"/>
    </row>
    <row r="3" spans="1:7" s="348" customFormat="1" ht="15.75" x14ac:dyDescent="0.25">
      <c r="A3" s="352" t="s">
        <v>1086</v>
      </c>
      <c r="B3" s="352"/>
      <c r="C3" s="352"/>
      <c r="D3" s="352"/>
      <c r="E3" s="352"/>
      <c r="F3" s="352"/>
      <c r="G3" s="351"/>
    </row>
    <row r="6" spans="1:7" s="350" customFormat="1" ht="38.25" x14ac:dyDescent="0.2">
      <c r="A6" s="429" t="s">
        <v>15</v>
      </c>
      <c r="B6" s="429" t="s">
        <v>470</v>
      </c>
      <c r="C6" s="429" t="s">
        <v>3353</v>
      </c>
      <c r="D6" s="429" t="s">
        <v>3354</v>
      </c>
      <c r="E6" s="429" t="s">
        <v>3355</v>
      </c>
      <c r="F6" s="429" t="s">
        <v>272</v>
      </c>
      <c r="G6" s="429" t="s">
        <v>3371</v>
      </c>
    </row>
    <row r="7" spans="1:7" ht="17.25" x14ac:dyDescent="0.2">
      <c r="A7" s="427">
        <v>1</v>
      </c>
      <c r="B7" s="428" t="s">
        <v>1093</v>
      </c>
      <c r="C7" s="430">
        <f>SUM(C8:C9)</f>
        <v>0</v>
      </c>
      <c r="D7" s="430">
        <f>SUM(D8:D9)</f>
        <v>0</v>
      </c>
      <c r="E7" s="430">
        <f>SUM(E8:E9)</f>
        <v>0</v>
      </c>
      <c r="F7" s="424" t="s">
        <v>3358</v>
      </c>
      <c r="G7" s="424"/>
    </row>
    <row r="8" spans="1:7" ht="15.75" x14ac:dyDescent="0.2">
      <c r="A8" s="371"/>
      <c r="B8" s="372" t="s">
        <v>1094</v>
      </c>
      <c r="C8" s="431"/>
      <c r="D8" s="431">
        <f>C8*10%</f>
        <v>0</v>
      </c>
      <c r="E8" s="431">
        <f>D8+C8</f>
        <v>0</v>
      </c>
      <c r="F8" s="372"/>
      <c r="G8" s="372"/>
    </row>
    <row r="9" spans="1:7" ht="15.75" x14ac:dyDescent="0.2">
      <c r="A9" s="371"/>
      <c r="B9" s="372" t="s">
        <v>1095</v>
      </c>
      <c r="C9" s="431"/>
      <c r="D9" s="431">
        <f>C9*10%</f>
        <v>0</v>
      </c>
      <c r="E9" s="431">
        <f>D9+C9</f>
        <v>0</v>
      </c>
      <c r="F9" s="372"/>
      <c r="G9" s="372"/>
    </row>
    <row r="10" spans="1:7" ht="17.25" x14ac:dyDescent="0.2">
      <c r="A10" s="424">
        <v>2</v>
      </c>
      <c r="B10" s="425" t="s">
        <v>1096</v>
      </c>
      <c r="C10" s="432"/>
      <c r="D10" s="431">
        <f>C10*10%</f>
        <v>0</v>
      </c>
      <c r="E10" s="431">
        <f>D10+C10</f>
        <v>0</v>
      </c>
      <c r="F10" s="424" t="s">
        <v>3359</v>
      </c>
      <c r="G10" s="424"/>
    </row>
    <row r="11" spans="1:7" ht="17.25" x14ac:dyDescent="0.2">
      <c r="A11" s="424">
        <v>3</v>
      </c>
      <c r="B11" s="425" t="s">
        <v>1097</v>
      </c>
      <c r="C11" s="432"/>
      <c r="D11" s="431">
        <f>C11*10%</f>
        <v>0</v>
      </c>
      <c r="E11" s="431">
        <f>D11+C11</f>
        <v>0</v>
      </c>
      <c r="F11" s="424" t="s">
        <v>3360</v>
      </c>
      <c r="G11" s="424"/>
    </row>
    <row r="12" spans="1:7" ht="17.25" x14ac:dyDescent="0.2">
      <c r="A12" s="424">
        <v>4</v>
      </c>
      <c r="B12" s="425" t="s">
        <v>3361</v>
      </c>
      <c r="C12" s="432"/>
      <c r="D12" s="431">
        <f>C12*10%</f>
        <v>0</v>
      </c>
      <c r="E12" s="431">
        <f>D12+C12</f>
        <v>0</v>
      </c>
      <c r="F12" s="424" t="s">
        <v>1067</v>
      </c>
      <c r="G12" s="424"/>
    </row>
    <row r="13" spans="1:7" ht="17.25" x14ac:dyDescent="0.2">
      <c r="A13" s="424">
        <v>5</v>
      </c>
      <c r="B13" s="425" t="s">
        <v>3369</v>
      </c>
      <c r="C13" s="432">
        <f>C14+C15</f>
        <v>0</v>
      </c>
      <c r="D13" s="432">
        <f>D14+D15</f>
        <v>0</v>
      </c>
      <c r="E13" s="432">
        <f>E14+E15</f>
        <v>0</v>
      </c>
      <c r="F13" s="424" t="s">
        <v>1213</v>
      </c>
      <c r="G13" s="424"/>
    </row>
    <row r="14" spans="1:7" ht="18.75" x14ac:dyDescent="0.2">
      <c r="A14" s="371"/>
      <c r="B14" s="372" t="s">
        <v>3372</v>
      </c>
      <c r="C14" s="431">
        <f>G14*(C7+C10+C11+C12)</f>
        <v>0</v>
      </c>
      <c r="D14" s="431"/>
      <c r="E14" s="433">
        <f>D14+C14</f>
        <v>0</v>
      </c>
      <c r="F14" s="424" t="s">
        <v>1211</v>
      </c>
      <c r="G14" s="837">
        <v>0.05</v>
      </c>
    </row>
    <row r="15" spans="1:7" ht="17.25" x14ac:dyDescent="0.2">
      <c r="A15" s="371"/>
      <c r="B15" s="372" t="s">
        <v>1072</v>
      </c>
      <c r="C15" s="431">
        <f>DP2C!$H$40</f>
        <v>0</v>
      </c>
      <c r="D15" s="431"/>
      <c r="E15" s="433">
        <f>D15+C15</f>
        <v>0</v>
      </c>
      <c r="F15" s="424" t="s">
        <v>1212</v>
      </c>
      <c r="G15" s="424"/>
    </row>
    <row r="16" spans="1:7" s="350" customFormat="1" ht="17.25" x14ac:dyDescent="0.2">
      <c r="A16" s="426"/>
      <c r="B16" s="426" t="s">
        <v>1098</v>
      </c>
      <c r="C16" s="434">
        <f>C7+C10+C11+C12+C13</f>
        <v>0</v>
      </c>
      <c r="D16" s="434">
        <f>D7+D10+D11+D12+D13</f>
        <v>0</v>
      </c>
      <c r="E16" s="434">
        <f>E7+E10+E11+E12+E13</f>
        <v>0</v>
      </c>
      <c r="F16" s="380" t="s">
        <v>3370</v>
      </c>
      <c r="G16" s="380"/>
    </row>
    <row r="20" spans="2:4" ht="14.25" x14ac:dyDescent="0.2">
      <c r="B20" s="54" t="s">
        <v>311</v>
      </c>
      <c r="C20" s="1798" t="s">
        <v>312</v>
      </c>
      <c r="D20" s="1798"/>
    </row>
    <row r="21" spans="2:4" ht="15" x14ac:dyDescent="0.25">
      <c r="B21" s="66"/>
      <c r="C21" s="67"/>
    </row>
    <row r="22" spans="2:4" ht="15" x14ac:dyDescent="0.25">
      <c r="B22" s="66"/>
      <c r="C22" s="67"/>
    </row>
    <row r="23" spans="2:4" ht="15" x14ac:dyDescent="0.25">
      <c r="B23" s="66"/>
      <c r="C23" s="67"/>
    </row>
    <row r="24" spans="2:4" ht="15" x14ac:dyDescent="0.25">
      <c r="B24" s="97" t="s">
        <v>313</v>
      </c>
      <c r="C24" s="1799" t="s">
        <v>313</v>
      </c>
      <c r="D24" s="1799"/>
    </row>
    <row r="25" spans="2:4" ht="15" x14ac:dyDescent="0.25">
      <c r="B25" s="66"/>
      <c r="C25" s="152" t="s">
        <v>314</v>
      </c>
      <c r="D25" s="560"/>
    </row>
  </sheetData>
  <mergeCells count="2">
    <mergeCell ref="C20:D20"/>
    <mergeCell ref="C24:D24"/>
  </mergeCells>
  <pageMargins left="0.55118110236220497" right="0.196850393700787" top="0.43307086614173201" bottom="0.59055118110236204" header="0.15748031496063" footer="0.23622047244094499"/>
  <pageSetup paperSize="9" orientation="landscape" r:id="rId1"/>
  <headerFooter alignWithMargins="0">
    <oddHeader>&amp;L&amp;"Times New Roman,Bold Italic"&amp;9Dự toán Bắc Nam  - ÐT: 0966.966.455</oddHeader>
    <oddFooter>&amp;R&amp;9Trang &amp;P/&amp;N</oddFooter>
  </headerFooter>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SBTMDT">
    <tabColor rgb="FFFFC000"/>
  </sheetPr>
  <dimension ref="A1:G23"/>
  <sheetViews>
    <sheetView showGridLines="0" topLeftCell="A13" workbookViewId="0">
      <selection activeCell="A77" sqref="A77"/>
    </sheetView>
  </sheetViews>
  <sheetFormatPr defaultRowHeight="12.75" x14ac:dyDescent="0.2"/>
  <cols>
    <col min="1" max="1" width="5.140625" style="1" bestFit="1" customWidth="1"/>
    <col min="2" max="2" width="39.85546875" style="1" bestFit="1" customWidth="1"/>
    <col min="3" max="3" width="16.7109375" style="832" customWidth="1"/>
    <col min="4" max="4" width="13.140625" style="832" bestFit="1" customWidth="1"/>
    <col min="5" max="5" width="20.42578125" style="1" bestFit="1" customWidth="1"/>
    <col min="6" max="6" width="18.5703125" style="1" hidden="1" customWidth="1"/>
    <col min="7" max="16384" width="9.140625" style="1"/>
  </cols>
  <sheetData>
    <row r="1" spans="1:7" s="350" customFormat="1" ht="20.25" x14ac:dyDescent="0.3">
      <c r="A1" s="349" t="s">
        <v>1081</v>
      </c>
      <c r="B1" s="349"/>
      <c r="C1" s="825"/>
      <c r="D1" s="825"/>
      <c r="E1" s="349"/>
      <c r="F1" s="349"/>
    </row>
    <row r="2" spans="1:7" s="348" customFormat="1" ht="15.75" x14ac:dyDescent="0.25">
      <c r="A2" s="245" t="str">
        <f>"CÔNG TRÌNH : "&amp;'Bia du toan'!$G$12</f>
        <v>CÔNG TRÌNH : TRƯỜNG CAO ĐẲNG LÝ TỰ TRỌNG</v>
      </c>
      <c r="B2" s="352"/>
      <c r="C2" s="826"/>
      <c r="D2" s="826"/>
      <c r="E2" s="352"/>
      <c r="F2" s="352"/>
    </row>
    <row r="3" spans="1:7" s="348" customFormat="1" ht="15.75" x14ac:dyDescent="0.25">
      <c r="A3" s="245" t="str">
        <f>"HẠNG MỤC : "&amp; 'Bia du toan'!$G$13</f>
        <v>HẠNG MỤC : CẢI TẠO THƯ VIỆN GIAI ĐOẠN 2 - NĂM 2019</v>
      </c>
      <c r="B3" s="352"/>
      <c r="C3" s="826"/>
      <c r="D3" s="826"/>
      <c r="E3" s="352"/>
      <c r="F3" s="352"/>
    </row>
    <row r="5" spans="1:7" s="350" customFormat="1" ht="25.5" x14ac:dyDescent="0.2">
      <c r="A5" s="429" t="s">
        <v>15</v>
      </c>
      <c r="B5" s="429" t="s">
        <v>470</v>
      </c>
      <c r="C5" s="827" t="s">
        <v>471</v>
      </c>
      <c r="D5" s="827" t="s">
        <v>472</v>
      </c>
      <c r="E5" s="429" t="s">
        <v>473</v>
      </c>
      <c r="F5" s="429" t="s">
        <v>707</v>
      </c>
    </row>
    <row r="6" spans="1:7" ht="20.25" x14ac:dyDescent="0.2">
      <c r="A6" s="353">
        <v>1</v>
      </c>
      <c r="B6" s="356" t="s">
        <v>1061</v>
      </c>
      <c r="C6" s="385"/>
      <c r="D6" s="385"/>
      <c r="E6" s="353" t="s">
        <v>1158</v>
      </c>
      <c r="F6" s="357"/>
    </row>
    <row r="7" spans="1:7" ht="20.25" x14ac:dyDescent="0.2">
      <c r="A7" s="353">
        <v>2</v>
      </c>
      <c r="B7" s="356" t="s">
        <v>678</v>
      </c>
      <c r="C7" s="385"/>
      <c r="D7" s="385"/>
      <c r="E7" s="353" t="s">
        <v>1159</v>
      </c>
      <c r="F7" s="357"/>
    </row>
    <row r="8" spans="1:7" ht="20.25" x14ac:dyDescent="0.2">
      <c r="A8" s="353">
        <v>3</v>
      </c>
      <c r="B8" s="356" t="s">
        <v>677</v>
      </c>
      <c r="C8" s="385"/>
      <c r="D8" s="385"/>
      <c r="E8" s="353" t="s">
        <v>1160</v>
      </c>
      <c r="F8" s="357"/>
    </row>
    <row r="9" spans="1:7" ht="20.25" x14ac:dyDescent="0.2">
      <c r="A9" s="353">
        <v>4</v>
      </c>
      <c r="B9" s="356" t="s">
        <v>143</v>
      </c>
      <c r="C9" s="385"/>
      <c r="D9" s="385"/>
      <c r="E9" s="353" t="s">
        <v>1161</v>
      </c>
      <c r="F9" s="1800" t="s">
        <v>1165</v>
      </c>
    </row>
    <row r="10" spans="1:7" ht="20.25" x14ac:dyDescent="0.2">
      <c r="A10" s="353">
        <v>5</v>
      </c>
      <c r="B10" s="356" t="s">
        <v>676</v>
      </c>
      <c r="C10" s="385"/>
      <c r="D10" s="385"/>
      <c r="E10" s="353" t="s">
        <v>1162</v>
      </c>
      <c r="F10" s="1801"/>
    </row>
    <row r="11" spans="1:7" ht="20.25" x14ac:dyDescent="0.2">
      <c r="A11" s="353">
        <v>6</v>
      </c>
      <c r="B11" s="356" t="s">
        <v>1078</v>
      </c>
      <c r="C11" s="385"/>
      <c r="D11" s="385"/>
      <c r="E11" s="353" t="s">
        <v>1163</v>
      </c>
      <c r="F11" s="357"/>
    </row>
    <row r="12" spans="1:7" ht="20.25" x14ac:dyDescent="0.2">
      <c r="A12" s="353">
        <v>7</v>
      </c>
      <c r="B12" s="356" t="s">
        <v>1079</v>
      </c>
      <c r="C12" s="385"/>
      <c r="D12" s="385"/>
      <c r="E12" s="353" t="s">
        <v>1164</v>
      </c>
      <c r="F12" s="357"/>
    </row>
    <row r="13" spans="1:7" ht="18.75" x14ac:dyDescent="0.2">
      <c r="A13" s="353"/>
      <c r="B13" s="355" t="s">
        <v>1074</v>
      </c>
      <c r="C13" s="384">
        <f>SUM(C6:C12)</f>
        <v>0</v>
      </c>
      <c r="D13" s="384">
        <f>SUM(D6:D12)</f>
        <v>0</v>
      </c>
      <c r="E13" s="354" t="s">
        <v>1080</v>
      </c>
      <c r="F13" s="357"/>
    </row>
    <row r="14" spans="1:7" ht="15.75" x14ac:dyDescent="0.2">
      <c r="A14" s="777" t="e">
        <f ca="1">"Bằng chữ : "&amp;docsoUN(D13)</f>
        <v>#NAME?</v>
      </c>
      <c r="B14" s="560"/>
      <c r="C14" s="846"/>
      <c r="D14" s="846"/>
      <c r="E14" s="560"/>
    </row>
    <row r="15" spans="1:7" s="101" customFormat="1" ht="15" x14ac:dyDescent="0.25">
      <c r="A15" s="100"/>
      <c r="B15" s="54" t="s">
        <v>311</v>
      </c>
      <c r="C15" s="828" t="s">
        <v>312</v>
      </c>
      <c r="D15" s="828"/>
      <c r="E15" s="150"/>
      <c r="G15" s="55"/>
    </row>
    <row r="16" spans="1:7" s="2" customFormat="1" ht="15" x14ac:dyDescent="0.25">
      <c r="A16" s="66"/>
      <c r="B16" s="66"/>
      <c r="C16" s="829"/>
      <c r="D16" s="829"/>
      <c r="E16" s="67"/>
      <c r="G16" s="66"/>
    </row>
    <row r="17" spans="1:7" s="2" customFormat="1" ht="15" x14ac:dyDescent="0.25">
      <c r="A17" s="66"/>
      <c r="B17" s="66"/>
      <c r="C17" s="829"/>
      <c r="D17" s="829"/>
      <c r="E17" s="67"/>
      <c r="G17" s="66"/>
    </row>
    <row r="18" spans="1:7" s="2" customFormat="1" ht="15" x14ac:dyDescent="0.25">
      <c r="A18" s="66"/>
      <c r="B18" s="66"/>
      <c r="C18" s="829"/>
      <c r="D18" s="829"/>
      <c r="E18" s="67"/>
      <c r="G18" s="66"/>
    </row>
    <row r="19" spans="1:7" s="2" customFormat="1" ht="15" x14ac:dyDescent="0.25">
      <c r="A19" s="66"/>
      <c r="B19" s="66"/>
      <c r="C19" s="829"/>
      <c r="D19" s="829"/>
      <c r="E19" s="67"/>
      <c r="G19" s="66"/>
    </row>
    <row r="20" spans="1:7" s="2" customFormat="1" ht="15" x14ac:dyDescent="0.25">
      <c r="A20" s="66"/>
      <c r="B20" s="66"/>
      <c r="C20" s="829"/>
      <c r="D20" s="829"/>
      <c r="E20" s="67"/>
      <c r="G20" s="66"/>
    </row>
    <row r="21" spans="1:7" s="2" customFormat="1" ht="15" x14ac:dyDescent="0.25">
      <c r="A21" s="66"/>
      <c r="B21" s="66"/>
      <c r="C21" s="829"/>
      <c r="D21" s="829"/>
      <c r="E21" s="67"/>
      <c r="G21" s="66"/>
    </row>
    <row r="22" spans="1:7" s="2" customFormat="1" ht="15" x14ac:dyDescent="0.25">
      <c r="A22" s="66"/>
      <c r="B22" s="97" t="s">
        <v>313</v>
      </c>
      <c r="C22" s="830" t="s">
        <v>313</v>
      </c>
      <c r="D22" s="830"/>
      <c r="E22" s="152"/>
      <c r="G22" s="96"/>
    </row>
    <row r="23" spans="1:7" s="2" customFormat="1" ht="15" x14ac:dyDescent="0.25">
      <c r="A23" s="66"/>
      <c r="B23" s="66"/>
      <c r="C23" s="831" t="s">
        <v>314</v>
      </c>
      <c r="D23" s="831"/>
      <c r="E23" s="152"/>
      <c r="G23" s="96"/>
    </row>
  </sheetData>
  <mergeCells count="1">
    <mergeCell ref="F9:F10"/>
  </mergeCells>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DP2C">
    <tabColor rgb="FFFF0000"/>
  </sheetPr>
  <dimension ref="A1:H48"/>
  <sheetViews>
    <sheetView topLeftCell="A45" workbookViewId="0">
      <selection activeCell="E12" sqref="E12"/>
    </sheetView>
  </sheetViews>
  <sheetFormatPr defaultRowHeight="15" outlineLevelCol="1" x14ac:dyDescent="0.25"/>
  <cols>
    <col min="1" max="1" width="5.85546875" style="2" customWidth="1"/>
    <col min="2" max="2" width="5.85546875" style="2" hidden="1" customWidth="1" outlineLevel="1"/>
    <col min="3" max="3" width="38.140625" style="2" customWidth="1" collapsed="1"/>
    <col min="4" max="4" width="11.5703125" style="2" bestFit="1" customWidth="1"/>
    <col min="5" max="5" width="15.7109375" style="2" bestFit="1" customWidth="1"/>
    <col min="6" max="8" width="11.5703125" style="2" bestFit="1" customWidth="1"/>
    <col min="9" max="16384" width="9.140625" style="2"/>
  </cols>
  <sheetData>
    <row r="1" spans="1:8" s="189" customFormat="1" ht="20.25" x14ac:dyDescent="0.25">
      <c r="A1" s="413" t="s">
        <v>1197</v>
      </c>
      <c r="B1" s="413"/>
      <c r="C1" s="414"/>
      <c r="D1" s="415"/>
      <c r="E1" s="415"/>
      <c r="F1" s="415"/>
      <c r="G1" s="415"/>
      <c r="H1" s="40"/>
    </row>
    <row r="2" spans="1:8" s="190" customFormat="1" ht="15.75" x14ac:dyDescent="0.2">
      <c r="A2" s="416" t="str">
        <f xml:space="preserve"> "CÔNG TRÌNH : "&amp;'Bia du toan'!$G$12</f>
        <v>CÔNG TRÌNH : TRƯỜNG CAO ĐẲNG LÝ TỰ TRỌNG</v>
      </c>
      <c r="B2" s="416"/>
      <c r="C2" s="417"/>
      <c r="D2" s="416"/>
      <c r="E2" s="416"/>
      <c r="F2" s="416"/>
      <c r="G2" s="416"/>
      <c r="H2" s="105"/>
    </row>
    <row r="3" spans="1:8" s="190" customFormat="1" ht="15.75" x14ac:dyDescent="0.2">
      <c r="A3" s="416" t="str">
        <f xml:space="preserve"> "HẠNG MỤC : "&amp; 'Bia du toan'!$G$13</f>
        <v>HẠNG MỤC : CẢI TẠO THƯ VIỆN GIAI ĐOẠN 2 - NĂM 2019</v>
      </c>
      <c r="B3" s="416"/>
      <c r="C3" s="417"/>
      <c r="D3" s="416"/>
      <c r="E3" s="416"/>
      <c r="F3" s="416"/>
      <c r="G3" s="416"/>
      <c r="H3" s="105"/>
    </row>
    <row r="4" spans="1:8" s="1" customFormat="1" ht="12.75" x14ac:dyDescent="0.2">
      <c r="A4" s="418"/>
      <c r="B4" s="418"/>
      <c r="C4" s="418"/>
      <c r="D4" s="418"/>
      <c r="E4" s="418"/>
      <c r="F4" s="418"/>
      <c r="G4" s="418"/>
    </row>
    <row r="5" spans="1:8" s="1" customFormat="1" ht="16.5" customHeight="1" x14ac:dyDescent="0.2">
      <c r="A5" s="300" t="s">
        <v>665</v>
      </c>
      <c r="B5" s="300"/>
    </row>
    <row r="6" spans="1:8" x14ac:dyDescent="0.25">
      <c r="A6" s="292" t="s">
        <v>15</v>
      </c>
      <c r="B6" s="292" t="s">
        <v>1389</v>
      </c>
      <c r="C6" s="292" t="s">
        <v>666</v>
      </c>
      <c r="D6" s="292" t="s">
        <v>667</v>
      </c>
      <c r="E6" s="292" t="s">
        <v>668</v>
      </c>
    </row>
    <row r="7" spans="1:8" ht="16.5" x14ac:dyDescent="0.3">
      <c r="A7" s="295">
        <v>1</v>
      </c>
      <c r="B7" s="295" t="s">
        <v>1373</v>
      </c>
      <c r="C7" s="294" t="s">
        <v>1196</v>
      </c>
      <c r="D7" s="295" t="s">
        <v>3351</v>
      </c>
      <c r="E7" s="297">
        <f>TMDT!I8</f>
        <v>0</v>
      </c>
    </row>
    <row r="8" spans="1:8" ht="16.5" x14ac:dyDescent="0.3">
      <c r="A8" s="295">
        <v>2</v>
      </c>
      <c r="B8" s="295" t="s">
        <v>1374</v>
      </c>
      <c r="C8" s="294" t="s">
        <v>678</v>
      </c>
      <c r="D8" s="295" t="s">
        <v>670</v>
      </c>
      <c r="E8" s="297">
        <f>TMDT!I9</f>
        <v>421381917.00089759</v>
      </c>
    </row>
    <row r="9" spans="1:8" ht="16.5" x14ac:dyDescent="0.3">
      <c r="A9" s="295">
        <v>3</v>
      </c>
      <c r="B9" s="295" t="s">
        <v>1375</v>
      </c>
      <c r="C9" s="294" t="s">
        <v>677</v>
      </c>
      <c r="D9" s="295" t="s">
        <v>671</v>
      </c>
      <c r="E9" s="297">
        <f>TMDT!I10</f>
        <v>0</v>
      </c>
    </row>
    <row r="10" spans="1:8" ht="16.5" x14ac:dyDescent="0.3">
      <c r="A10" s="295">
        <v>4</v>
      </c>
      <c r="B10" s="295" t="s">
        <v>1376</v>
      </c>
      <c r="C10" s="294" t="s">
        <v>143</v>
      </c>
      <c r="D10" s="295" t="s">
        <v>672</v>
      </c>
      <c r="E10" s="297">
        <f>TMDT!I11</f>
        <v>13829754.515969459</v>
      </c>
    </row>
    <row r="11" spans="1:8" ht="16.5" x14ac:dyDescent="0.3">
      <c r="A11" s="295">
        <v>5</v>
      </c>
      <c r="B11" s="295" t="s">
        <v>1377</v>
      </c>
      <c r="C11" s="294" t="s">
        <v>676</v>
      </c>
      <c r="D11" s="295" t="s">
        <v>673</v>
      </c>
      <c r="E11" s="297">
        <f>TMDT!I12</f>
        <v>46512220.578537829</v>
      </c>
    </row>
    <row r="12" spans="1:8" ht="16.5" x14ac:dyDescent="0.3">
      <c r="A12" s="295">
        <v>6</v>
      </c>
      <c r="B12" s="295" t="s">
        <v>1378</v>
      </c>
      <c r="C12" s="294" t="s">
        <v>675</v>
      </c>
      <c r="D12" s="295" t="s">
        <v>674</v>
      </c>
      <c r="E12" s="297">
        <f>TMDT!I41</f>
        <v>29854117.478661414</v>
      </c>
    </row>
    <row r="13" spans="1:8" x14ac:dyDescent="0.25">
      <c r="A13" s="295"/>
      <c r="B13" s="295" t="s">
        <v>1388</v>
      </c>
      <c r="C13" s="296" t="s">
        <v>3352</v>
      </c>
      <c r="D13" s="293"/>
      <c r="E13" s="298">
        <f xml:space="preserve"> SUM(E7:E12)</f>
        <v>511578009.57406628</v>
      </c>
    </row>
    <row r="14" spans="1:8" hidden="1" x14ac:dyDescent="0.25"/>
    <row r="15" spans="1:8" ht="17.25" x14ac:dyDescent="0.3">
      <c r="B15" s="101" t="s">
        <v>1372</v>
      </c>
      <c r="C15" s="101" t="s">
        <v>1391</v>
      </c>
      <c r="D15" s="558"/>
    </row>
    <row r="16" spans="1:8" x14ac:dyDescent="0.25">
      <c r="B16" s="101" t="s">
        <v>1390</v>
      </c>
      <c r="C16" s="101" t="s">
        <v>1371</v>
      </c>
      <c r="D16" s="558"/>
    </row>
    <row r="17" spans="1:8" hidden="1" x14ac:dyDescent="0.25"/>
    <row r="18" spans="1:8" ht="17.25" x14ac:dyDescent="0.3">
      <c r="A18" s="299" t="s">
        <v>679</v>
      </c>
      <c r="B18" s="299"/>
    </row>
    <row r="22" spans="1:8" ht="15.75" x14ac:dyDescent="0.25">
      <c r="A22" s="301" t="s">
        <v>1193</v>
      </c>
      <c r="B22" s="301"/>
    </row>
    <row r="23" spans="1:8" ht="15.75" x14ac:dyDescent="0.25">
      <c r="A23" s="301" t="s">
        <v>1192</v>
      </c>
      <c r="B23" s="301"/>
    </row>
    <row r="24" spans="1:8" ht="15.75" x14ac:dyDescent="0.25">
      <c r="A24" s="302" t="s">
        <v>1187</v>
      </c>
      <c r="B24" s="302"/>
    </row>
    <row r="25" spans="1:8" ht="18.75" x14ac:dyDescent="0.35">
      <c r="A25" s="302" t="s">
        <v>1191</v>
      </c>
      <c r="B25" s="302"/>
    </row>
    <row r="26" spans="1:8" ht="21" customHeight="1" x14ac:dyDescent="0.25">
      <c r="A26" s="1797" t="s">
        <v>1188</v>
      </c>
      <c r="B26" s="1797"/>
      <c r="C26" s="1797"/>
      <c r="D26" s="1797"/>
      <c r="E26" s="1797"/>
      <c r="F26" s="1797"/>
      <c r="G26" s="1797"/>
      <c r="H26" s="1797"/>
    </row>
    <row r="27" spans="1:8" ht="18.75" x14ac:dyDescent="0.35">
      <c r="A27" s="304" t="s">
        <v>1194</v>
      </c>
      <c r="B27" s="304"/>
    </row>
    <row r="28" spans="1:8" hidden="1" x14ac:dyDescent="0.25"/>
    <row r="30" spans="1:8" ht="17.25" x14ac:dyDescent="0.3">
      <c r="A30" s="101" t="s">
        <v>1182</v>
      </c>
      <c r="B30" s="101"/>
    </row>
    <row r="32" spans="1:8" ht="17.25" x14ac:dyDescent="0.25">
      <c r="A32" s="1791" t="s">
        <v>15</v>
      </c>
      <c r="B32" s="1796" t="s">
        <v>1389</v>
      </c>
      <c r="C32" s="1791" t="s">
        <v>680</v>
      </c>
      <c r="D32" s="306" t="s">
        <v>3381</v>
      </c>
      <c r="E32" s="306"/>
      <c r="F32" s="306"/>
      <c r="G32" s="306"/>
      <c r="H32" s="306"/>
    </row>
    <row r="33" spans="1:8" ht="15.75" x14ac:dyDescent="0.25">
      <c r="A33" s="1792"/>
      <c r="B33" s="1796"/>
      <c r="C33" s="1792"/>
      <c r="D33" s="307">
        <v>1</v>
      </c>
      <c r="E33" s="307">
        <v>2</v>
      </c>
      <c r="F33" s="307">
        <v>3</v>
      </c>
      <c r="G33" s="307">
        <v>4</v>
      </c>
      <c r="H33" s="307">
        <v>5</v>
      </c>
    </row>
    <row r="34" spans="1:8" ht="34.5" x14ac:dyDescent="0.25">
      <c r="A34" s="313">
        <v>1</v>
      </c>
      <c r="B34" s="313" t="s">
        <v>1379</v>
      </c>
      <c r="C34" s="314" t="s">
        <v>1183</v>
      </c>
      <c r="D34" s="315">
        <v>100</v>
      </c>
      <c r="E34" s="315">
        <v>100</v>
      </c>
      <c r="F34" s="315">
        <v>100</v>
      </c>
      <c r="G34" s="315">
        <v>100</v>
      </c>
      <c r="H34" s="315">
        <v>100</v>
      </c>
    </row>
    <row r="35" spans="1:8" ht="18.75" x14ac:dyDescent="0.25">
      <c r="A35" s="313">
        <v>2</v>
      </c>
      <c r="B35" s="313" t="s">
        <v>1380</v>
      </c>
      <c r="C35" s="314" t="s">
        <v>3382</v>
      </c>
      <c r="D35" s="313"/>
      <c r="E35" s="316">
        <f xml:space="preserve"> E34/D34</f>
        <v>1</v>
      </c>
      <c r="F35" s="316">
        <f xml:space="preserve"> F34/E34</f>
        <v>1</v>
      </c>
      <c r="G35" s="316">
        <f xml:space="preserve"> G34/F34</f>
        <v>1</v>
      </c>
      <c r="H35" s="316">
        <f xml:space="preserve"> H34/G34</f>
        <v>1</v>
      </c>
    </row>
    <row r="36" spans="1:8" ht="39" customHeight="1" x14ac:dyDescent="0.25">
      <c r="A36" s="313">
        <v>3</v>
      </c>
      <c r="B36" s="313" t="s">
        <v>1381</v>
      </c>
      <c r="C36" s="403" t="s">
        <v>1184</v>
      </c>
      <c r="D36" s="313"/>
      <c r="E36" s="316"/>
      <c r="F36" s="316"/>
      <c r="G36" s="316"/>
      <c r="H36" s="316">
        <f>SUM(E35:H35)</f>
        <v>4</v>
      </c>
    </row>
    <row r="37" spans="1:8" ht="18.75" x14ac:dyDescent="0.35">
      <c r="A37" s="313">
        <v>4</v>
      </c>
      <c r="B37" s="313" t="s">
        <v>1382</v>
      </c>
      <c r="C37" s="404" t="s">
        <v>1185</v>
      </c>
      <c r="D37" s="1793">
        <f>AVERAGE(E35:H35)</f>
        <v>1</v>
      </c>
      <c r="E37" s="1794"/>
      <c r="F37" s="1794"/>
      <c r="G37" s="1794"/>
      <c r="H37" s="1795"/>
    </row>
    <row r="38" spans="1:8" ht="18.75" x14ac:dyDescent="0.35">
      <c r="A38" s="313">
        <v>5</v>
      </c>
      <c r="B38" s="313" t="s">
        <v>1383</v>
      </c>
      <c r="C38" s="317" t="s">
        <v>1195</v>
      </c>
      <c r="D38" s="1790"/>
      <c r="E38" s="1790"/>
      <c r="F38" s="1790"/>
      <c r="G38" s="1790"/>
      <c r="H38" s="1790"/>
    </row>
    <row r="39" spans="1:8" s="412" customFormat="1" ht="15.75" x14ac:dyDescent="0.25">
      <c r="A39" s="410"/>
      <c r="B39" s="410"/>
      <c r="C39" s="408"/>
      <c r="D39" s="411"/>
      <c r="E39" s="411"/>
      <c r="F39" s="411"/>
      <c r="G39" s="411"/>
      <c r="H39" s="411"/>
    </row>
    <row r="40" spans="1:8" x14ac:dyDescent="0.25">
      <c r="A40" s="305" t="s">
        <v>682</v>
      </c>
      <c r="B40" s="305"/>
    </row>
    <row r="41" spans="1:8" ht="15.75" x14ac:dyDescent="0.25">
      <c r="A41" s="1796" t="s">
        <v>15</v>
      </c>
      <c r="B41" s="1796" t="s">
        <v>1389</v>
      </c>
      <c r="C41" s="1796" t="s">
        <v>683</v>
      </c>
      <c r="D41" s="308" t="s">
        <v>681</v>
      </c>
      <c r="E41" s="308"/>
      <c r="F41" s="308"/>
      <c r="G41" s="308"/>
      <c r="H41" s="308"/>
    </row>
    <row r="42" spans="1:8" ht="15.75" x14ac:dyDescent="0.25">
      <c r="A42" s="1796"/>
      <c r="B42" s="1796"/>
      <c r="C42" s="1796"/>
      <c r="D42" s="309">
        <v>1</v>
      </c>
      <c r="E42" s="309">
        <v>2</v>
      </c>
      <c r="F42" s="309">
        <v>3</v>
      </c>
      <c r="G42" s="309">
        <v>4</v>
      </c>
      <c r="H42" s="309">
        <v>5</v>
      </c>
    </row>
    <row r="43" spans="1:8" ht="15.75" x14ac:dyDescent="0.25">
      <c r="A43" s="310">
        <v>1</v>
      </c>
      <c r="B43" s="310" t="s">
        <v>534</v>
      </c>
      <c r="C43" s="311" t="s">
        <v>684</v>
      </c>
      <c r="D43" s="409">
        <v>0.15</v>
      </c>
      <c r="E43" s="409">
        <v>0.25</v>
      </c>
      <c r="F43" s="409">
        <v>0.25</v>
      </c>
      <c r="G43" s="409">
        <v>0.25</v>
      </c>
      <c r="H43" s="409">
        <v>0.1</v>
      </c>
    </row>
    <row r="44" spans="1:8" ht="34.5" x14ac:dyDescent="0.25">
      <c r="A44" s="310">
        <v>2</v>
      </c>
      <c r="B44" s="310" t="s">
        <v>535</v>
      </c>
      <c r="C44" s="311" t="s">
        <v>3383</v>
      </c>
      <c r="D44" s="312">
        <f xml:space="preserve"> $E$13*D43</f>
        <v>76736701.436109945</v>
      </c>
      <c r="E44" s="312">
        <f xml:space="preserve"> $E$13*E43</f>
        <v>127894502.39351657</v>
      </c>
      <c r="F44" s="312">
        <f xml:space="preserve"> $E$13*F43</f>
        <v>127894502.39351657</v>
      </c>
      <c r="G44" s="312">
        <f xml:space="preserve"> $E$13*G43</f>
        <v>127894502.39351657</v>
      </c>
      <c r="H44" s="312">
        <f xml:space="preserve"> $E$13*H43</f>
        <v>51157800.957406633</v>
      </c>
    </row>
    <row r="45" spans="1:8" ht="18.75" x14ac:dyDescent="0.25">
      <c r="A45" s="310">
        <v>3</v>
      </c>
      <c r="B45" s="310" t="s">
        <v>1384</v>
      </c>
      <c r="C45" s="311" t="s">
        <v>3384</v>
      </c>
      <c r="D45" s="315"/>
      <c r="E45" s="315"/>
      <c r="F45" s="315"/>
      <c r="G45" s="315"/>
      <c r="H45" s="315"/>
    </row>
    <row r="46" spans="1:8" ht="34.5" x14ac:dyDescent="0.25">
      <c r="A46" s="310">
        <v>4</v>
      </c>
      <c r="B46" s="310" t="s">
        <v>1385</v>
      </c>
      <c r="C46" s="311" t="s">
        <v>3385</v>
      </c>
      <c r="D46" s="318">
        <f xml:space="preserve"> D44-D45</f>
        <v>76736701.436109945</v>
      </c>
      <c r="E46" s="318">
        <f xml:space="preserve"> E44-E45</f>
        <v>127894502.39351657</v>
      </c>
      <c r="F46" s="318">
        <f xml:space="preserve"> F44-F45</f>
        <v>127894502.39351657</v>
      </c>
      <c r="G46" s="318">
        <f xml:space="preserve"> G44-G45</f>
        <v>127894502.39351657</v>
      </c>
      <c r="H46" s="318">
        <f xml:space="preserve"> H44-H45</f>
        <v>51157800.957406633</v>
      </c>
    </row>
    <row r="47" spans="1:8" ht="31.5" x14ac:dyDescent="0.25">
      <c r="A47" s="310">
        <v>5</v>
      </c>
      <c r="B47" s="310" t="s">
        <v>1386</v>
      </c>
      <c r="C47" s="311" t="s">
        <v>685</v>
      </c>
      <c r="D47" s="312">
        <f xml:space="preserve"> D46*(($D$37+$D$38)^D42-1)</f>
        <v>0</v>
      </c>
      <c r="E47" s="312">
        <f xml:space="preserve"> E46*(($D$37+$D$38)^E42-1)</f>
        <v>0</v>
      </c>
      <c r="F47" s="312">
        <f xml:space="preserve"> F46*(($D$37+$D$38)^F42-1)</f>
        <v>0</v>
      </c>
      <c r="G47" s="312">
        <f xml:space="preserve"> G46*(($D$37+$D$38)^G42-1)</f>
        <v>0</v>
      </c>
      <c r="H47" s="312">
        <f xml:space="preserve"> H46*(($D$37+$D$38)^H42-1)</f>
        <v>0</v>
      </c>
    </row>
    <row r="48" spans="1:8" ht="18.75" x14ac:dyDescent="0.25">
      <c r="A48" s="310">
        <v>7</v>
      </c>
      <c r="B48" s="310" t="s">
        <v>1387</v>
      </c>
      <c r="C48" s="311" t="s">
        <v>687</v>
      </c>
      <c r="D48" s="405">
        <f>SUM($D$47:D47)</f>
        <v>0</v>
      </c>
      <c r="E48" s="405">
        <f>SUM($D$47:E47)</f>
        <v>0</v>
      </c>
      <c r="F48" s="405">
        <f>SUM($D$47:F47)</f>
        <v>0</v>
      </c>
      <c r="G48" s="405">
        <f>SUM($D$47:G47)</f>
        <v>0</v>
      </c>
      <c r="H48" s="405">
        <f>SUM($D$47:H47)</f>
        <v>0</v>
      </c>
    </row>
  </sheetData>
  <mergeCells count="9">
    <mergeCell ref="A41:A42"/>
    <mergeCell ref="C41:C42"/>
    <mergeCell ref="A26:H26"/>
    <mergeCell ref="A32:A33"/>
    <mergeCell ref="C32:C33"/>
    <mergeCell ref="D37:H37"/>
    <mergeCell ref="D38:H38"/>
    <mergeCell ref="B32:B33"/>
    <mergeCell ref="B41:B42"/>
  </mergeCells>
  <dataValidations count="4">
    <dataValidation allowBlank="1" showInputMessage="1" showErrorMessage="1" promptTitle="Điền mức phân bổ vốn huy động" prompt="Nhập vào tỷ lệ phân bổ vốn theo tiến độ từng năm (%)" sqref="D43:H43"/>
    <dataValidation allowBlank="1" showInputMessage="1" showErrorMessage="1" promptTitle="Nhập chỉ số giá xây dựng " prompt="Nhập chỉ số giá xây dựng cá năm gần nhất" sqref="D34:H34"/>
    <dataValidation allowBlank="1" showInputMessage="1" showErrorMessage="1" promptTitle="Mức độ biến động của các yếu tố" prompt="Người dùng nhập vào mức dự báo biến động của các yếu tố chi phí, giá cả." sqref="D37:H39"/>
    <dataValidation allowBlank="1" showInputMessage="1" showErrorMessage="1" promptTitle="Chi phí lãi vay từng năm" prompt="Bạn nhập vào chi phí lãi vay từng năm thực hiện dự án" sqref="D45:H45"/>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drawing r:id="rId2"/>
  <legacyDrawing r:id="rId3"/>
  <oleObjects>
    <mc:AlternateContent xmlns:mc="http://schemas.openxmlformats.org/markup-compatibility/2006">
      <mc:Choice Requires="x14">
        <oleObject progId="Equation.3" shapeId="24577" r:id="rId4">
          <objectPr defaultSize="0" autoPict="0" r:id="rId5">
            <anchor moveWithCells="1">
              <from>
                <xdr:col>2</xdr:col>
                <xdr:colOff>19050</xdr:colOff>
                <xdr:row>18</xdr:row>
                <xdr:rowOff>38100</xdr:rowOff>
              </from>
              <to>
                <xdr:col>2</xdr:col>
                <xdr:colOff>2390775</xdr:colOff>
                <xdr:row>20</xdr:row>
                <xdr:rowOff>123825</xdr:rowOff>
              </to>
            </anchor>
          </objectPr>
        </oleObject>
      </mc:Choice>
      <mc:Fallback>
        <oleObject progId="Equation.3" shapeId="24577" r:id="rId4"/>
      </mc:Fallback>
    </mc:AlternateContent>
    <mc:AlternateContent xmlns:mc="http://schemas.openxmlformats.org/markup-compatibility/2006">
      <mc:Choice Requires="x14">
        <oleObject progId="Equation.3" shapeId="24578" r:id="rId6">
          <objectPr defaultSize="0" autoPict="0" r:id="rId7">
            <anchor moveWithCells="1">
              <from>
                <xdr:col>2</xdr:col>
                <xdr:colOff>1285875</xdr:colOff>
                <xdr:row>27</xdr:row>
                <xdr:rowOff>0</xdr:rowOff>
              </from>
              <to>
                <xdr:col>2</xdr:col>
                <xdr:colOff>2486025</xdr:colOff>
                <xdr:row>31</xdr:row>
                <xdr:rowOff>19050</xdr:rowOff>
              </to>
            </anchor>
          </objectPr>
        </oleObject>
      </mc:Choice>
      <mc:Fallback>
        <oleObject progId="Equation.3" shapeId="24578" r:id="rId6"/>
      </mc:Fallback>
    </mc:AlternateContent>
    <mc:AlternateContent xmlns:mc="http://schemas.openxmlformats.org/markup-compatibility/2006">
      <mc:Choice Requires="x14">
        <oleObject progId="Equation.3" shapeId="24579" r:id="rId8">
          <objectPr defaultSize="0" autoPict="0" r:id="rId9">
            <anchor moveWithCells="1">
              <from>
                <xdr:col>2</xdr:col>
                <xdr:colOff>1971675</xdr:colOff>
                <xdr:row>35</xdr:row>
                <xdr:rowOff>19050</xdr:rowOff>
              </from>
              <to>
                <xdr:col>3</xdr:col>
                <xdr:colOff>0</xdr:colOff>
                <xdr:row>36</xdr:row>
                <xdr:rowOff>0</xdr:rowOff>
              </to>
            </anchor>
          </objectPr>
        </oleObject>
      </mc:Choice>
      <mc:Fallback>
        <oleObject progId="Equation.3" shapeId="24579" r:id="rId8"/>
      </mc:Fallback>
    </mc:AlternateContent>
  </oleObject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Bia"/>
  <dimension ref="A1:R33"/>
  <sheetViews>
    <sheetView topLeftCell="A7" workbookViewId="0">
      <selection activeCell="F16" sqref="F16"/>
    </sheetView>
  </sheetViews>
  <sheetFormatPr defaultRowHeight="15" x14ac:dyDescent="0.25"/>
  <cols>
    <col min="1" max="4" width="7.42578125" style="2" customWidth="1"/>
    <col min="5" max="6" width="9.140625" style="2"/>
    <col min="7" max="7" width="8.140625" style="2" customWidth="1"/>
    <col min="8" max="10" width="9.140625" style="2"/>
    <col min="11" max="17" width="6.42578125" style="2" customWidth="1"/>
    <col min="18" max="16384" width="9.140625" style="2"/>
  </cols>
  <sheetData>
    <row r="1" spans="1:18" ht="16.5" thickTop="1" x14ac:dyDescent="0.25">
      <c r="A1" s="3"/>
      <c r="B1" s="4"/>
      <c r="C1" s="4"/>
      <c r="D1" s="4"/>
      <c r="E1" s="4"/>
      <c r="F1" s="4"/>
      <c r="G1" s="4"/>
      <c r="H1" s="4"/>
      <c r="I1" s="4"/>
      <c r="J1" s="4"/>
      <c r="K1" s="4"/>
      <c r="L1" s="4"/>
      <c r="M1" s="4"/>
      <c r="N1" s="4"/>
      <c r="O1" s="4"/>
      <c r="P1" s="4"/>
      <c r="Q1" s="5"/>
      <c r="R1" s="6"/>
    </row>
    <row r="2" spans="1:18" ht="15.75" x14ac:dyDescent="0.25">
      <c r="A2" s="7" t="s">
        <v>47</v>
      </c>
      <c r="B2" s="8"/>
      <c r="C2" s="8"/>
      <c r="D2" s="8"/>
      <c r="E2" s="8"/>
      <c r="F2" s="8"/>
      <c r="G2" s="8"/>
      <c r="H2" s="8"/>
      <c r="I2" s="8"/>
      <c r="J2" s="8"/>
      <c r="K2" s="8"/>
      <c r="L2" s="8"/>
      <c r="M2" s="8"/>
      <c r="N2" s="8"/>
      <c r="O2" s="9"/>
      <c r="P2" s="9"/>
      <c r="Q2" s="10"/>
      <c r="R2" s="6"/>
    </row>
    <row r="3" spans="1:18" ht="15.75" x14ac:dyDescent="0.25">
      <c r="A3" s="7" t="s">
        <v>48</v>
      </c>
      <c r="B3" s="8"/>
      <c r="C3" s="8"/>
      <c r="D3" s="8"/>
      <c r="E3" s="8"/>
      <c r="F3" s="8"/>
      <c r="G3" s="8"/>
      <c r="H3" s="8"/>
      <c r="I3" s="8"/>
      <c r="J3" s="8"/>
      <c r="K3" s="8"/>
      <c r="L3" s="8"/>
      <c r="M3" s="8"/>
      <c r="N3" s="8"/>
      <c r="O3" s="9"/>
      <c r="P3" s="9"/>
      <c r="Q3" s="10"/>
      <c r="R3" s="6"/>
    </row>
    <row r="4" spans="1:18" ht="15.75" x14ac:dyDescent="0.25">
      <c r="A4" s="11" t="s">
        <v>49</v>
      </c>
      <c r="B4" s="12"/>
      <c r="C4" s="12"/>
      <c r="D4" s="12"/>
      <c r="E4" s="12"/>
      <c r="F4" s="12"/>
      <c r="G4" s="12"/>
      <c r="H4" s="12"/>
      <c r="I4" s="12"/>
      <c r="J4" s="12"/>
      <c r="K4" s="12"/>
      <c r="L4" s="12"/>
      <c r="M4" s="12"/>
      <c r="N4" s="12"/>
      <c r="O4" s="12"/>
      <c r="P4" s="12"/>
      <c r="Q4" s="10"/>
      <c r="R4" s="6"/>
    </row>
    <row r="5" spans="1:18" ht="15.75" x14ac:dyDescent="0.25">
      <c r="A5" s="13"/>
      <c r="B5" s="6"/>
      <c r="C5" s="6"/>
      <c r="D5" s="6"/>
      <c r="E5" s="6"/>
      <c r="F5" s="6"/>
      <c r="G5" s="6"/>
      <c r="H5" s="6"/>
      <c r="I5" s="6"/>
      <c r="J5" s="6"/>
      <c r="K5" s="6"/>
      <c r="L5" s="6"/>
      <c r="M5" s="6"/>
      <c r="N5" s="6"/>
      <c r="O5" s="6"/>
      <c r="P5" s="6"/>
      <c r="Q5" s="10"/>
      <c r="R5" s="6"/>
    </row>
    <row r="6" spans="1:18" ht="15.75" x14ac:dyDescent="0.25">
      <c r="A6" s="13"/>
      <c r="B6" s="6"/>
      <c r="C6" s="6"/>
      <c r="D6" s="6"/>
      <c r="E6" s="6"/>
      <c r="F6" s="6"/>
      <c r="G6" s="6"/>
      <c r="H6" s="6"/>
      <c r="I6" s="6"/>
      <c r="J6" s="6"/>
      <c r="K6" s="14" t="s">
        <v>50</v>
      </c>
      <c r="L6" s="167">
        <f ca="1">NOW()</f>
        <v>43579.454722106479</v>
      </c>
      <c r="M6" s="15" t="s">
        <v>51</v>
      </c>
      <c r="N6" s="168">
        <f ca="1">NOW()</f>
        <v>43579.454722106479</v>
      </c>
      <c r="O6" s="15" t="s">
        <v>52</v>
      </c>
      <c r="P6" s="16">
        <f ca="1">NOW()</f>
        <v>43579.454722106479</v>
      </c>
      <c r="Q6" s="10"/>
      <c r="R6" s="6"/>
    </row>
    <row r="7" spans="1:18" ht="15.75" x14ac:dyDescent="0.25">
      <c r="A7" s="13"/>
      <c r="B7" s="6"/>
      <c r="C7" s="6"/>
      <c r="D7" s="6"/>
      <c r="E7" s="6"/>
      <c r="F7" s="6"/>
      <c r="G7" s="6"/>
      <c r="H7" s="6"/>
      <c r="I7" s="6"/>
      <c r="J7" s="6"/>
      <c r="K7" s="6"/>
      <c r="L7" s="6"/>
      <c r="M7" s="6"/>
      <c r="N7" s="6"/>
      <c r="O7" s="6"/>
      <c r="P7" s="6"/>
      <c r="Q7" s="10"/>
      <c r="R7" s="6"/>
    </row>
    <row r="8" spans="1:18" ht="15.75" x14ac:dyDescent="0.25">
      <c r="A8" s="13"/>
      <c r="B8" s="6"/>
      <c r="C8" s="6"/>
      <c r="D8" s="6"/>
      <c r="E8" s="6"/>
      <c r="F8" s="6"/>
      <c r="G8" s="6"/>
      <c r="H8" s="6"/>
      <c r="I8" s="6"/>
      <c r="J8" s="6"/>
      <c r="K8" s="6"/>
      <c r="L8" s="6"/>
      <c r="M8" s="6"/>
      <c r="N8" s="6"/>
      <c r="O8" s="6"/>
      <c r="P8" s="6"/>
      <c r="Q8" s="10"/>
      <c r="R8" s="6"/>
    </row>
    <row r="9" spans="1:18" ht="15.75" x14ac:dyDescent="0.25">
      <c r="A9" s="13"/>
      <c r="B9" s="6"/>
      <c r="C9" s="6"/>
      <c r="D9" s="6"/>
      <c r="E9" s="6"/>
      <c r="F9" s="6"/>
      <c r="G9" s="6"/>
      <c r="H9" s="6"/>
      <c r="I9" s="6"/>
      <c r="J9" s="6"/>
      <c r="K9" s="6"/>
      <c r="L9" s="6"/>
      <c r="M9" s="6"/>
      <c r="N9" s="6"/>
      <c r="O9" s="6"/>
      <c r="P9" s="6"/>
      <c r="Q9" s="10"/>
      <c r="R9" s="6"/>
    </row>
    <row r="10" spans="1:18" ht="15.75" x14ac:dyDescent="0.25">
      <c r="A10" s="13"/>
      <c r="B10" s="6"/>
      <c r="C10" s="6"/>
      <c r="D10" s="6"/>
      <c r="E10" s="6"/>
      <c r="F10" s="6"/>
      <c r="G10" s="6"/>
      <c r="H10" s="6"/>
      <c r="I10" s="6"/>
      <c r="J10" s="6"/>
      <c r="K10" s="6"/>
      <c r="L10" s="6"/>
      <c r="M10" s="6"/>
      <c r="N10" s="6"/>
      <c r="O10" s="6"/>
      <c r="P10" s="6"/>
      <c r="Q10" s="10"/>
      <c r="R10" s="6"/>
    </row>
    <row r="11" spans="1:18" ht="34.5" x14ac:dyDescent="0.45">
      <c r="A11" s="17" t="s">
        <v>53</v>
      </c>
      <c r="B11" s="18"/>
      <c r="C11" s="18"/>
      <c r="D11" s="18"/>
      <c r="E11" s="18"/>
      <c r="F11" s="18"/>
      <c r="G11" s="18"/>
      <c r="H11" s="18"/>
      <c r="I11" s="18"/>
      <c r="J11" s="18"/>
      <c r="K11" s="18"/>
      <c r="L11" s="18"/>
      <c r="M11" s="18"/>
      <c r="N11" s="18"/>
      <c r="O11" s="18"/>
      <c r="P11" s="18"/>
      <c r="Q11" s="10"/>
      <c r="R11" s="6"/>
    </row>
    <row r="12" spans="1:18" ht="15.75" x14ac:dyDescent="0.25">
      <c r="A12" s="19"/>
      <c r="B12" s="20"/>
      <c r="C12" s="20"/>
      <c r="D12" s="20" t="s">
        <v>572</v>
      </c>
      <c r="E12" s="20"/>
      <c r="F12" s="20"/>
      <c r="G12" s="21" t="str">
        <f xml:space="preserve"> IF(Config!$C$3="","",Config!$C$3)</f>
        <v>TRƯỜNG CAO ĐẲNG LÝ TỰ TRỌNG</v>
      </c>
      <c r="H12" s="20"/>
      <c r="I12" s="20"/>
      <c r="J12" s="20"/>
      <c r="K12" s="20"/>
      <c r="L12" s="20"/>
      <c r="M12" s="20"/>
      <c r="N12" s="20"/>
      <c r="O12" s="20"/>
      <c r="P12" s="20"/>
      <c r="Q12" s="22"/>
      <c r="R12" s="20"/>
    </row>
    <row r="13" spans="1:18" ht="15.75" x14ac:dyDescent="0.25">
      <c r="A13" s="19"/>
      <c r="B13" s="20"/>
      <c r="C13" s="20"/>
      <c r="D13" s="20" t="s">
        <v>571</v>
      </c>
      <c r="E13" s="20"/>
      <c r="F13" s="20"/>
      <c r="G13" s="21" t="str">
        <f xml:space="preserve"> IF(Config!$C$4="","",Config!$C$4)</f>
        <v>CẢI TẠO THƯ VIỆN GIAI ĐOẠN 2 - NĂM 2019</v>
      </c>
      <c r="H13" s="20"/>
      <c r="I13" s="20"/>
      <c r="J13" s="20"/>
      <c r="K13" s="20"/>
      <c r="L13" s="20"/>
      <c r="M13" s="20"/>
      <c r="N13" s="20"/>
      <c r="O13" s="20"/>
      <c r="P13" s="20"/>
      <c r="Q13" s="22"/>
      <c r="R13" s="20"/>
    </row>
    <row r="14" spans="1:18" ht="15.75" x14ac:dyDescent="0.25">
      <c r="A14" s="19"/>
      <c r="B14" s="20"/>
      <c r="C14" s="20"/>
      <c r="D14" s="20" t="s">
        <v>570</v>
      </c>
      <c r="E14" s="20"/>
      <c r="F14" s="20"/>
      <c r="G14" s="21" t="str">
        <f xml:space="preserve"> IF(Config!$C$5="","",Config!$C$5)</f>
        <v>390 HOÀNG VĂN THỤ, P4, QUẬN TÂN BÌNH</v>
      </c>
      <c r="H14" s="20"/>
      <c r="I14" s="20"/>
      <c r="J14" s="20"/>
      <c r="K14" s="20"/>
      <c r="L14" s="20"/>
      <c r="M14" s="20"/>
      <c r="N14" s="20"/>
      <c r="O14" s="20"/>
      <c r="P14" s="20"/>
      <c r="Q14" s="22"/>
      <c r="R14" s="20"/>
    </row>
    <row r="15" spans="1:18" ht="15.75" x14ac:dyDescent="0.25">
      <c r="A15" s="19"/>
      <c r="B15" s="20"/>
      <c r="C15" s="20"/>
      <c r="D15" s="20" t="s">
        <v>573</v>
      </c>
      <c r="E15" s="20"/>
      <c r="F15" s="20"/>
      <c r="G15" s="1802">
        <f>TH_CPXD!E11</f>
        <v>421381917.00089759</v>
      </c>
      <c r="H15" s="1802"/>
      <c r="I15" s="1802"/>
      <c r="J15" s="1802"/>
      <c r="K15" s="1802"/>
      <c r="L15" s="1802"/>
      <c r="M15" s="1802"/>
      <c r="N15" s="1802"/>
      <c r="O15" s="1802"/>
      <c r="P15" s="1802"/>
      <c r="Q15" s="1803"/>
      <c r="R15" s="20"/>
    </row>
    <row r="16" spans="1:18" ht="15.75" x14ac:dyDescent="0.25">
      <c r="A16" s="13"/>
      <c r="B16" s="6"/>
      <c r="C16" s="6"/>
      <c r="D16" s="20" t="s">
        <v>1207</v>
      </c>
      <c r="E16" s="6"/>
      <c r="F16" s="6" t="s">
        <v>3650</v>
      </c>
      <c r="G16" s="6"/>
      <c r="H16" s="6"/>
      <c r="I16" s="6"/>
      <c r="J16" s="6"/>
      <c r="K16" s="6"/>
      <c r="L16" s="6"/>
      <c r="M16" s="6"/>
      <c r="N16" s="6"/>
      <c r="O16" s="6"/>
      <c r="P16" s="6"/>
      <c r="Q16" s="10"/>
      <c r="R16" s="6"/>
    </row>
    <row r="17" spans="1:18" ht="15.75" x14ac:dyDescent="0.25">
      <c r="A17" s="13"/>
      <c r="B17" s="6"/>
      <c r="C17" s="6"/>
      <c r="D17" s="6"/>
      <c r="E17" s="6"/>
      <c r="F17" s="6"/>
      <c r="G17" s="6"/>
      <c r="H17" s="6"/>
      <c r="I17" s="6"/>
      <c r="J17" s="6"/>
      <c r="K17" s="6"/>
      <c r="L17" s="6"/>
      <c r="M17" s="6"/>
      <c r="N17" s="6"/>
      <c r="O17" s="6"/>
      <c r="P17" s="6"/>
      <c r="Q17" s="10"/>
      <c r="R17" s="6"/>
    </row>
    <row r="18" spans="1:18" ht="15.75" x14ac:dyDescent="0.25">
      <c r="A18" s="13"/>
      <c r="B18" s="6"/>
      <c r="C18" s="6"/>
      <c r="D18" s="6"/>
      <c r="E18" s="6"/>
      <c r="F18" s="6"/>
      <c r="G18" s="6"/>
      <c r="H18" s="6"/>
      <c r="I18" s="6"/>
      <c r="J18" s="6"/>
      <c r="K18" s="6"/>
      <c r="L18" s="6"/>
      <c r="M18" s="6"/>
      <c r="N18" s="6"/>
      <c r="O18" s="6"/>
      <c r="P18" s="6"/>
      <c r="Q18" s="10"/>
      <c r="R18" s="6"/>
    </row>
    <row r="19" spans="1:18" ht="15.75" x14ac:dyDescent="0.25">
      <c r="A19" s="13"/>
      <c r="B19" s="6"/>
      <c r="C19" s="6"/>
      <c r="D19" s="6"/>
      <c r="E19" s="6"/>
      <c r="F19" s="6"/>
      <c r="G19" s="6"/>
      <c r="H19" s="6"/>
      <c r="I19" s="6"/>
      <c r="J19" s="6"/>
      <c r="K19" s="6"/>
      <c r="L19" s="6"/>
      <c r="M19" s="6"/>
      <c r="N19" s="6"/>
      <c r="O19" s="6"/>
      <c r="P19" s="6"/>
      <c r="Q19" s="10"/>
      <c r="R19" s="6"/>
    </row>
    <row r="20" spans="1:18" ht="15.75" x14ac:dyDescent="0.25">
      <c r="A20" s="13"/>
      <c r="B20" s="6"/>
      <c r="C20" s="6"/>
      <c r="D20" s="6"/>
      <c r="E20" s="6"/>
      <c r="F20" s="6"/>
      <c r="G20" s="6"/>
      <c r="H20" s="6"/>
      <c r="I20" s="6"/>
      <c r="J20" s="6"/>
      <c r="K20" s="6"/>
      <c r="L20" s="6"/>
      <c r="M20" s="6"/>
      <c r="N20" s="6"/>
      <c r="O20" s="6"/>
      <c r="P20" s="6"/>
      <c r="Q20" s="10"/>
      <c r="R20" s="6"/>
    </row>
    <row r="21" spans="1:18" ht="15.75" x14ac:dyDescent="0.25">
      <c r="A21" s="13"/>
      <c r="B21" s="6"/>
      <c r="C21" s="6"/>
      <c r="D21" s="6"/>
      <c r="E21" s="6"/>
      <c r="F21" s="6"/>
      <c r="G21" s="6"/>
      <c r="H21" s="6"/>
      <c r="I21" s="6"/>
      <c r="J21" s="6"/>
      <c r="K21" s="6"/>
      <c r="L21" s="6"/>
      <c r="M21" s="6"/>
      <c r="N21" s="6"/>
      <c r="O21" s="6"/>
      <c r="P21" s="6"/>
      <c r="Q21" s="10"/>
      <c r="R21" s="6"/>
    </row>
    <row r="22" spans="1:18" ht="15.75" x14ac:dyDescent="0.25">
      <c r="A22" s="13"/>
      <c r="B22" s="6"/>
      <c r="C22" s="6"/>
      <c r="D22" s="6"/>
      <c r="E22" s="6"/>
      <c r="F22" s="6"/>
      <c r="G22" s="6"/>
      <c r="H22" s="6"/>
      <c r="I22" s="6"/>
      <c r="J22" s="6"/>
      <c r="K22" s="6"/>
      <c r="L22" s="6"/>
      <c r="M22" s="6"/>
      <c r="N22" s="6"/>
      <c r="O22" s="6"/>
      <c r="P22" s="6"/>
      <c r="Q22" s="10"/>
      <c r="R22" s="6"/>
    </row>
    <row r="23" spans="1:18" ht="15.75" x14ac:dyDescent="0.25">
      <c r="A23" s="13"/>
      <c r="B23" s="23" t="s">
        <v>54</v>
      </c>
      <c r="C23" s="6"/>
      <c r="D23" s="6"/>
      <c r="E23" s="6"/>
      <c r="F23" s="23" t="s">
        <v>55</v>
      </c>
      <c r="G23" s="6"/>
      <c r="H23" s="6"/>
      <c r="I23" s="23" t="s">
        <v>56</v>
      </c>
      <c r="J23" s="6"/>
      <c r="K23" s="23" t="s">
        <v>57</v>
      </c>
      <c r="L23" s="6"/>
      <c r="M23" s="6"/>
      <c r="N23" s="6"/>
      <c r="O23" s="6"/>
      <c r="P23" s="6"/>
      <c r="Q23" s="10"/>
      <c r="R23" s="6"/>
    </row>
    <row r="24" spans="1:18" ht="15.75" x14ac:dyDescent="0.25">
      <c r="A24" s="13"/>
      <c r="B24" s="6"/>
      <c r="C24" s="6"/>
      <c r="D24" s="6"/>
      <c r="E24" s="6"/>
      <c r="F24" s="6"/>
      <c r="G24" s="6"/>
      <c r="H24" s="6"/>
      <c r="I24" s="6"/>
      <c r="J24" s="6"/>
      <c r="K24" s="6"/>
      <c r="L24" s="6"/>
      <c r="M24" s="6"/>
      <c r="N24" s="6"/>
      <c r="O24" s="6"/>
      <c r="P24" s="6"/>
      <c r="Q24" s="10"/>
      <c r="R24" s="6"/>
    </row>
    <row r="25" spans="1:18" ht="10.5" customHeight="1" x14ac:dyDescent="0.25">
      <c r="A25" s="13"/>
      <c r="B25" s="6"/>
      <c r="C25" s="6"/>
      <c r="D25" s="6"/>
      <c r="E25" s="6"/>
      <c r="F25" s="6"/>
      <c r="G25" s="6"/>
      <c r="H25" s="6"/>
      <c r="I25" s="6"/>
      <c r="J25" s="6"/>
      <c r="K25" s="6"/>
      <c r="L25" s="6"/>
      <c r="M25" s="6"/>
      <c r="N25" s="6"/>
      <c r="O25" s="6"/>
      <c r="P25" s="6"/>
      <c r="Q25" s="10"/>
      <c r="R25" s="6"/>
    </row>
    <row r="26" spans="1:18" ht="10.5" customHeight="1" x14ac:dyDescent="0.25">
      <c r="A26" s="13"/>
      <c r="B26" s="6"/>
      <c r="C26" s="6"/>
      <c r="D26" s="6"/>
      <c r="E26" s="6"/>
      <c r="F26" s="6"/>
      <c r="G26" s="6"/>
      <c r="H26" s="6"/>
      <c r="I26" s="6"/>
      <c r="J26" s="6"/>
      <c r="K26" s="6"/>
      <c r="L26" s="6"/>
      <c r="M26" s="6"/>
      <c r="N26" s="6"/>
      <c r="O26" s="6"/>
      <c r="P26" s="6"/>
      <c r="Q26" s="10"/>
      <c r="R26" s="6"/>
    </row>
    <row r="27" spans="1:18" ht="10.5" customHeight="1" x14ac:dyDescent="0.25">
      <c r="A27" s="13"/>
      <c r="B27" s="6"/>
      <c r="C27" s="6"/>
      <c r="D27" s="6"/>
      <c r="E27" s="6"/>
      <c r="F27" s="6"/>
      <c r="G27" s="6"/>
      <c r="H27" s="6"/>
      <c r="I27" s="6"/>
      <c r="J27" s="6"/>
      <c r="K27" s="6"/>
      <c r="L27" s="6"/>
      <c r="M27" s="6"/>
      <c r="N27" s="6"/>
      <c r="O27" s="6"/>
      <c r="P27" s="6"/>
      <c r="Q27" s="10"/>
      <c r="R27" s="6"/>
    </row>
    <row r="28" spans="1:18" ht="10.5" customHeight="1" x14ac:dyDescent="0.25">
      <c r="A28" s="13"/>
      <c r="B28" s="6"/>
      <c r="C28" s="6"/>
      <c r="D28" s="6"/>
      <c r="E28" s="6"/>
      <c r="F28" s="6"/>
      <c r="G28" s="6"/>
      <c r="H28" s="6"/>
      <c r="I28" s="6"/>
      <c r="J28" s="6"/>
      <c r="K28" s="6"/>
      <c r="L28" s="6"/>
      <c r="M28" s="6"/>
      <c r="N28" s="6"/>
      <c r="O28" s="6"/>
      <c r="P28" s="6"/>
      <c r="Q28" s="10"/>
      <c r="R28" s="6"/>
    </row>
    <row r="29" spans="1:18" ht="10.5" customHeight="1" x14ac:dyDescent="0.25">
      <c r="A29" s="13"/>
      <c r="B29" s="6"/>
      <c r="C29" s="6"/>
      <c r="D29" s="6"/>
      <c r="E29" s="6"/>
      <c r="F29" s="6"/>
      <c r="G29" s="6"/>
      <c r="H29" s="6"/>
      <c r="I29" s="6"/>
      <c r="J29" s="6"/>
      <c r="K29" s="6"/>
      <c r="L29" s="6"/>
      <c r="M29" s="6"/>
      <c r="N29" s="6"/>
      <c r="O29" s="6"/>
      <c r="P29" s="6"/>
      <c r="Q29" s="10"/>
      <c r="R29" s="6"/>
    </row>
    <row r="30" spans="1:18" ht="10.5" customHeight="1" thickBot="1" x14ac:dyDescent="0.3">
      <c r="A30" s="24"/>
      <c r="B30" s="25"/>
      <c r="C30" s="25"/>
      <c r="D30" s="25"/>
      <c r="E30" s="25"/>
      <c r="F30" s="25"/>
      <c r="G30" s="25"/>
      <c r="H30" s="25"/>
      <c r="I30" s="25"/>
      <c r="J30" s="25"/>
      <c r="K30" s="25"/>
      <c r="L30" s="25"/>
      <c r="M30" s="25"/>
      <c r="N30" s="25"/>
      <c r="O30" s="25"/>
      <c r="P30" s="25"/>
      <c r="Q30" s="26"/>
      <c r="R30" s="6"/>
    </row>
    <row r="31" spans="1:18" ht="10.5" customHeight="1" thickTop="1" x14ac:dyDescent="0.25">
      <c r="A31" s="6"/>
      <c r="B31" s="6"/>
      <c r="C31" s="6"/>
      <c r="D31" s="6"/>
      <c r="E31" s="6"/>
      <c r="F31" s="6"/>
      <c r="G31" s="6"/>
      <c r="H31" s="6"/>
      <c r="I31" s="6"/>
      <c r="J31" s="6"/>
      <c r="K31" s="6"/>
      <c r="L31" s="6"/>
      <c r="M31" s="6"/>
      <c r="N31" s="6"/>
      <c r="O31" s="6"/>
      <c r="P31" s="6"/>
      <c r="Q31" s="6"/>
      <c r="R31" s="6"/>
    </row>
    <row r="32" spans="1:18" ht="10.5" customHeight="1" x14ac:dyDescent="0.25"/>
    <row r="33" ht="10.5" customHeight="1" x14ac:dyDescent="0.25"/>
  </sheetData>
  <mergeCells count="1">
    <mergeCell ref="G15:Q15"/>
  </mergeCells>
  <phoneticPr fontId="2" type="noConversion"/>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PTVT_VCLC"/>
  <dimension ref="A1:N6"/>
  <sheetViews>
    <sheetView showGridLines="0" workbookViewId="0">
      <selection activeCell="D11" sqref="D11"/>
    </sheetView>
  </sheetViews>
  <sheetFormatPr defaultRowHeight="15" outlineLevelCol="1" x14ac:dyDescent="0.2"/>
  <cols>
    <col min="1" max="1" width="4.42578125" style="119" bestFit="1" customWidth="1"/>
    <col min="2" max="2" width="12.140625" style="119" customWidth="1"/>
    <col min="3" max="3" width="18.28515625" style="119" hidden="1" customWidth="1" outlineLevel="1"/>
    <col min="4" max="4" width="45" style="119" customWidth="1" collapsed="1"/>
    <col min="5" max="5" width="7.140625" style="124" bestFit="1" customWidth="1"/>
    <col min="6" max="6" width="9.7109375" style="258" bestFit="1" customWidth="1"/>
    <col min="7" max="7" width="9" style="258" customWidth="1"/>
    <col min="8" max="8" width="9.85546875" style="262" hidden="1" customWidth="1"/>
    <col min="9" max="9" width="6.85546875" style="258" customWidth="1"/>
    <col min="10" max="10" width="10.7109375" style="119" hidden="1" customWidth="1"/>
    <col min="11" max="12" width="9.140625" style="119" hidden="1" customWidth="1"/>
    <col min="13" max="13" width="11.85546875" style="119" customWidth="1"/>
    <col min="14" max="14" width="12.140625" style="119" hidden="1" customWidth="1"/>
    <col min="15" max="16384" width="9.140625" style="119"/>
  </cols>
  <sheetData>
    <row r="1" spans="1:14" s="103" customFormat="1" ht="20.25" x14ac:dyDescent="0.3">
      <c r="A1" s="242" t="s">
        <v>3313</v>
      </c>
      <c r="B1" s="243"/>
      <c r="C1" s="243"/>
      <c r="D1" s="243"/>
      <c r="E1" s="243"/>
      <c r="F1" s="267"/>
      <c r="G1" s="267"/>
      <c r="H1" s="260"/>
      <c r="I1" s="267"/>
      <c r="J1" s="243"/>
      <c r="K1" s="243"/>
      <c r="L1" s="243"/>
      <c r="M1" s="243"/>
      <c r="N1" s="243"/>
    </row>
    <row r="2" spans="1:14" s="103" customFormat="1" ht="15.75" x14ac:dyDescent="0.25">
      <c r="A2" s="245" t="str">
        <f>"CÔNG TRÌNH : "&amp;'Bia du toan'!$G$12</f>
        <v>CÔNG TRÌNH : TRƯỜNG CAO ĐẲNG LÝ TỰ TRỌNG</v>
      </c>
      <c r="B2" s="243"/>
      <c r="C2" s="243"/>
      <c r="D2" s="243"/>
      <c r="E2" s="243"/>
      <c r="F2" s="267"/>
      <c r="G2" s="267"/>
      <c r="H2" s="260"/>
      <c r="I2" s="267"/>
      <c r="J2" s="243"/>
      <c r="K2" s="243"/>
      <c r="L2" s="243"/>
      <c r="M2" s="243"/>
      <c r="N2" s="243"/>
    </row>
    <row r="3" spans="1:14" s="103" customFormat="1" ht="15.75" x14ac:dyDescent="0.25">
      <c r="A3" s="245" t="str">
        <f>"HẠNG MỤC : "&amp; 'Bia du toan'!$G$13</f>
        <v>HẠNG MỤC : CẢI TẠO THƯ VIỆN GIAI ĐOẠN 2 - NĂM 2019</v>
      </c>
      <c r="B3" s="243"/>
      <c r="C3" s="243"/>
      <c r="D3" s="243"/>
      <c r="E3" s="243"/>
      <c r="F3" s="267"/>
      <c r="G3" s="267"/>
      <c r="H3" s="260"/>
      <c r="I3" s="267"/>
      <c r="J3" s="243"/>
      <c r="K3" s="243"/>
      <c r="L3" s="243"/>
      <c r="M3" s="243"/>
      <c r="N3" s="243"/>
    </row>
    <row r="4" spans="1:14" s="103" customFormat="1" x14ac:dyDescent="0.25">
      <c r="A4" s="243"/>
      <c r="B4" s="243"/>
      <c r="C4" s="243"/>
      <c r="D4" s="243"/>
      <c r="E4" s="243"/>
      <c r="F4" s="267"/>
      <c r="G4" s="267"/>
      <c r="H4" s="260"/>
      <c r="I4" s="267"/>
      <c r="J4" s="243"/>
      <c r="K4" s="243"/>
      <c r="L4" s="243"/>
      <c r="M4" s="243"/>
      <c r="N4" s="243"/>
    </row>
    <row r="5" spans="1:14" ht="15.75" customHeight="1" x14ac:dyDescent="0.2">
      <c r="A5" s="1753" t="s">
        <v>15</v>
      </c>
      <c r="B5" s="1752" t="s">
        <v>234</v>
      </c>
      <c r="C5" s="1753" t="s">
        <v>256</v>
      </c>
      <c r="D5" s="1753" t="s">
        <v>257</v>
      </c>
      <c r="E5" s="1753" t="s">
        <v>236</v>
      </c>
      <c r="F5" s="742" t="s">
        <v>237</v>
      </c>
      <c r="G5" s="742"/>
      <c r="H5" s="743"/>
      <c r="I5" s="742"/>
      <c r="J5" s="744"/>
      <c r="K5" s="745" t="s">
        <v>258</v>
      </c>
      <c r="L5" s="745" t="s">
        <v>259</v>
      </c>
      <c r="M5" s="1761" t="s">
        <v>3314</v>
      </c>
      <c r="N5" s="1761" t="s">
        <v>3312</v>
      </c>
    </row>
    <row r="6" spans="1:14" ht="26.25" customHeight="1" x14ac:dyDescent="0.2">
      <c r="A6" s="1754"/>
      <c r="B6" s="1747"/>
      <c r="C6" s="1754"/>
      <c r="D6" s="1754"/>
      <c r="E6" s="1754"/>
      <c r="F6" s="396" t="s">
        <v>3309</v>
      </c>
      <c r="G6" s="396" t="s">
        <v>3310</v>
      </c>
      <c r="H6" s="287" t="s">
        <v>241</v>
      </c>
      <c r="I6" s="396" t="s">
        <v>3311</v>
      </c>
      <c r="J6" s="745" t="s">
        <v>262</v>
      </c>
      <c r="K6" s="746" t="s">
        <v>263</v>
      </c>
      <c r="L6" s="746" t="s">
        <v>232</v>
      </c>
      <c r="M6" s="1804"/>
      <c r="N6" s="1804"/>
    </row>
  </sheetData>
  <mergeCells count="7">
    <mergeCell ref="N5:N6"/>
    <mergeCell ref="A5:A6"/>
    <mergeCell ref="B5:B6"/>
    <mergeCell ref="C5:C6"/>
    <mergeCell ref="D5:D6"/>
    <mergeCell ref="E5:E6"/>
    <mergeCell ref="M5:M6"/>
  </mergeCells>
  <pageMargins left="0.55118110236220497" right="0.196850393700787" top="0.43307086614173201" bottom="0.59055118110236204" header="0.15748031496063" footer="0.23622047244094499"/>
  <pageSetup paperSize="9" scale="90" orientation="portrait" r:id="rId1"/>
  <headerFooter alignWithMargins="0">
    <oddHeader>&amp;L&amp;"Times New Roman,Bold Italic"&amp;9Dự toán Bắc Nam  - ÐT: 0966.966.455</oddHeader>
    <oddFooter>&amp;R&amp;9Trang &amp;P/&amp;N</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THVT_VCLC"/>
  <dimension ref="A1:E5"/>
  <sheetViews>
    <sheetView showGridLines="0" workbookViewId="0">
      <selection activeCell="D8" sqref="D8"/>
    </sheetView>
  </sheetViews>
  <sheetFormatPr defaultRowHeight="12.75" x14ac:dyDescent="0.2"/>
  <cols>
    <col min="2" max="2" width="9.140625" hidden="1" customWidth="1"/>
    <col min="3" max="3" width="44.5703125" customWidth="1"/>
    <col min="4" max="4" width="19.85546875" customWidth="1"/>
    <col min="5" max="5" width="19.5703125" customWidth="1"/>
  </cols>
  <sheetData>
    <row r="1" spans="1:5" s="103" customFormat="1" ht="20.25" x14ac:dyDescent="0.3">
      <c r="A1" s="242" t="s">
        <v>3315</v>
      </c>
      <c r="B1" s="243"/>
      <c r="C1" s="243"/>
      <c r="D1" s="243"/>
      <c r="E1" s="243"/>
    </row>
    <row r="2" spans="1:5" s="103" customFormat="1" ht="15.75" x14ac:dyDescent="0.25">
      <c r="A2" s="245" t="str">
        <f>"CÔNG TRÌNH : "&amp;'Bia du toan'!$G$12</f>
        <v>CÔNG TRÌNH : TRƯỜNG CAO ĐẲNG LÝ TỰ TRỌNG</v>
      </c>
      <c r="B2" s="243"/>
      <c r="C2" s="243"/>
      <c r="D2" s="243"/>
      <c r="E2" s="243"/>
    </row>
    <row r="3" spans="1:5" s="103" customFormat="1" ht="15.75" x14ac:dyDescent="0.25">
      <c r="A3" s="245" t="str">
        <f>"HẠNG MỤC : "&amp; 'Bia du toan'!$G$13</f>
        <v>HẠNG MỤC : CẢI TẠO THƯ VIỆN GIAI ĐOẠN 2 - NĂM 2019</v>
      </c>
      <c r="B3" s="243"/>
      <c r="C3" s="243"/>
      <c r="D3" s="243"/>
      <c r="E3" s="243"/>
    </row>
    <row r="4" spans="1:5" s="103" customFormat="1" ht="15" x14ac:dyDescent="0.25">
      <c r="A4" s="243"/>
      <c r="B4" s="243"/>
      <c r="C4" s="243"/>
      <c r="D4" s="243"/>
      <c r="E4" s="243"/>
    </row>
    <row r="5" spans="1:5" s="103" customFormat="1" ht="15" customHeight="1" x14ac:dyDescent="0.25">
      <c r="A5" s="346" t="s">
        <v>15</v>
      </c>
      <c r="B5" s="346" t="s">
        <v>266</v>
      </c>
      <c r="C5" s="346" t="s">
        <v>267</v>
      </c>
      <c r="D5" s="346" t="s">
        <v>236</v>
      </c>
      <c r="E5" s="346" t="s">
        <v>237</v>
      </c>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PTVT_BX"/>
  <dimension ref="A1:N6"/>
  <sheetViews>
    <sheetView showGridLines="0" workbookViewId="0">
      <selection activeCell="D18" sqref="D18"/>
    </sheetView>
  </sheetViews>
  <sheetFormatPr defaultRowHeight="15" outlineLevelCol="1" x14ac:dyDescent="0.2"/>
  <cols>
    <col min="1" max="1" width="4.42578125" style="119" bestFit="1" customWidth="1"/>
    <col min="2" max="2" width="11" style="119" customWidth="1"/>
    <col min="3" max="3" width="18.28515625" style="119" hidden="1" customWidth="1" outlineLevel="1"/>
    <col min="4" max="4" width="36.7109375" style="119" customWidth="1" collapsed="1"/>
    <col min="5" max="5" width="7.140625" style="124" bestFit="1" customWidth="1"/>
    <col min="6" max="6" width="9.7109375" style="258" bestFit="1" customWidth="1"/>
    <col min="7" max="7" width="10.140625" style="258" bestFit="1" customWidth="1"/>
    <col min="8" max="8" width="9.85546875" style="262" hidden="1" customWidth="1"/>
    <col min="9" max="9" width="9" style="258" customWidth="1"/>
    <col min="10" max="10" width="10.7109375" style="119" hidden="1" customWidth="1"/>
    <col min="11" max="12" width="9.140625" style="119" hidden="1" customWidth="1"/>
    <col min="13" max="13" width="11.85546875" style="119" customWidth="1"/>
    <col min="14" max="14" width="14.85546875" style="119" hidden="1" customWidth="1"/>
    <col min="15" max="16384" width="9.140625" style="119"/>
  </cols>
  <sheetData>
    <row r="1" spans="1:14" s="103" customFormat="1" ht="20.25" x14ac:dyDescent="0.3">
      <c r="A1" s="242" t="s">
        <v>1051</v>
      </c>
      <c r="B1" s="243"/>
      <c r="C1" s="243"/>
      <c r="D1" s="243"/>
      <c r="E1" s="243"/>
      <c r="F1" s="267"/>
      <c r="G1" s="267"/>
      <c r="H1" s="260"/>
      <c r="I1" s="267"/>
      <c r="J1" s="243"/>
      <c r="K1" s="243"/>
      <c r="L1" s="243"/>
      <c r="M1" s="243"/>
      <c r="N1" s="243"/>
    </row>
    <row r="2" spans="1:14" s="103" customFormat="1" ht="15.75" x14ac:dyDescent="0.25">
      <c r="A2" s="245" t="str">
        <f>"CÔNG TRÌNH : "&amp;'Bia du toan'!$G$12</f>
        <v>CÔNG TRÌNH : TRƯỜNG CAO ĐẲNG LÝ TỰ TRỌNG</v>
      </c>
      <c r="B2" s="243"/>
      <c r="C2" s="243"/>
      <c r="D2" s="243"/>
      <c r="E2" s="243"/>
      <c r="F2" s="267"/>
      <c r="G2" s="267"/>
      <c r="H2" s="260"/>
      <c r="I2" s="267"/>
      <c r="J2" s="243"/>
      <c r="K2" s="243"/>
      <c r="L2" s="243"/>
      <c r="M2" s="243"/>
      <c r="N2" s="243"/>
    </row>
    <row r="3" spans="1:14" s="103" customFormat="1" ht="15.75" x14ac:dyDescent="0.25">
      <c r="A3" s="245" t="str">
        <f>"HẠNG MỤC : "&amp; 'Bia du toan'!$G$13</f>
        <v>HẠNG MỤC : CẢI TẠO THƯ VIỆN GIAI ĐOẠN 2 - NĂM 2019</v>
      </c>
      <c r="B3" s="243"/>
      <c r="C3" s="243"/>
      <c r="D3" s="243"/>
      <c r="E3" s="243"/>
      <c r="F3" s="267"/>
      <c r="G3" s="267"/>
      <c r="H3" s="260"/>
      <c r="I3" s="267"/>
      <c r="J3" s="243"/>
      <c r="K3" s="243"/>
      <c r="L3" s="243"/>
      <c r="M3" s="243"/>
      <c r="N3" s="243"/>
    </row>
    <row r="4" spans="1:14" s="103" customFormat="1" x14ac:dyDescent="0.25">
      <c r="A4" s="243"/>
      <c r="B4" s="243"/>
      <c r="C4" s="243"/>
      <c r="D4" s="243"/>
      <c r="E4" s="243"/>
      <c r="F4" s="267"/>
      <c r="G4" s="267"/>
      <c r="H4" s="260"/>
      <c r="I4" s="267"/>
      <c r="J4" s="243"/>
      <c r="K4" s="243"/>
      <c r="L4" s="243"/>
      <c r="M4" s="243"/>
      <c r="N4" s="243"/>
    </row>
    <row r="5" spans="1:14" ht="15.75" customHeight="1" x14ac:dyDescent="0.2">
      <c r="A5" s="1753" t="s">
        <v>15</v>
      </c>
      <c r="B5" s="1752" t="s">
        <v>234</v>
      </c>
      <c r="C5" s="1753" t="s">
        <v>256</v>
      </c>
      <c r="D5" s="1753" t="s">
        <v>257</v>
      </c>
      <c r="E5" s="1753" t="s">
        <v>236</v>
      </c>
      <c r="F5" s="742" t="s">
        <v>237</v>
      </c>
      <c r="G5" s="742"/>
      <c r="H5" s="743"/>
      <c r="I5" s="742"/>
      <c r="J5" s="744"/>
      <c r="K5" s="745" t="s">
        <v>258</v>
      </c>
      <c r="L5" s="745" t="s">
        <v>259</v>
      </c>
      <c r="M5" s="1761" t="s">
        <v>3050</v>
      </c>
      <c r="N5" s="1761" t="s">
        <v>1050</v>
      </c>
    </row>
    <row r="6" spans="1:14" ht="26.25" customHeight="1" x14ac:dyDescent="0.2">
      <c r="A6" s="1754"/>
      <c r="B6" s="1747"/>
      <c r="C6" s="1754"/>
      <c r="D6" s="1754"/>
      <c r="E6" s="1754"/>
      <c r="F6" s="396" t="s">
        <v>261</v>
      </c>
      <c r="G6" s="396" t="s">
        <v>233</v>
      </c>
      <c r="H6" s="287" t="s">
        <v>241</v>
      </c>
      <c r="I6" s="396" t="s">
        <v>483</v>
      </c>
      <c r="J6" s="745" t="s">
        <v>262</v>
      </c>
      <c r="K6" s="746" t="s">
        <v>263</v>
      </c>
      <c r="L6" s="746" t="s">
        <v>232</v>
      </c>
      <c r="M6" s="1804"/>
      <c r="N6" s="1804"/>
    </row>
  </sheetData>
  <mergeCells count="7">
    <mergeCell ref="N5:N6"/>
    <mergeCell ref="A5:A6"/>
    <mergeCell ref="B5:B6"/>
    <mergeCell ref="C5:C6"/>
    <mergeCell ref="D5:D6"/>
    <mergeCell ref="E5:E6"/>
    <mergeCell ref="M5:M6"/>
  </mergeCell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THVT_BX"/>
  <dimension ref="A1:E5"/>
  <sheetViews>
    <sheetView showGridLines="0" workbookViewId="0">
      <selection activeCell="C17" sqref="C17"/>
    </sheetView>
  </sheetViews>
  <sheetFormatPr defaultRowHeight="12.75" x14ac:dyDescent="0.2"/>
  <cols>
    <col min="2" max="2" width="9.140625" hidden="1" customWidth="1"/>
    <col min="3" max="3" width="44.5703125" customWidth="1"/>
    <col min="4" max="4" width="19.85546875" customWidth="1"/>
    <col min="5" max="5" width="19.5703125" customWidth="1"/>
  </cols>
  <sheetData>
    <row r="1" spans="1:5" s="103" customFormat="1" ht="20.25" x14ac:dyDescent="0.3">
      <c r="A1" s="242" t="s">
        <v>1052</v>
      </c>
      <c r="B1" s="243"/>
      <c r="C1" s="243"/>
      <c r="D1" s="243"/>
      <c r="E1" s="243"/>
    </row>
    <row r="2" spans="1:5" s="103" customFormat="1" ht="15.75" x14ac:dyDescent="0.25">
      <c r="A2" s="245" t="str">
        <f>"CÔNG TRÌNH : "&amp;'Bia du toan'!$G$12</f>
        <v>CÔNG TRÌNH : TRƯỜNG CAO ĐẲNG LÝ TỰ TRỌNG</v>
      </c>
      <c r="B2" s="243"/>
      <c r="C2" s="243"/>
      <c r="D2" s="243"/>
      <c r="E2" s="243"/>
    </row>
    <row r="3" spans="1:5" s="103" customFormat="1" ht="15.75" x14ac:dyDescent="0.25">
      <c r="A3" s="245" t="str">
        <f>"HẠNG MỤC : "&amp; 'Bia du toan'!$G$13</f>
        <v>HẠNG MỤC : CẢI TẠO THƯ VIỆN GIAI ĐOẠN 2 - NĂM 2019</v>
      </c>
      <c r="B3" s="243"/>
      <c r="C3" s="243"/>
      <c r="D3" s="243"/>
      <c r="E3" s="243"/>
    </row>
    <row r="4" spans="1:5" s="103" customFormat="1" ht="15" x14ac:dyDescent="0.25">
      <c r="A4" s="243"/>
      <c r="B4" s="243"/>
      <c r="C4" s="243"/>
      <c r="D4" s="243"/>
      <c r="E4" s="243"/>
    </row>
    <row r="5" spans="1:5" s="103" customFormat="1" ht="15" customHeight="1" x14ac:dyDescent="0.25">
      <c r="A5" s="346" t="s">
        <v>15</v>
      </c>
      <c r="B5" s="346" t="s">
        <v>266</v>
      </c>
      <c r="C5" s="346" t="s">
        <v>267</v>
      </c>
      <c r="D5" s="346" t="s">
        <v>236</v>
      </c>
      <c r="E5" s="346" t="s">
        <v>237</v>
      </c>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PTVT_VC"/>
  <dimension ref="A1:N6"/>
  <sheetViews>
    <sheetView showGridLines="0" workbookViewId="0">
      <selection activeCell="D14" sqref="D14"/>
    </sheetView>
  </sheetViews>
  <sheetFormatPr defaultRowHeight="15" outlineLevelCol="1" x14ac:dyDescent="0.2"/>
  <cols>
    <col min="1" max="1" width="4.42578125" style="119" bestFit="1" customWidth="1"/>
    <col min="2" max="2" width="8.28515625" style="119" bestFit="1" customWidth="1"/>
    <col min="3" max="3" width="18.28515625" style="119" hidden="1" customWidth="1" outlineLevel="1"/>
    <col min="4" max="4" width="39.42578125" style="119" customWidth="1" collapsed="1"/>
    <col min="5" max="5" width="7.140625" style="124" bestFit="1" customWidth="1"/>
    <col min="6" max="6" width="9.7109375" style="258" bestFit="1" customWidth="1"/>
    <col min="7" max="7" width="10.140625" style="258" bestFit="1" customWidth="1"/>
    <col min="8" max="8" width="9.85546875" style="262" hidden="1" customWidth="1"/>
    <col min="9" max="9" width="8" style="258" customWidth="1"/>
    <col min="10" max="10" width="7.7109375" style="119" customWidth="1"/>
    <col min="11" max="12" width="9.140625" style="119" hidden="1" customWidth="1"/>
    <col min="13" max="13" width="11.85546875" style="119" customWidth="1"/>
    <col min="14" max="14" width="14.85546875" style="119" hidden="1" customWidth="1"/>
    <col min="15" max="16384" width="9.140625" style="119"/>
  </cols>
  <sheetData>
    <row r="1" spans="1:14" s="103" customFormat="1" ht="20.25" x14ac:dyDescent="0.3">
      <c r="A1" s="242" t="s">
        <v>1053</v>
      </c>
      <c r="B1" s="243"/>
      <c r="C1" s="243"/>
      <c r="D1" s="243"/>
      <c r="E1" s="243"/>
      <c r="F1" s="267"/>
      <c r="G1" s="267"/>
      <c r="H1" s="260"/>
      <c r="I1" s="267"/>
      <c r="J1" s="243"/>
      <c r="K1" s="243"/>
      <c r="L1" s="243"/>
      <c r="M1" s="243"/>
      <c r="N1" s="243"/>
    </row>
    <row r="2" spans="1:14" s="103" customFormat="1" ht="15.75" x14ac:dyDescent="0.25">
      <c r="A2" s="245" t="str">
        <f>"CÔNG TRÌNH : "&amp;'Bia du toan'!$G$12</f>
        <v>CÔNG TRÌNH : TRƯỜNG CAO ĐẲNG LÝ TỰ TRỌNG</v>
      </c>
      <c r="B2" s="243"/>
      <c r="C2" s="243"/>
      <c r="D2" s="243"/>
      <c r="E2" s="243"/>
      <c r="F2" s="267"/>
      <c r="G2" s="267"/>
      <c r="H2" s="260"/>
      <c r="I2" s="267"/>
      <c r="J2" s="243"/>
      <c r="K2" s="243"/>
      <c r="L2" s="243"/>
      <c r="M2" s="243"/>
      <c r="N2" s="243"/>
    </row>
    <row r="3" spans="1:14" s="103" customFormat="1" ht="15.75" x14ac:dyDescent="0.25">
      <c r="A3" s="245" t="str">
        <f>"HẠNG MỤC : "&amp; 'Bia du toan'!$G$13</f>
        <v>HẠNG MỤC : CẢI TẠO THƯ VIỆN GIAI ĐOẠN 2 - NĂM 2019</v>
      </c>
      <c r="B3" s="243"/>
      <c r="C3" s="243"/>
      <c r="D3" s="243"/>
      <c r="E3" s="243"/>
      <c r="F3" s="267"/>
      <c r="G3" s="267"/>
      <c r="H3" s="260"/>
      <c r="I3" s="267"/>
      <c r="J3" s="243"/>
      <c r="K3" s="243"/>
      <c r="L3" s="243"/>
      <c r="M3" s="243"/>
      <c r="N3" s="243"/>
    </row>
    <row r="4" spans="1:14" s="103" customFormat="1" x14ac:dyDescent="0.25">
      <c r="A4" s="243"/>
      <c r="B4" s="243"/>
      <c r="C4" s="243"/>
      <c r="D4" s="243"/>
      <c r="E4" s="243"/>
      <c r="F4" s="267"/>
      <c r="G4" s="267"/>
      <c r="H4" s="260"/>
      <c r="I4" s="267"/>
      <c r="J4" s="243"/>
      <c r="K4" s="243"/>
      <c r="L4" s="243"/>
      <c r="M4" s="243"/>
      <c r="N4" s="243"/>
    </row>
    <row r="5" spans="1:14" ht="15.75" customHeight="1" x14ac:dyDescent="0.2">
      <c r="A5" s="1753" t="s">
        <v>15</v>
      </c>
      <c r="B5" s="1752" t="s">
        <v>234</v>
      </c>
      <c r="C5" s="1753" t="s">
        <v>256</v>
      </c>
      <c r="D5" s="1753" t="s">
        <v>257</v>
      </c>
      <c r="E5" s="1753" t="s">
        <v>236</v>
      </c>
      <c r="F5" s="742" t="s">
        <v>237</v>
      </c>
      <c r="G5" s="742"/>
      <c r="H5" s="743"/>
      <c r="I5" s="742"/>
      <c r="J5" s="744"/>
      <c r="K5" s="745" t="s">
        <v>258</v>
      </c>
      <c r="L5" s="745" t="s">
        <v>259</v>
      </c>
      <c r="M5" s="1761" t="s">
        <v>3316</v>
      </c>
      <c r="N5" s="1761" t="s">
        <v>1050</v>
      </c>
    </row>
    <row r="6" spans="1:14" ht="26.25" customHeight="1" x14ac:dyDescent="0.2">
      <c r="A6" s="1754"/>
      <c r="B6" s="1747"/>
      <c r="C6" s="1754"/>
      <c r="D6" s="1754"/>
      <c r="E6" s="1754"/>
      <c r="F6" s="396" t="s">
        <v>261</v>
      </c>
      <c r="G6" s="396" t="s">
        <v>233</v>
      </c>
      <c r="H6" s="287" t="s">
        <v>241</v>
      </c>
      <c r="I6" s="396" t="s">
        <v>483</v>
      </c>
      <c r="J6" s="745" t="s">
        <v>262</v>
      </c>
      <c r="K6" s="746" t="s">
        <v>263</v>
      </c>
      <c r="L6" s="746" t="s">
        <v>232</v>
      </c>
      <c r="M6" s="1804"/>
      <c r="N6" s="1804"/>
    </row>
  </sheetData>
  <mergeCells count="7">
    <mergeCell ref="N5:N6"/>
    <mergeCell ref="A5:A6"/>
    <mergeCell ref="B5:B6"/>
    <mergeCell ref="C5:C6"/>
    <mergeCell ref="D5:D6"/>
    <mergeCell ref="E5:E6"/>
    <mergeCell ref="M5:M6"/>
  </mergeCells>
  <pageMargins left="0.55118110236220497" right="0.196850393700787" top="0.43307086614173201" bottom="0.59055118110236204" header="0.15748031496063" footer="0.23622047244094499"/>
  <pageSetup paperSize="9" scale="90" orientation="portrait" r:id="rId1"/>
  <headerFooter alignWithMargins="0">
    <oddHeader>&amp;L&amp;"Times New Roman,Bold Italic"&amp;9Dự toán Bắc Nam  - ÐT: 0966.966.455</oddHeader>
    <oddFooter>&amp;R&amp;9Trang &amp;P/&amp;N</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THVT_VC"/>
  <dimension ref="A1:E5"/>
  <sheetViews>
    <sheetView showGridLines="0" workbookViewId="0">
      <selection activeCell="C15" sqref="C15"/>
    </sheetView>
  </sheetViews>
  <sheetFormatPr defaultRowHeight="12.75" x14ac:dyDescent="0.2"/>
  <cols>
    <col min="2" max="2" width="9.140625" hidden="1" customWidth="1"/>
    <col min="3" max="3" width="44.5703125" customWidth="1"/>
    <col min="4" max="4" width="19.85546875" customWidth="1"/>
    <col min="5" max="5" width="19.5703125" customWidth="1"/>
  </cols>
  <sheetData>
    <row r="1" spans="1:5" s="103" customFormat="1" ht="20.25" x14ac:dyDescent="0.3">
      <c r="A1" s="242" t="s">
        <v>1054</v>
      </c>
      <c r="B1" s="243"/>
      <c r="C1" s="243"/>
      <c r="D1" s="243"/>
      <c r="E1" s="243"/>
    </row>
    <row r="2" spans="1:5" s="103" customFormat="1" ht="15.75" x14ac:dyDescent="0.25">
      <c r="A2" s="245" t="str">
        <f>"CÔNG TRÌNH : "&amp;'Bia du toan'!$G$12</f>
        <v>CÔNG TRÌNH : TRƯỜNG CAO ĐẲNG LÝ TỰ TRỌNG</v>
      </c>
      <c r="B2" s="243"/>
      <c r="C2" s="243"/>
      <c r="D2" s="243"/>
      <c r="E2" s="243"/>
    </row>
    <row r="3" spans="1:5" s="103" customFormat="1" ht="15.75" x14ac:dyDescent="0.25">
      <c r="A3" s="245" t="str">
        <f>"HẠNG MỤC : "&amp; 'Bia du toan'!$G$13</f>
        <v>HẠNG MỤC : CẢI TẠO THƯ VIỆN GIAI ĐOẠN 2 - NĂM 2019</v>
      </c>
      <c r="B3" s="243"/>
      <c r="C3" s="243"/>
      <c r="D3" s="243"/>
      <c r="E3" s="243"/>
    </row>
    <row r="4" spans="1:5" s="103" customFormat="1" ht="15" x14ac:dyDescent="0.25">
      <c r="A4" s="243"/>
      <c r="B4" s="243"/>
      <c r="C4" s="243"/>
      <c r="D4" s="243"/>
      <c r="E4" s="243"/>
    </row>
    <row r="5" spans="1:5" s="103" customFormat="1" ht="15" customHeight="1" x14ac:dyDescent="0.25">
      <c r="A5" s="346" t="s">
        <v>15</v>
      </c>
      <c r="B5" s="346" t="s">
        <v>266</v>
      </c>
      <c r="C5" s="346" t="s">
        <v>267</v>
      </c>
      <c r="D5" s="346" t="s">
        <v>236</v>
      </c>
      <c r="E5" s="346" t="s">
        <v>237</v>
      </c>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CPVC"/>
  <dimension ref="A1:AM21"/>
  <sheetViews>
    <sheetView workbookViewId="0">
      <selection activeCell="G11" sqref="G11"/>
    </sheetView>
  </sheetViews>
  <sheetFormatPr defaultRowHeight="15" outlineLevelCol="1" x14ac:dyDescent="0.25"/>
  <cols>
    <col min="1" max="1" width="3.7109375" style="2" customWidth="1"/>
    <col min="2" max="2" width="11.7109375" style="2" hidden="1" customWidth="1" outlineLevel="1"/>
    <col min="3" max="3" width="17.7109375" style="2" customWidth="1" collapsed="1"/>
    <col min="4" max="4" width="5.7109375" style="144" customWidth="1"/>
    <col min="5" max="5" width="5.7109375" style="2" bestFit="1" customWidth="1"/>
    <col min="6" max="6" width="8" style="2" bestFit="1" customWidth="1"/>
    <col min="7" max="7" width="7.42578125" style="2" bestFit="1" customWidth="1"/>
    <col min="8" max="8" width="5" style="2" bestFit="1" customWidth="1"/>
    <col min="9" max="9" width="6.140625" style="2" customWidth="1"/>
    <col min="10" max="10" width="5.7109375" style="2" customWidth="1"/>
    <col min="11" max="11" width="5.85546875" style="2" customWidth="1"/>
    <col min="12" max="12" width="7.140625" style="2" customWidth="1"/>
    <col min="13" max="13" width="10" style="2" hidden="1" customWidth="1" outlineLevel="1"/>
    <col min="14" max="14" width="11.5703125" style="2" hidden="1" customWidth="1" outlineLevel="1"/>
    <col min="15" max="15" width="5.42578125" style="2" bestFit="1" customWidth="1" collapsed="1"/>
    <col min="16" max="17" width="6.28515625" style="2" bestFit="1" customWidth="1"/>
    <col min="18" max="18" width="9" style="118" customWidth="1"/>
    <col min="19" max="19" width="9.5703125" style="118" customWidth="1"/>
    <col min="20" max="20" width="9.7109375" style="118" customWidth="1"/>
    <col min="21" max="21" width="9.85546875" style="118" bestFit="1" customWidth="1"/>
    <col min="22" max="22" width="10.28515625" style="118" bestFit="1" customWidth="1"/>
    <col min="23" max="23" width="11.85546875" style="118" hidden="1" customWidth="1" outlineLevel="1"/>
    <col min="24" max="24" width="15.42578125" style="118" hidden="1" customWidth="1" outlineLevel="1"/>
    <col min="25" max="25" width="12.140625" style="118" hidden="1" customWidth="1" outlineLevel="1"/>
    <col min="26" max="26" width="14.5703125" style="118" hidden="1" customWidth="1" outlineLevel="1"/>
    <col min="27" max="27" width="7.42578125" style="118" hidden="1" customWidth="1" outlineLevel="1"/>
    <col min="28" max="28" width="7.28515625" style="118" hidden="1" customWidth="1" outlineLevel="1"/>
    <col min="29" max="29" width="10" style="118" customWidth="1" collapsed="1"/>
    <col min="30" max="30" width="7.28515625" style="118" bestFit="1" customWidth="1"/>
    <col min="31" max="31" width="9.140625" style="2"/>
    <col min="32" max="32" width="7.85546875" style="2" customWidth="1"/>
    <col min="33" max="33" width="9.7109375" style="2" hidden="1" customWidth="1" outlineLevel="1"/>
    <col min="34" max="34" width="10.42578125" style="2" hidden="1" customWidth="1" outlineLevel="1"/>
    <col min="35" max="35" width="9.85546875" style="2" hidden="1" customWidth="1" outlineLevel="1"/>
    <col min="36" max="36" width="7.85546875" style="2" hidden="1" customWidth="1" outlineLevel="1"/>
    <col min="37" max="37" width="9.28515625" style="2" hidden="1" customWidth="1" outlineLevel="1"/>
    <col min="38" max="38" width="0" style="2" hidden="1" customWidth="1" outlineLevel="1"/>
    <col min="39" max="39" width="9.140625" style="2" collapsed="1"/>
    <col min="40" max="16384" width="9.140625" style="2"/>
  </cols>
  <sheetData>
    <row r="1" spans="1:38" ht="20.25" x14ac:dyDescent="0.25">
      <c r="A1" s="40"/>
      <c r="B1" s="40"/>
      <c r="C1" s="104" t="s">
        <v>482</v>
      </c>
      <c r="D1" s="40"/>
      <c r="E1" s="40"/>
      <c r="F1" s="40"/>
      <c r="G1" s="40"/>
      <c r="H1" s="40"/>
      <c r="I1" s="40"/>
      <c r="J1" s="40"/>
      <c r="K1" s="40"/>
      <c r="L1" s="40"/>
      <c r="M1" s="40"/>
      <c r="N1" s="40"/>
      <c r="O1" s="40"/>
      <c r="P1" s="40"/>
      <c r="Q1" s="40"/>
      <c r="R1" s="117"/>
      <c r="S1" s="117"/>
      <c r="T1" s="117"/>
      <c r="U1" s="117"/>
      <c r="V1" s="117"/>
      <c r="W1" s="117"/>
      <c r="X1" s="117"/>
      <c r="Y1" s="117"/>
      <c r="Z1" s="117"/>
      <c r="AA1" s="117"/>
      <c r="AB1" s="117"/>
      <c r="AC1" s="117"/>
      <c r="AD1" s="117"/>
    </row>
    <row r="2" spans="1:38" s="101" customFormat="1" ht="14.25" x14ac:dyDescent="0.2">
      <c r="A2" s="105" t="str">
        <f>"CÔNG TRÌNH : "&amp;'Bia du toan'!$G$12</f>
        <v>CÔNG TRÌNH : TRƯỜNG CAO ĐẲNG LÝ TỰ TRỌNG</v>
      </c>
      <c r="B2" s="105"/>
      <c r="C2" s="105"/>
      <c r="D2" s="105"/>
      <c r="E2" s="105"/>
      <c r="F2" s="105"/>
      <c r="G2" s="105"/>
      <c r="H2" s="105"/>
      <c r="I2" s="105"/>
      <c r="J2" s="105"/>
      <c r="K2" s="105"/>
      <c r="L2" s="105"/>
      <c r="M2" s="105"/>
      <c r="N2" s="105"/>
      <c r="O2" s="105"/>
      <c r="P2" s="105"/>
      <c r="Q2" s="105"/>
      <c r="R2" s="125"/>
      <c r="S2" s="125"/>
      <c r="T2" s="125"/>
      <c r="U2" s="125"/>
      <c r="V2" s="125"/>
      <c r="W2" s="125"/>
      <c r="X2" s="125"/>
      <c r="Y2" s="125"/>
      <c r="Z2" s="125"/>
      <c r="AA2" s="125"/>
      <c r="AB2" s="125"/>
      <c r="AC2" s="125"/>
      <c r="AD2" s="125"/>
    </row>
    <row r="3" spans="1:38" s="101" customFormat="1" ht="14.25" x14ac:dyDescent="0.2">
      <c r="A3" s="105" t="str">
        <f>"HẠNG MỤC : "&amp; 'Bia du toan'!$G$13</f>
        <v>HẠNG MỤC : CẢI TẠO THƯ VIỆN GIAI ĐOẠN 2 - NĂM 2019</v>
      </c>
      <c r="B3" s="105"/>
      <c r="C3" s="105"/>
      <c r="D3" s="105"/>
      <c r="E3" s="105"/>
      <c r="F3" s="105"/>
      <c r="G3" s="105"/>
      <c r="H3" s="105"/>
      <c r="I3" s="105"/>
      <c r="J3" s="105"/>
      <c r="K3" s="105"/>
      <c r="L3" s="105"/>
      <c r="M3" s="105"/>
      <c r="N3" s="105"/>
      <c r="O3" s="105"/>
      <c r="P3" s="105"/>
      <c r="Q3" s="105"/>
      <c r="R3" s="125"/>
      <c r="S3" s="125"/>
      <c r="T3" s="125"/>
      <c r="U3" s="125"/>
      <c r="V3" s="125"/>
      <c r="W3" s="125"/>
      <c r="X3" s="125"/>
      <c r="Y3" s="125"/>
      <c r="Z3" s="125"/>
      <c r="AA3" s="125"/>
      <c r="AB3" s="125"/>
      <c r="AC3" s="125"/>
      <c r="AD3" s="125"/>
    </row>
    <row r="4" spans="1:38" x14ac:dyDescent="0.25">
      <c r="A4" s="40"/>
      <c r="B4" s="40"/>
      <c r="C4" s="40"/>
      <c r="D4" s="40"/>
      <c r="E4" s="40"/>
      <c r="F4" s="40"/>
      <c r="G4" s="40"/>
      <c r="H4" s="40"/>
      <c r="I4" s="40"/>
      <c r="J4" s="40"/>
      <c r="K4" s="40"/>
      <c r="L4" s="40"/>
      <c r="M4" s="40"/>
      <c r="N4" s="40"/>
      <c r="O4" s="40"/>
      <c r="P4" s="40"/>
      <c r="Q4" s="40"/>
      <c r="R4" s="117"/>
      <c r="S4" s="117"/>
      <c r="T4" s="117"/>
      <c r="U4" s="117"/>
      <c r="V4" s="117"/>
      <c r="W4" s="117"/>
      <c r="X4" s="117"/>
      <c r="Y4" s="117"/>
      <c r="Z4" s="117"/>
      <c r="AA4" s="117"/>
      <c r="AB4" s="117"/>
      <c r="AC4" s="117"/>
      <c r="AD4" s="117"/>
    </row>
    <row r="5" spans="1:38" s="106" customFormat="1" ht="15" customHeight="1" x14ac:dyDescent="0.2">
      <c r="A5" s="1806" t="s">
        <v>15</v>
      </c>
      <c r="B5" s="1806" t="s">
        <v>335</v>
      </c>
      <c r="C5" s="1806" t="s">
        <v>336</v>
      </c>
      <c r="D5" s="1806" t="s">
        <v>68</v>
      </c>
      <c r="E5" s="1805" t="s">
        <v>3041</v>
      </c>
      <c r="F5" s="1805" t="s">
        <v>316</v>
      </c>
      <c r="G5" s="1805" t="s">
        <v>317</v>
      </c>
      <c r="H5" s="1805" t="s">
        <v>561</v>
      </c>
      <c r="I5" s="1806" t="s">
        <v>568</v>
      </c>
      <c r="J5" s="1805" t="s">
        <v>486</v>
      </c>
      <c r="K5" s="1806" t="s">
        <v>318</v>
      </c>
      <c r="L5" s="1806" t="s">
        <v>562</v>
      </c>
      <c r="M5" s="1806" t="s">
        <v>319</v>
      </c>
      <c r="N5" s="1806"/>
      <c r="O5" s="1806" t="s">
        <v>320</v>
      </c>
      <c r="P5" s="1806"/>
      <c r="Q5" s="1806"/>
      <c r="R5" s="1806" t="s">
        <v>3259</v>
      </c>
      <c r="S5" s="1807" t="s">
        <v>3260</v>
      </c>
      <c r="T5" s="1807"/>
      <c r="U5" s="1807" t="s">
        <v>323</v>
      </c>
      <c r="V5" s="1807" t="s">
        <v>3330</v>
      </c>
      <c r="W5" s="1807" t="s">
        <v>324</v>
      </c>
      <c r="X5" s="1807"/>
      <c r="Y5" s="1807"/>
      <c r="Z5" s="1807" t="s">
        <v>325</v>
      </c>
      <c r="AA5" s="1807"/>
      <c r="AB5" s="1807"/>
      <c r="AC5" s="1807" t="s">
        <v>326</v>
      </c>
      <c r="AD5" s="1807" t="s">
        <v>327</v>
      </c>
      <c r="AE5" s="1807" t="s">
        <v>328</v>
      </c>
      <c r="AF5" s="1809" t="s">
        <v>3331</v>
      </c>
      <c r="AG5" s="1808" t="s">
        <v>3053</v>
      </c>
      <c r="AH5" s="1808" t="s">
        <v>3095</v>
      </c>
      <c r="AI5" s="1808"/>
      <c r="AJ5" s="1808"/>
      <c r="AK5" s="1807" t="s">
        <v>328</v>
      </c>
      <c r="AL5" s="1808" t="s">
        <v>485</v>
      </c>
    </row>
    <row r="6" spans="1:38" s="106" customFormat="1" ht="28.5" customHeight="1" x14ac:dyDescent="0.2">
      <c r="A6" s="1806"/>
      <c r="B6" s="1806"/>
      <c r="C6" s="1806"/>
      <c r="D6" s="1806"/>
      <c r="E6" s="1805"/>
      <c r="F6" s="1805"/>
      <c r="G6" s="1805"/>
      <c r="H6" s="1805"/>
      <c r="I6" s="1806"/>
      <c r="J6" s="1805"/>
      <c r="K6" s="1806"/>
      <c r="L6" s="1806"/>
      <c r="M6" s="487" t="s">
        <v>329</v>
      </c>
      <c r="N6" s="487" t="s">
        <v>330</v>
      </c>
      <c r="O6" s="487" t="s">
        <v>331</v>
      </c>
      <c r="P6" s="487" t="s">
        <v>321</v>
      </c>
      <c r="Q6" s="487" t="s">
        <v>322</v>
      </c>
      <c r="R6" s="1806"/>
      <c r="S6" s="711" t="s">
        <v>3261</v>
      </c>
      <c r="T6" s="711" t="s">
        <v>3262</v>
      </c>
      <c r="U6" s="1807"/>
      <c r="V6" s="1807"/>
      <c r="W6" s="486" t="s">
        <v>332</v>
      </c>
      <c r="X6" s="486" t="s">
        <v>333</v>
      </c>
      <c r="Y6" s="486" t="s">
        <v>334</v>
      </c>
      <c r="Z6" s="486" t="s">
        <v>332</v>
      </c>
      <c r="AA6" s="486" t="s">
        <v>333</v>
      </c>
      <c r="AB6" s="486" t="s">
        <v>334</v>
      </c>
      <c r="AC6" s="1807"/>
      <c r="AD6" s="1807"/>
      <c r="AE6" s="1807"/>
      <c r="AF6" s="1809"/>
      <c r="AG6" s="1808"/>
      <c r="AH6" s="625" t="s">
        <v>3096</v>
      </c>
      <c r="AI6" s="625" t="s">
        <v>3097</v>
      </c>
      <c r="AJ6" s="625" t="s">
        <v>1145</v>
      </c>
      <c r="AK6" s="1807"/>
      <c r="AL6" s="1808"/>
    </row>
    <row r="21" spans="2:2" x14ac:dyDescent="0.25">
      <c r="B21" s="402" t="s">
        <v>1300</v>
      </c>
    </row>
  </sheetData>
  <mergeCells count="28">
    <mergeCell ref="A5:A6"/>
    <mergeCell ref="B5:B6"/>
    <mergeCell ref="C5:C6"/>
    <mergeCell ref="D5:D6"/>
    <mergeCell ref="E5:E6"/>
    <mergeCell ref="AL5:AL6"/>
    <mergeCell ref="AC5:AC6"/>
    <mergeCell ref="L5:L6"/>
    <mergeCell ref="J5:J6"/>
    <mergeCell ref="W5:Y5"/>
    <mergeCell ref="AK5:AK6"/>
    <mergeCell ref="AG5:AG6"/>
    <mergeCell ref="AH5:AJ5"/>
    <mergeCell ref="V5:V6"/>
    <mergeCell ref="Z5:AB5"/>
    <mergeCell ref="AE5:AE6"/>
    <mergeCell ref="AF5:AF6"/>
    <mergeCell ref="AD5:AD6"/>
    <mergeCell ref="F5:F6"/>
    <mergeCell ref="H5:H6"/>
    <mergeCell ref="I5:I6"/>
    <mergeCell ref="G5:G6"/>
    <mergeCell ref="U5:U6"/>
    <mergeCell ref="S5:T5"/>
    <mergeCell ref="M5:N5"/>
    <mergeCell ref="O5:Q5"/>
    <mergeCell ref="K5:K6"/>
    <mergeCell ref="R5:R6"/>
  </mergeCells>
  <phoneticPr fontId="2" type="noConversion"/>
  <pageMargins left="0.41" right="0.08" top="0.37" bottom="0.59055118110236204" header="0.15748031496063" footer="0.23622047244094499"/>
  <pageSetup paperSize="9" scale="80" orientation="landscape" r:id="rId1"/>
  <headerFooter alignWithMargins="0">
    <oddHeader>&amp;L&amp;"Times New Roman,Bold Italic"&amp;9Dự toán Bắc Nam  - ÐT: 0966.966.455</oddHeader>
    <oddFooter>&amp;R&amp;9Trang &amp;P/&amp;N</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CVC"/>
  <dimension ref="A1:AT159"/>
  <sheetViews>
    <sheetView showZeros="0" zoomScale="85" zoomScaleNormal="85" workbookViewId="0"/>
  </sheetViews>
  <sheetFormatPr defaultRowHeight="15.75" x14ac:dyDescent="0.25"/>
  <cols>
    <col min="1" max="2" width="9.140625" style="446"/>
    <col min="3" max="3" width="13.5703125" style="446" customWidth="1"/>
    <col min="4" max="4" width="10.7109375" style="446" customWidth="1"/>
    <col min="5" max="6" width="9.140625" style="446"/>
    <col min="7" max="7" width="27.85546875" style="446" customWidth="1"/>
    <col min="8" max="8" width="16.85546875" style="446" customWidth="1"/>
    <col min="9" max="9" width="19.5703125" style="446" customWidth="1"/>
    <col min="10" max="10" width="12.28515625" style="446" customWidth="1"/>
    <col min="11" max="11" width="14.7109375" style="446" customWidth="1"/>
    <col min="12" max="12" width="10.140625" style="446" bestFit="1" customWidth="1"/>
    <col min="13" max="13" width="14" style="446" customWidth="1"/>
    <col min="14" max="14" width="21.5703125" style="446" customWidth="1"/>
    <col min="15" max="16" width="9.140625" style="446"/>
    <col min="17" max="17" width="4" style="446" bestFit="1" customWidth="1"/>
    <col min="18" max="18" width="32.7109375" style="446" customWidth="1"/>
    <col min="19" max="20" width="9.140625" style="446"/>
    <col min="21" max="21" width="29" style="467" customWidth="1"/>
    <col min="22" max="25" width="11.5703125" style="467" customWidth="1"/>
    <col min="26" max="26" width="13.5703125" style="467" customWidth="1"/>
    <col min="27" max="27" width="11.5703125" style="467" customWidth="1"/>
    <col min="28" max="29" width="9.140625" style="446"/>
    <col min="30" max="38" width="11.5703125" style="446" customWidth="1"/>
    <col min="39" max="39" width="27.85546875" style="531" customWidth="1"/>
    <col min="40" max="40" width="19.5703125" style="446" customWidth="1"/>
    <col min="41" max="41" width="12.28515625" style="446" customWidth="1"/>
    <col min="42" max="42" width="14.7109375" style="446" customWidth="1"/>
    <col min="43" max="43" width="10.140625" style="446" bestFit="1" customWidth="1"/>
    <col min="44" max="44" width="14" style="446" customWidth="1"/>
    <col min="45" max="45" width="21.5703125" style="446" customWidth="1"/>
    <col min="46" max="16384" width="9.140625" style="446"/>
  </cols>
  <sheetData>
    <row r="1" spans="1:46" ht="31.5" x14ac:dyDescent="0.25">
      <c r="A1" s="444" t="s">
        <v>337</v>
      </c>
      <c r="B1" s="445"/>
      <c r="C1" s="445"/>
      <c r="D1" s="445"/>
      <c r="E1" s="445"/>
      <c r="F1" s="445"/>
      <c r="G1" s="445"/>
      <c r="I1" s="444" t="s">
        <v>338</v>
      </c>
      <c r="J1" s="445"/>
      <c r="K1" s="445"/>
      <c r="L1" s="445"/>
      <c r="M1" s="445"/>
      <c r="N1" s="445"/>
      <c r="O1" s="445"/>
      <c r="Q1" s="444" t="s">
        <v>1261</v>
      </c>
      <c r="R1" s="445"/>
      <c r="S1" s="445"/>
      <c r="T1" s="445"/>
      <c r="U1" s="447"/>
      <c r="V1" s="447"/>
      <c r="W1" s="447"/>
      <c r="X1" s="447"/>
      <c r="Y1" s="447"/>
      <c r="Z1" s="447"/>
      <c r="AA1" s="447"/>
      <c r="AC1" s="524" t="s">
        <v>1302</v>
      </c>
      <c r="AD1" s="445"/>
      <c r="AE1" s="445"/>
      <c r="AF1" s="445"/>
      <c r="AG1" s="445"/>
      <c r="AH1" s="445"/>
      <c r="AI1" s="445"/>
      <c r="AJ1" s="445"/>
      <c r="AK1" s="445"/>
      <c r="AL1" s="445"/>
      <c r="AM1" s="525"/>
      <c r="AN1" s="524" t="s">
        <v>1303</v>
      </c>
      <c r="AO1" s="445"/>
      <c r="AP1" s="445"/>
      <c r="AQ1" s="445"/>
      <c r="AR1" s="445"/>
      <c r="AS1" s="445"/>
      <c r="AT1" s="445"/>
    </row>
    <row r="2" spans="1:46" x14ac:dyDescent="0.25">
      <c r="A2" s="445" t="s">
        <v>339</v>
      </c>
      <c r="B2" s="445"/>
      <c r="C2" s="445"/>
      <c r="D2" s="445"/>
      <c r="E2" s="445"/>
      <c r="F2" s="445"/>
      <c r="G2" s="445"/>
      <c r="I2" s="445" t="s">
        <v>339</v>
      </c>
      <c r="J2" s="445"/>
      <c r="K2" s="445"/>
      <c r="L2" s="445"/>
      <c r="M2" s="445"/>
      <c r="N2" s="445"/>
      <c r="O2" s="445"/>
      <c r="Q2" s="445" t="s">
        <v>339</v>
      </c>
      <c r="R2" s="445"/>
      <c r="S2" s="445"/>
      <c r="T2" s="445"/>
      <c r="U2" s="447"/>
      <c r="V2" s="447"/>
      <c r="W2" s="447"/>
      <c r="X2" s="447"/>
      <c r="Y2" s="447"/>
      <c r="Z2" s="447"/>
      <c r="AA2" s="447"/>
      <c r="AC2" s="445" t="s">
        <v>339</v>
      </c>
      <c r="AD2" s="445"/>
      <c r="AE2" s="445"/>
      <c r="AF2" s="445"/>
      <c r="AG2" s="445"/>
      <c r="AH2" s="445"/>
      <c r="AI2" s="445"/>
      <c r="AJ2" s="445"/>
      <c r="AK2" s="445"/>
      <c r="AL2" s="445"/>
      <c r="AM2" s="525"/>
      <c r="AN2" s="445" t="s">
        <v>339</v>
      </c>
      <c r="AO2" s="445"/>
      <c r="AP2" s="445"/>
      <c r="AQ2" s="445"/>
      <c r="AR2" s="445"/>
      <c r="AS2" s="445"/>
      <c r="AT2" s="445"/>
    </row>
    <row r="3" spans="1:46" s="448" customFormat="1" ht="16.5" customHeight="1" x14ac:dyDescent="0.25">
      <c r="A3" s="352" t="str">
        <f>"CÔNG TRÌNH : "&amp;'Bia du toan'!$G$12</f>
        <v>CÔNG TRÌNH : TRƯỜNG CAO ĐẲNG LÝ TỰ TRỌNG</v>
      </c>
      <c r="B3" s="444"/>
      <c r="C3" s="444"/>
      <c r="D3" s="444"/>
      <c r="E3" s="444"/>
      <c r="F3" s="444"/>
      <c r="G3" s="444"/>
      <c r="I3" s="352" t="str">
        <f>"CÔNG TRÌNH : "&amp;'Bia du toan'!$G$12</f>
        <v>CÔNG TRÌNH : TRƯỜNG CAO ĐẲNG LÝ TỰ TRỌNG</v>
      </c>
      <c r="J3" s="444"/>
      <c r="K3" s="444"/>
      <c r="L3" s="444"/>
      <c r="M3" s="444"/>
      <c r="N3" s="444"/>
      <c r="O3" s="444"/>
      <c r="Q3" s="444" t="str">
        <f>"CÔNG TRÌNH : "&amp;'Bia du toan'!$G$12</f>
        <v>CÔNG TRÌNH : TRƯỜNG CAO ĐẲNG LÝ TỰ TRỌNG</v>
      </c>
      <c r="R3" s="445"/>
      <c r="S3" s="445"/>
      <c r="T3" s="445"/>
      <c r="U3" s="447"/>
      <c r="V3" s="447"/>
      <c r="W3" s="447"/>
      <c r="X3" s="447"/>
      <c r="Y3" s="449"/>
      <c r="Z3" s="449"/>
      <c r="AA3" s="449"/>
      <c r="AC3" s="352" t="str">
        <f>"CÔNG TRÌNH : "&amp;'Bia du toan'!$G$12</f>
        <v>CÔNG TRÌNH : TRƯỜNG CAO ĐẲNG LÝ TỰ TRỌNG</v>
      </c>
      <c r="AD3" s="444"/>
      <c r="AE3" s="444"/>
      <c r="AF3" s="444"/>
      <c r="AG3" s="444"/>
      <c r="AH3" s="444"/>
      <c r="AI3" s="444"/>
      <c r="AJ3" s="444"/>
      <c r="AK3" s="444"/>
      <c r="AL3" s="444"/>
      <c r="AM3" s="526"/>
      <c r="AN3" s="352" t="str">
        <f>"CÔNG TRÌNH : "&amp;'Bia du toan'!$G$12</f>
        <v>CÔNG TRÌNH : TRƯỜNG CAO ĐẲNG LÝ TỰ TRỌNG</v>
      </c>
      <c r="AO3" s="444"/>
      <c r="AP3" s="444"/>
      <c r="AQ3" s="444"/>
      <c r="AR3" s="444"/>
      <c r="AS3" s="444"/>
      <c r="AT3" s="444"/>
    </row>
    <row r="4" spans="1:46" s="448" customFormat="1" x14ac:dyDescent="0.25">
      <c r="A4" s="352" t="str">
        <f>"HẠNG MỤC : "&amp; 'Bia du toan'!$G$13</f>
        <v>HẠNG MỤC : CẢI TẠO THƯ VIỆN GIAI ĐOẠN 2 - NĂM 2019</v>
      </c>
      <c r="B4" s="444"/>
      <c r="C4" s="444"/>
      <c r="D4" s="444"/>
      <c r="E4" s="444"/>
      <c r="F4" s="444"/>
      <c r="G4" s="444"/>
      <c r="I4" s="352" t="str">
        <f>"HẠNG MỤC : "&amp; 'Bia du toan'!$G$13</f>
        <v>HẠNG MỤC : CẢI TẠO THƯ VIỆN GIAI ĐOẠN 2 - NĂM 2019</v>
      </c>
      <c r="J4" s="444"/>
      <c r="K4" s="444"/>
      <c r="L4" s="444"/>
      <c r="M4" s="444"/>
      <c r="N4" s="444"/>
      <c r="O4" s="444"/>
      <c r="Q4" s="352" t="str">
        <f>"HẠNG MỤC : "&amp; 'Bia du toan'!$G$13</f>
        <v>HẠNG MỤC : CẢI TẠO THƯ VIỆN GIAI ĐOẠN 2 - NĂM 2019</v>
      </c>
      <c r="R4" s="444"/>
      <c r="S4" s="444"/>
      <c r="T4" s="444"/>
      <c r="U4" s="449"/>
      <c r="V4" s="449"/>
      <c r="W4" s="449"/>
      <c r="X4" s="449"/>
      <c r="Y4" s="449"/>
      <c r="Z4" s="449"/>
      <c r="AA4" s="449"/>
      <c r="AC4" s="352" t="str">
        <f>"HẠNG MỤC : "&amp; 'Bia du toan'!$G$13</f>
        <v>HẠNG MỤC : CẢI TẠO THƯ VIỆN GIAI ĐOẠN 2 - NĂM 2019</v>
      </c>
      <c r="AD4" s="444"/>
      <c r="AE4" s="444"/>
      <c r="AF4" s="444"/>
      <c r="AG4" s="444"/>
      <c r="AH4" s="444"/>
      <c r="AI4" s="444"/>
      <c r="AJ4" s="444"/>
      <c r="AK4" s="444"/>
      <c r="AL4" s="444"/>
      <c r="AM4" s="526"/>
      <c r="AN4" s="352" t="str">
        <f>"HẠNG MỤC : "&amp; 'Bia du toan'!$G$13</f>
        <v>HẠNG MỤC : CẢI TẠO THƯ VIỆN GIAI ĐOẠN 2 - NĂM 2019</v>
      </c>
      <c r="AO4" s="444"/>
      <c r="AP4" s="444"/>
      <c r="AQ4" s="444"/>
      <c r="AR4" s="444"/>
      <c r="AS4" s="444"/>
      <c r="AT4" s="444"/>
    </row>
    <row r="5" spans="1:46" ht="16.5" thickBot="1" x14ac:dyDescent="0.3">
      <c r="A5" s="445"/>
      <c r="B5" s="445"/>
      <c r="C5" s="445"/>
      <c r="D5" s="445"/>
      <c r="E5" s="445"/>
      <c r="F5" s="445"/>
      <c r="G5" s="445"/>
      <c r="Q5" s="445"/>
      <c r="R5" s="445"/>
      <c r="S5" s="445"/>
      <c r="T5" s="445"/>
      <c r="U5" s="447"/>
      <c r="V5" s="447"/>
      <c r="W5" s="447"/>
      <c r="X5" s="447"/>
      <c r="Y5" s="447"/>
      <c r="Z5" s="447"/>
      <c r="AA5" s="447"/>
      <c r="AC5" s="445"/>
      <c r="AD5" s="445"/>
      <c r="AE5" s="445"/>
      <c r="AF5" s="445"/>
      <c r="AG5" s="445"/>
      <c r="AH5" s="445"/>
      <c r="AI5" s="445"/>
      <c r="AJ5" s="445"/>
      <c r="AK5" s="445"/>
      <c r="AL5" s="445"/>
      <c r="AM5" s="525"/>
    </row>
    <row r="6" spans="1:46" s="450" customFormat="1" ht="18" customHeight="1" x14ac:dyDescent="0.25">
      <c r="A6" s="1817" t="s">
        <v>331</v>
      </c>
      <c r="B6" s="476" t="s">
        <v>340</v>
      </c>
      <c r="C6" s="476" t="s">
        <v>340</v>
      </c>
      <c r="D6" s="476" t="s">
        <v>340</v>
      </c>
      <c r="E6" s="476" t="s">
        <v>340</v>
      </c>
      <c r="F6" s="476" t="s">
        <v>340</v>
      </c>
      <c r="G6" s="476" t="s">
        <v>340</v>
      </c>
      <c r="I6" s="1818" t="s">
        <v>331</v>
      </c>
      <c r="J6" s="476" t="s">
        <v>511</v>
      </c>
      <c r="K6" s="476" t="s">
        <v>511</v>
      </c>
      <c r="L6" s="476" t="s">
        <v>511</v>
      </c>
      <c r="M6" s="476" t="s">
        <v>511</v>
      </c>
      <c r="N6" s="451" t="s">
        <v>348</v>
      </c>
      <c r="Q6" s="1813" t="s">
        <v>15</v>
      </c>
      <c r="R6" s="1815" t="s">
        <v>626</v>
      </c>
      <c r="S6" s="1815" t="s">
        <v>625</v>
      </c>
      <c r="T6" s="1815" t="s">
        <v>1262</v>
      </c>
      <c r="U6" s="1811" t="s">
        <v>627</v>
      </c>
      <c r="V6" s="1820" t="s">
        <v>623</v>
      </c>
      <c r="W6" s="1821"/>
      <c r="X6" s="1822"/>
      <c r="Y6" s="1823" t="s">
        <v>624</v>
      </c>
      <c r="Z6" s="1823"/>
      <c r="AA6" s="1823"/>
      <c r="AC6" s="1817" t="s">
        <v>331</v>
      </c>
      <c r="AD6" s="476" t="s">
        <v>1304</v>
      </c>
      <c r="AE6" s="476" t="s">
        <v>1304</v>
      </c>
      <c r="AF6" s="476" t="s">
        <v>1304</v>
      </c>
      <c r="AG6" s="476" t="s">
        <v>1304</v>
      </c>
      <c r="AH6" s="476" t="s">
        <v>1304</v>
      </c>
      <c r="AI6" s="476" t="s">
        <v>1304</v>
      </c>
      <c r="AJ6" s="476" t="s">
        <v>1304</v>
      </c>
      <c r="AK6" s="476" t="s">
        <v>1304</v>
      </c>
      <c r="AL6" s="476" t="s">
        <v>1304</v>
      </c>
      <c r="AM6" s="525"/>
      <c r="AN6" s="1818" t="s">
        <v>331</v>
      </c>
      <c r="AO6" s="476" t="s">
        <v>511</v>
      </c>
      <c r="AP6" s="476" t="s">
        <v>511</v>
      </c>
      <c r="AQ6" s="476" t="s">
        <v>511</v>
      </c>
      <c r="AR6" s="476" t="s">
        <v>511</v>
      </c>
      <c r="AS6" s="451" t="s">
        <v>348</v>
      </c>
    </row>
    <row r="7" spans="1:46" s="450" customFormat="1" ht="24.75" customHeight="1" x14ac:dyDescent="0.25">
      <c r="A7" s="1817"/>
      <c r="B7" s="478" t="s">
        <v>341</v>
      </c>
      <c r="C7" s="478" t="s">
        <v>342</v>
      </c>
      <c r="D7" s="478" t="s">
        <v>343</v>
      </c>
      <c r="E7" s="478" t="s">
        <v>344</v>
      </c>
      <c r="F7" s="478" t="s">
        <v>345</v>
      </c>
      <c r="G7" s="478" t="s">
        <v>346</v>
      </c>
      <c r="I7" s="1819"/>
      <c r="J7" s="477">
        <v>1</v>
      </c>
      <c r="K7" s="477">
        <v>2</v>
      </c>
      <c r="L7" s="477">
        <v>3</v>
      </c>
      <c r="M7" s="477">
        <v>4</v>
      </c>
      <c r="N7" s="522" t="s">
        <v>349</v>
      </c>
      <c r="O7" s="522" t="s">
        <v>350</v>
      </c>
      <c r="Q7" s="1814"/>
      <c r="R7" s="1816"/>
      <c r="S7" s="1816"/>
      <c r="T7" s="1816"/>
      <c r="U7" s="1812"/>
      <c r="V7" s="521">
        <v>50</v>
      </c>
      <c r="W7" s="521">
        <v>200</v>
      </c>
      <c r="X7" s="521">
        <v>500</v>
      </c>
      <c r="Y7" s="521">
        <v>50</v>
      </c>
      <c r="Z7" s="521">
        <v>200</v>
      </c>
      <c r="AA7" s="521">
        <v>500</v>
      </c>
      <c r="AC7" s="1817"/>
      <c r="AD7" s="478" t="s">
        <v>1305</v>
      </c>
      <c r="AE7" s="478" t="s">
        <v>1306</v>
      </c>
      <c r="AF7" s="478" t="s">
        <v>1307</v>
      </c>
      <c r="AG7" s="478" t="s">
        <v>1308</v>
      </c>
      <c r="AH7" s="478" t="s">
        <v>1309</v>
      </c>
      <c r="AI7" s="478" t="s">
        <v>1310</v>
      </c>
      <c r="AJ7" s="478" t="s">
        <v>1311</v>
      </c>
      <c r="AK7" s="478" t="s">
        <v>1312</v>
      </c>
      <c r="AL7" s="478" t="s">
        <v>1313</v>
      </c>
      <c r="AM7" s="525"/>
      <c r="AN7" s="1819"/>
      <c r="AO7" s="477">
        <v>1</v>
      </c>
      <c r="AP7" s="477">
        <v>2</v>
      </c>
      <c r="AQ7" s="477">
        <v>3</v>
      </c>
      <c r="AR7" s="477">
        <v>4</v>
      </c>
      <c r="AS7" s="522" t="s">
        <v>349</v>
      </c>
      <c r="AT7" s="522" t="s">
        <v>350</v>
      </c>
    </row>
    <row r="8" spans="1:46" ht="20.25" customHeight="1" x14ac:dyDescent="0.25">
      <c r="A8" s="452">
        <v>0</v>
      </c>
      <c r="B8" s="453">
        <v>0</v>
      </c>
      <c r="C8" s="453">
        <v>0</v>
      </c>
      <c r="D8" s="453">
        <v>0</v>
      </c>
      <c r="E8" s="453">
        <v>0</v>
      </c>
      <c r="F8" s="453">
        <v>0</v>
      </c>
      <c r="G8" s="453">
        <v>0</v>
      </c>
      <c r="I8" s="452">
        <v>0</v>
      </c>
      <c r="J8" s="453">
        <v>0</v>
      </c>
      <c r="K8" s="453">
        <v>0</v>
      </c>
      <c r="L8" s="453">
        <v>0</v>
      </c>
      <c r="M8" s="454">
        <v>0</v>
      </c>
      <c r="N8" s="452" t="s">
        <v>1314</v>
      </c>
      <c r="O8" s="455">
        <v>1</v>
      </c>
      <c r="Q8" s="479">
        <v>1</v>
      </c>
      <c r="R8" s="479" t="s">
        <v>628</v>
      </c>
      <c r="S8" s="480" t="s">
        <v>647</v>
      </c>
      <c r="T8" s="480">
        <v>1</v>
      </c>
      <c r="U8" s="481">
        <v>10</v>
      </c>
      <c r="V8" s="481">
        <v>32</v>
      </c>
      <c r="W8" s="481">
        <v>54</v>
      </c>
      <c r="X8" s="481">
        <v>76</v>
      </c>
      <c r="Y8" s="481">
        <v>98</v>
      </c>
      <c r="Z8" s="481">
        <v>120</v>
      </c>
      <c r="AA8" s="481">
        <v>142</v>
      </c>
      <c r="AC8" s="452">
        <v>0</v>
      </c>
      <c r="AD8" s="453">
        <v>0</v>
      </c>
      <c r="AE8" s="453">
        <v>0</v>
      </c>
      <c r="AF8" s="453">
        <v>0</v>
      </c>
      <c r="AG8" s="453">
        <v>0</v>
      </c>
      <c r="AH8" s="453">
        <v>0</v>
      </c>
      <c r="AI8" s="453">
        <v>0</v>
      </c>
      <c r="AJ8" s="453">
        <v>0</v>
      </c>
      <c r="AK8" s="453">
        <v>0</v>
      </c>
      <c r="AL8" s="453">
        <v>0</v>
      </c>
      <c r="AM8" s="525"/>
      <c r="AN8" s="452">
        <v>0</v>
      </c>
      <c r="AO8" s="453">
        <v>0</v>
      </c>
      <c r="AP8" s="453">
        <v>0</v>
      </c>
      <c r="AQ8" s="453">
        <v>0</v>
      </c>
      <c r="AR8" s="453">
        <v>0</v>
      </c>
      <c r="AS8" s="452" t="s">
        <v>1314</v>
      </c>
      <c r="AT8" s="455">
        <v>1</v>
      </c>
    </row>
    <row r="9" spans="1:46" ht="20.25" customHeight="1" x14ac:dyDescent="0.25">
      <c r="A9" s="452">
        <v>1</v>
      </c>
      <c r="B9" s="453">
        <v>5880</v>
      </c>
      <c r="C9" s="453">
        <v>6997</v>
      </c>
      <c r="D9" s="453">
        <v>10290</v>
      </c>
      <c r="E9" s="453">
        <v>14935</v>
      </c>
      <c r="F9" s="453">
        <v>21638</v>
      </c>
      <c r="G9" s="453"/>
      <c r="I9" s="452">
        <v>1</v>
      </c>
      <c r="J9" s="453">
        <v>13268</v>
      </c>
      <c r="K9" s="453">
        <v>14547</v>
      </c>
      <c r="L9" s="453">
        <v>16097</v>
      </c>
      <c r="M9" s="454">
        <v>17248</v>
      </c>
      <c r="N9" s="452" t="s">
        <v>1315</v>
      </c>
      <c r="O9" s="455">
        <v>1.5</v>
      </c>
      <c r="Q9" s="474">
        <v>2</v>
      </c>
      <c r="R9" s="474" t="s">
        <v>629</v>
      </c>
      <c r="S9" s="482" t="s">
        <v>647</v>
      </c>
      <c r="T9" s="482">
        <v>1</v>
      </c>
      <c r="U9" s="483">
        <v>11</v>
      </c>
      <c r="V9" s="483">
        <v>33</v>
      </c>
      <c r="W9" s="483">
        <v>55</v>
      </c>
      <c r="X9" s="483">
        <v>77</v>
      </c>
      <c r="Y9" s="483">
        <v>99</v>
      </c>
      <c r="Z9" s="483">
        <v>121</v>
      </c>
      <c r="AA9" s="483">
        <v>143</v>
      </c>
      <c r="AC9" s="452">
        <v>1</v>
      </c>
      <c r="AD9" s="453">
        <v>3541</v>
      </c>
      <c r="AE9" s="453">
        <v>4479</v>
      </c>
      <c r="AF9" s="453">
        <v>16800</v>
      </c>
      <c r="AG9" s="453">
        <v>18900</v>
      </c>
      <c r="AH9" s="453">
        <v>21000</v>
      </c>
      <c r="AI9" s="453">
        <v>23100</v>
      </c>
      <c r="AJ9" s="453">
        <v>25200</v>
      </c>
      <c r="AK9" s="453">
        <v>28350</v>
      </c>
      <c r="AL9" s="453">
        <v>31500</v>
      </c>
      <c r="AM9" s="527"/>
      <c r="AN9" s="452">
        <v>1</v>
      </c>
      <c r="AO9" s="453">
        <v>45203</v>
      </c>
      <c r="AP9" s="453">
        <v>45203</v>
      </c>
      <c r="AQ9" s="453">
        <v>45203</v>
      </c>
      <c r="AR9" s="453">
        <v>45203</v>
      </c>
      <c r="AS9" s="452" t="s">
        <v>1315</v>
      </c>
      <c r="AT9" s="455">
        <v>1.5</v>
      </c>
    </row>
    <row r="10" spans="1:46" ht="20.25" customHeight="1" x14ac:dyDescent="0.25">
      <c r="A10" s="452">
        <v>2</v>
      </c>
      <c r="B10" s="453">
        <v>3258</v>
      </c>
      <c r="C10" s="453">
        <v>3876</v>
      </c>
      <c r="D10" s="453">
        <v>5701</v>
      </c>
      <c r="E10" s="459">
        <v>8274</v>
      </c>
      <c r="F10" s="453">
        <v>11988</v>
      </c>
      <c r="G10" s="453"/>
      <c r="I10" s="452">
        <v>2</v>
      </c>
      <c r="J10" s="453">
        <v>13268</v>
      </c>
      <c r="K10" s="453">
        <v>14547</v>
      </c>
      <c r="L10" s="453">
        <v>16097</v>
      </c>
      <c r="M10" s="454">
        <v>17248</v>
      </c>
      <c r="N10" s="452" t="s">
        <v>1316</v>
      </c>
      <c r="O10" s="455">
        <v>3</v>
      </c>
      <c r="Q10" s="474">
        <v>3</v>
      </c>
      <c r="R10" s="474" t="s">
        <v>630</v>
      </c>
      <c r="S10" s="482" t="s">
        <v>647</v>
      </c>
      <c r="T10" s="482">
        <v>1</v>
      </c>
      <c r="U10" s="483">
        <v>12</v>
      </c>
      <c r="V10" s="483">
        <v>34</v>
      </c>
      <c r="W10" s="483">
        <v>56</v>
      </c>
      <c r="X10" s="483">
        <v>78</v>
      </c>
      <c r="Y10" s="483">
        <v>100</v>
      </c>
      <c r="Z10" s="483">
        <v>122</v>
      </c>
      <c r="AA10" s="483">
        <v>144</v>
      </c>
      <c r="AC10" s="452">
        <v>2</v>
      </c>
      <c r="AD10" s="453">
        <v>3541</v>
      </c>
      <c r="AE10" s="453">
        <v>4479</v>
      </c>
      <c r="AF10" s="453">
        <v>16800</v>
      </c>
      <c r="AG10" s="453">
        <v>18900</v>
      </c>
      <c r="AH10" s="453">
        <v>21000</v>
      </c>
      <c r="AI10" s="453">
        <v>23100</v>
      </c>
      <c r="AJ10" s="453">
        <v>25200</v>
      </c>
      <c r="AK10" s="453">
        <v>28350</v>
      </c>
      <c r="AL10" s="453">
        <v>31500</v>
      </c>
      <c r="AM10" s="527"/>
      <c r="AN10" s="452">
        <v>2</v>
      </c>
      <c r="AO10" s="453">
        <v>45203</v>
      </c>
      <c r="AP10" s="453">
        <v>45203</v>
      </c>
      <c r="AQ10" s="453">
        <v>45203</v>
      </c>
      <c r="AR10" s="453">
        <v>45203</v>
      </c>
      <c r="AS10" s="452" t="s">
        <v>1316</v>
      </c>
      <c r="AT10" s="455">
        <v>3</v>
      </c>
    </row>
    <row r="11" spans="1:46" ht="20.25" customHeight="1" x14ac:dyDescent="0.25">
      <c r="A11" s="452">
        <v>3</v>
      </c>
      <c r="B11" s="453">
        <v>2342</v>
      </c>
      <c r="C11" s="453">
        <v>2787</v>
      </c>
      <c r="D11" s="453">
        <v>4099</v>
      </c>
      <c r="E11" s="453">
        <v>5949</v>
      </c>
      <c r="F11" s="453">
        <v>8619</v>
      </c>
      <c r="G11" s="453"/>
      <c r="I11" s="452">
        <v>3</v>
      </c>
      <c r="J11" s="453">
        <v>13268</v>
      </c>
      <c r="K11" s="453">
        <v>14547</v>
      </c>
      <c r="L11" s="453">
        <v>16097</v>
      </c>
      <c r="M11" s="454">
        <v>17248</v>
      </c>
      <c r="N11" s="460"/>
      <c r="O11" s="461"/>
      <c r="Q11" s="474">
        <v>4</v>
      </c>
      <c r="R11" s="474" t="s">
        <v>631</v>
      </c>
      <c r="S11" s="482" t="s">
        <v>647</v>
      </c>
      <c r="T11" s="482">
        <v>1</v>
      </c>
      <c r="U11" s="483">
        <v>13</v>
      </c>
      <c r="V11" s="483">
        <v>35</v>
      </c>
      <c r="W11" s="483">
        <v>57</v>
      </c>
      <c r="X11" s="483">
        <v>79</v>
      </c>
      <c r="Y11" s="483">
        <v>101</v>
      </c>
      <c r="Z11" s="483">
        <v>123</v>
      </c>
      <c r="AA11" s="483">
        <v>145</v>
      </c>
      <c r="AC11" s="452">
        <v>3</v>
      </c>
      <c r="AD11" s="453">
        <v>3541</v>
      </c>
      <c r="AE11" s="453">
        <v>4479</v>
      </c>
      <c r="AF11" s="453">
        <v>16800</v>
      </c>
      <c r="AG11" s="453">
        <v>18900</v>
      </c>
      <c r="AH11" s="453">
        <v>21000</v>
      </c>
      <c r="AI11" s="453">
        <v>23100</v>
      </c>
      <c r="AJ11" s="453">
        <v>25200</v>
      </c>
      <c r="AK11" s="453">
        <v>28350</v>
      </c>
      <c r="AL11" s="453">
        <v>31500</v>
      </c>
      <c r="AM11" s="527"/>
      <c r="AN11" s="452">
        <v>3</v>
      </c>
      <c r="AO11" s="453">
        <v>45203</v>
      </c>
      <c r="AP11" s="453">
        <v>45203</v>
      </c>
      <c r="AQ11" s="453">
        <v>45203</v>
      </c>
      <c r="AR11" s="453">
        <v>45203</v>
      </c>
      <c r="AS11" s="460"/>
      <c r="AT11" s="461"/>
    </row>
    <row r="12" spans="1:46" ht="20.25" customHeight="1" x14ac:dyDescent="0.25">
      <c r="A12" s="452">
        <v>4</v>
      </c>
      <c r="B12" s="453">
        <v>1916</v>
      </c>
      <c r="C12" s="453">
        <v>2280</v>
      </c>
      <c r="D12" s="453">
        <v>3353</v>
      </c>
      <c r="E12" s="453">
        <v>4866</v>
      </c>
      <c r="F12" s="453">
        <v>7050</v>
      </c>
      <c r="G12" s="453"/>
      <c r="I12" s="452">
        <v>4</v>
      </c>
      <c r="J12" s="453">
        <v>13268</v>
      </c>
      <c r="K12" s="453">
        <v>14547</v>
      </c>
      <c r="L12" s="453">
        <v>16097</v>
      </c>
      <c r="M12" s="453">
        <v>17248</v>
      </c>
      <c r="N12" s="462" t="s">
        <v>347</v>
      </c>
      <c r="Q12" s="474">
        <v>5</v>
      </c>
      <c r="R12" s="474" t="s">
        <v>632</v>
      </c>
      <c r="S12" s="482" t="s">
        <v>644</v>
      </c>
      <c r="T12" s="482">
        <v>1</v>
      </c>
      <c r="U12" s="483">
        <v>14</v>
      </c>
      <c r="V12" s="483">
        <v>36</v>
      </c>
      <c r="W12" s="483">
        <v>58</v>
      </c>
      <c r="X12" s="483">
        <v>80</v>
      </c>
      <c r="Y12" s="483">
        <v>102</v>
      </c>
      <c r="Z12" s="483">
        <v>124</v>
      </c>
      <c r="AA12" s="483">
        <v>146</v>
      </c>
      <c r="AC12" s="452">
        <v>4</v>
      </c>
      <c r="AD12" s="453">
        <v>3541</v>
      </c>
      <c r="AE12" s="453">
        <v>4479</v>
      </c>
      <c r="AF12" s="453">
        <v>16800</v>
      </c>
      <c r="AG12" s="453">
        <v>18900</v>
      </c>
      <c r="AH12" s="453">
        <v>21000</v>
      </c>
      <c r="AI12" s="453">
        <v>23100</v>
      </c>
      <c r="AJ12" s="453">
        <v>25200</v>
      </c>
      <c r="AK12" s="453">
        <v>28350</v>
      </c>
      <c r="AL12" s="453">
        <v>31500</v>
      </c>
      <c r="AM12" s="527"/>
      <c r="AN12" s="452">
        <v>4</v>
      </c>
      <c r="AO12" s="453">
        <v>45203</v>
      </c>
      <c r="AP12" s="453">
        <v>45203</v>
      </c>
      <c r="AQ12" s="453">
        <v>45203</v>
      </c>
      <c r="AR12" s="453">
        <v>45203</v>
      </c>
      <c r="AS12" s="462" t="s">
        <v>347</v>
      </c>
    </row>
    <row r="13" spans="1:46" ht="20.25" customHeight="1" x14ac:dyDescent="0.25">
      <c r="A13" s="452">
        <v>5</v>
      </c>
      <c r="B13" s="453">
        <v>1680</v>
      </c>
      <c r="C13" s="453">
        <v>1999</v>
      </c>
      <c r="D13" s="453">
        <v>2940</v>
      </c>
      <c r="E13" s="453">
        <v>4268</v>
      </c>
      <c r="F13" s="453">
        <v>6183</v>
      </c>
      <c r="G13" s="453"/>
      <c r="I13" s="452">
        <v>5</v>
      </c>
      <c r="J13" s="453">
        <v>13268</v>
      </c>
      <c r="K13" s="453">
        <v>14547</v>
      </c>
      <c r="L13" s="453">
        <v>16097</v>
      </c>
      <c r="M13" s="453">
        <v>17248</v>
      </c>
      <c r="N13" s="446" t="s">
        <v>1317</v>
      </c>
      <c r="Q13" s="474">
        <v>6</v>
      </c>
      <c r="R13" s="474" t="s">
        <v>633</v>
      </c>
      <c r="S13" s="482" t="s">
        <v>654</v>
      </c>
      <c r="T13" s="482">
        <v>1E-3</v>
      </c>
      <c r="U13" s="483">
        <v>15</v>
      </c>
      <c r="V13" s="483">
        <v>37</v>
      </c>
      <c r="W13" s="483">
        <v>59</v>
      </c>
      <c r="X13" s="483">
        <v>81</v>
      </c>
      <c r="Y13" s="483">
        <v>103</v>
      </c>
      <c r="Z13" s="483">
        <v>125</v>
      </c>
      <c r="AA13" s="483">
        <v>147</v>
      </c>
      <c r="AC13" s="452">
        <v>5</v>
      </c>
      <c r="AD13" s="453">
        <v>3541</v>
      </c>
      <c r="AE13" s="453">
        <v>4479</v>
      </c>
      <c r="AF13" s="453">
        <v>16800</v>
      </c>
      <c r="AG13" s="453">
        <v>18900</v>
      </c>
      <c r="AH13" s="453">
        <v>21000</v>
      </c>
      <c r="AI13" s="453">
        <v>23100</v>
      </c>
      <c r="AJ13" s="453">
        <v>25200</v>
      </c>
      <c r="AK13" s="453">
        <v>28350</v>
      </c>
      <c r="AL13" s="453">
        <v>31500</v>
      </c>
      <c r="AM13" s="527"/>
      <c r="AN13" s="452">
        <v>5</v>
      </c>
      <c r="AO13" s="453">
        <v>45203</v>
      </c>
      <c r="AP13" s="453">
        <v>45203</v>
      </c>
      <c r="AQ13" s="453">
        <v>45203</v>
      </c>
      <c r="AR13" s="453">
        <v>45203</v>
      </c>
      <c r="AS13" s="446" t="s">
        <v>1317</v>
      </c>
    </row>
    <row r="14" spans="1:46" ht="20.25" customHeight="1" x14ac:dyDescent="0.25">
      <c r="A14" s="452">
        <v>6</v>
      </c>
      <c r="B14" s="453">
        <v>1519</v>
      </c>
      <c r="C14" s="453">
        <v>1808</v>
      </c>
      <c r="D14" s="453">
        <v>2658</v>
      </c>
      <c r="E14" s="453">
        <v>3858</v>
      </c>
      <c r="F14" s="453">
        <v>5590</v>
      </c>
      <c r="G14" s="453"/>
      <c r="I14" s="452">
        <v>6</v>
      </c>
      <c r="J14" s="453">
        <v>13268</v>
      </c>
      <c r="K14" s="453">
        <v>14547</v>
      </c>
      <c r="L14" s="453">
        <v>16097</v>
      </c>
      <c r="M14" s="453">
        <v>17248</v>
      </c>
      <c r="N14" s="446" t="s">
        <v>1318</v>
      </c>
      <c r="Q14" s="474">
        <v>7</v>
      </c>
      <c r="R14" s="474" t="s">
        <v>634</v>
      </c>
      <c r="S14" s="482" t="s">
        <v>654</v>
      </c>
      <c r="T14" s="482">
        <v>1E-3</v>
      </c>
      <c r="U14" s="483">
        <v>16</v>
      </c>
      <c r="V14" s="483">
        <v>38</v>
      </c>
      <c r="W14" s="483">
        <v>60</v>
      </c>
      <c r="X14" s="483">
        <v>82</v>
      </c>
      <c r="Y14" s="483">
        <v>104</v>
      </c>
      <c r="Z14" s="483">
        <v>126</v>
      </c>
      <c r="AA14" s="483">
        <v>148</v>
      </c>
      <c r="AC14" s="452">
        <v>6</v>
      </c>
      <c r="AD14" s="453">
        <v>3541</v>
      </c>
      <c r="AE14" s="453">
        <v>4479</v>
      </c>
      <c r="AF14" s="453">
        <v>16800</v>
      </c>
      <c r="AG14" s="453">
        <v>18900</v>
      </c>
      <c r="AH14" s="453">
        <v>21000</v>
      </c>
      <c r="AI14" s="453">
        <v>23100</v>
      </c>
      <c r="AJ14" s="453">
        <v>25200</v>
      </c>
      <c r="AK14" s="453">
        <v>28350</v>
      </c>
      <c r="AL14" s="453">
        <v>31500</v>
      </c>
      <c r="AM14" s="527"/>
      <c r="AN14" s="452">
        <v>6</v>
      </c>
      <c r="AO14" s="453">
        <v>45203</v>
      </c>
      <c r="AP14" s="453">
        <v>45203</v>
      </c>
      <c r="AQ14" s="453">
        <v>45203</v>
      </c>
      <c r="AR14" s="453">
        <v>45203</v>
      </c>
      <c r="AS14" s="446" t="s">
        <v>1318</v>
      </c>
    </row>
    <row r="15" spans="1:46" ht="20.25" customHeight="1" x14ac:dyDescent="0.25">
      <c r="A15" s="452">
        <v>7</v>
      </c>
      <c r="B15" s="453">
        <v>1400</v>
      </c>
      <c r="C15" s="453">
        <v>1667</v>
      </c>
      <c r="D15" s="453">
        <v>2451</v>
      </c>
      <c r="E15" s="453">
        <v>3557</v>
      </c>
      <c r="F15" s="453">
        <v>5154</v>
      </c>
      <c r="G15" s="453"/>
      <c r="I15" s="452">
        <v>7</v>
      </c>
      <c r="J15" s="453">
        <v>13268</v>
      </c>
      <c r="K15" s="453">
        <v>14547</v>
      </c>
      <c r="L15" s="453">
        <v>16097</v>
      </c>
      <c r="M15" s="453">
        <v>17248</v>
      </c>
      <c r="N15" s="446" t="s">
        <v>1319</v>
      </c>
      <c r="Q15" s="474">
        <v>8</v>
      </c>
      <c r="R15" s="474" t="s">
        <v>635</v>
      </c>
      <c r="S15" s="482" t="s">
        <v>654</v>
      </c>
      <c r="T15" s="482">
        <v>1E-3</v>
      </c>
      <c r="U15" s="483">
        <v>17</v>
      </c>
      <c r="V15" s="483">
        <v>39</v>
      </c>
      <c r="W15" s="483">
        <v>61</v>
      </c>
      <c r="X15" s="483">
        <v>83</v>
      </c>
      <c r="Y15" s="483">
        <v>105</v>
      </c>
      <c r="Z15" s="483">
        <v>127</v>
      </c>
      <c r="AA15" s="483">
        <v>149</v>
      </c>
      <c r="AC15" s="452">
        <v>7</v>
      </c>
      <c r="AD15" s="453">
        <v>3541</v>
      </c>
      <c r="AE15" s="453">
        <v>4479</v>
      </c>
      <c r="AF15" s="453">
        <v>16800</v>
      </c>
      <c r="AG15" s="453">
        <v>18900</v>
      </c>
      <c r="AH15" s="453">
        <v>21000</v>
      </c>
      <c r="AI15" s="453">
        <v>23100</v>
      </c>
      <c r="AJ15" s="453">
        <v>25200</v>
      </c>
      <c r="AK15" s="453">
        <v>28350</v>
      </c>
      <c r="AL15" s="453">
        <v>31500</v>
      </c>
      <c r="AM15" s="527"/>
      <c r="AN15" s="452">
        <v>7</v>
      </c>
      <c r="AO15" s="453">
        <v>45203</v>
      </c>
      <c r="AP15" s="453">
        <v>45203</v>
      </c>
      <c r="AQ15" s="453">
        <v>45203</v>
      </c>
      <c r="AR15" s="453">
        <v>45203</v>
      </c>
      <c r="AS15" s="446" t="s">
        <v>1319</v>
      </c>
    </row>
    <row r="16" spans="1:46" ht="20.25" customHeight="1" x14ac:dyDescent="0.25">
      <c r="A16" s="452">
        <v>8</v>
      </c>
      <c r="B16" s="453">
        <v>1308</v>
      </c>
      <c r="C16" s="453">
        <v>1557</v>
      </c>
      <c r="D16" s="453">
        <v>2289</v>
      </c>
      <c r="E16" s="453">
        <v>3322</v>
      </c>
      <c r="F16" s="453">
        <v>4814</v>
      </c>
      <c r="G16" s="453"/>
      <c r="I16" s="452">
        <v>8</v>
      </c>
      <c r="J16" s="453">
        <v>13268</v>
      </c>
      <c r="K16" s="453">
        <v>14547</v>
      </c>
      <c r="L16" s="453">
        <v>16097</v>
      </c>
      <c r="M16" s="453">
        <v>17248</v>
      </c>
      <c r="N16" s="446" t="s">
        <v>1320</v>
      </c>
      <c r="O16" s="463"/>
      <c r="Q16" s="474">
        <v>9</v>
      </c>
      <c r="R16" s="474" t="s">
        <v>636</v>
      </c>
      <c r="S16" s="482" t="s">
        <v>654</v>
      </c>
      <c r="T16" s="482">
        <v>1E-3</v>
      </c>
      <c r="U16" s="483">
        <v>18</v>
      </c>
      <c r="V16" s="483">
        <v>40</v>
      </c>
      <c r="W16" s="483">
        <v>62</v>
      </c>
      <c r="X16" s="483">
        <v>84</v>
      </c>
      <c r="Y16" s="483">
        <v>106</v>
      </c>
      <c r="Z16" s="483">
        <v>128</v>
      </c>
      <c r="AA16" s="483">
        <v>150</v>
      </c>
      <c r="AC16" s="452">
        <v>8</v>
      </c>
      <c r="AD16" s="453">
        <v>3541</v>
      </c>
      <c r="AE16" s="453">
        <v>4479</v>
      </c>
      <c r="AF16" s="453">
        <v>16800</v>
      </c>
      <c r="AG16" s="453">
        <v>18900</v>
      </c>
      <c r="AH16" s="453">
        <v>21000</v>
      </c>
      <c r="AI16" s="453">
        <v>23100</v>
      </c>
      <c r="AJ16" s="453">
        <v>25200</v>
      </c>
      <c r="AK16" s="453">
        <v>28350</v>
      </c>
      <c r="AL16" s="453">
        <v>31500</v>
      </c>
      <c r="AM16" s="527"/>
      <c r="AN16" s="452">
        <v>8</v>
      </c>
      <c r="AO16" s="453">
        <v>45203</v>
      </c>
      <c r="AP16" s="453">
        <v>45203</v>
      </c>
      <c r="AQ16" s="453">
        <v>45203</v>
      </c>
      <c r="AR16" s="453">
        <v>45203</v>
      </c>
      <c r="AS16" s="446" t="s">
        <v>1320</v>
      </c>
      <c r="AT16" s="463"/>
    </row>
    <row r="17" spans="1:46" ht="20.25" customHeight="1" x14ac:dyDescent="0.25">
      <c r="A17" s="452">
        <v>9</v>
      </c>
      <c r="B17" s="453">
        <v>1232</v>
      </c>
      <c r="C17" s="453">
        <v>1466</v>
      </c>
      <c r="D17" s="453">
        <v>2156</v>
      </c>
      <c r="E17" s="453">
        <v>3130</v>
      </c>
      <c r="F17" s="453">
        <v>4534</v>
      </c>
      <c r="G17" s="453"/>
      <c r="I17" s="452">
        <v>9</v>
      </c>
      <c r="J17" s="453">
        <v>13268</v>
      </c>
      <c r="K17" s="453">
        <v>14547</v>
      </c>
      <c r="L17" s="453">
        <v>16097</v>
      </c>
      <c r="M17" s="453">
        <v>17248</v>
      </c>
      <c r="N17" s="464" t="s">
        <v>509</v>
      </c>
      <c r="O17" s="463"/>
      <c r="Q17" s="474">
        <v>10</v>
      </c>
      <c r="R17" s="474" t="s">
        <v>637</v>
      </c>
      <c r="S17" s="482" t="s">
        <v>651</v>
      </c>
      <c r="T17" s="482">
        <v>1</v>
      </c>
      <c r="U17" s="483">
        <v>19</v>
      </c>
      <c r="V17" s="483">
        <v>41</v>
      </c>
      <c r="W17" s="483">
        <v>63</v>
      </c>
      <c r="X17" s="483">
        <v>85</v>
      </c>
      <c r="Y17" s="483">
        <v>107</v>
      </c>
      <c r="Z17" s="483">
        <v>129</v>
      </c>
      <c r="AA17" s="483">
        <v>151</v>
      </c>
      <c r="AC17" s="452">
        <v>9</v>
      </c>
      <c r="AD17" s="453">
        <v>3541</v>
      </c>
      <c r="AE17" s="453">
        <v>4479</v>
      </c>
      <c r="AF17" s="453">
        <v>16800</v>
      </c>
      <c r="AG17" s="453">
        <v>18900</v>
      </c>
      <c r="AH17" s="453">
        <v>21000</v>
      </c>
      <c r="AI17" s="453">
        <v>23100</v>
      </c>
      <c r="AJ17" s="453">
        <v>25200</v>
      </c>
      <c r="AK17" s="453">
        <v>28350</v>
      </c>
      <c r="AL17" s="453">
        <v>31500</v>
      </c>
      <c r="AM17" s="527"/>
      <c r="AN17" s="452">
        <v>9</v>
      </c>
      <c r="AO17" s="453">
        <v>45203</v>
      </c>
      <c r="AP17" s="453">
        <v>45203</v>
      </c>
      <c r="AQ17" s="453">
        <v>45203</v>
      </c>
      <c r="AR17" s="453">
        <v>45203</v>
      </c>
      <c r="AS17" s="464" t="s">
        <v>509</v>
      </c>
      <c r="AT17" s="463"/>
    </row>
    <row r="18" spans="1:46" ht="20.25" customHeight="1" x14ac:dyDescent="0.25">
      <c r="A18" s="452">
        <v>10</v>
      </c>
      <c r="B18" s="453">
        <v>1171</v>
      </c>
      <c r="C18" s="453">
        <v>1393</v>
      </c>
      <c r="D18" s="453">
        <v>2048</v>
      </c>
      <c r="E18" s="453">
        <v>2973</v>
      </c>
      <c r="F18" s="453">
        <v>4308</v>
      </c>
      <c r="G18" s="453"/>
      <c r="I18" s="452">
        <v>10</v>
      </c>
      <c r="J18" s="453">
        <v>13268</v>
      </c>
      <c r="K18" s="465">
        <v>14547</v>
      </c>
      <c r="L18" s="453">
        <v>16097</v>
      </c>
      <c r="M18" s="453">
        <v>17248</v>
      </c>
      <c r="N18" s="456" t="s">
        <v>510</v>
      </c>
      <c r="O18" s="466">
        <v>30</v>
      </c>
      <c r="Q18" s="474">
        <v>11</v>
      </c>
      <c r="R18" s="474" t="s">
        <v>638</v>
      </c>
      <c r="S18" s="482" t="s">
        <v>651</v>
      </c>
      <c r="T18" s="482">
        <v>1</v>
      </c>
      <c r="U18" s="483">
        <v>20</v>
      </c>
      <c r="V18" s="483">
        <v>42</v>
      </c>
      <c r="W18" s="483">
        <v>64</v>
      </c>
      <c r="X18" s="483">
        <v>86</v>
      </c>
      <c r="Y18" s="483">
        <v>108</v>
      </c>
      <c r="Z18" s="483">
        <v>130</v>
      </c>
      <c r="AA18" s="483">
        <v>152</v>
      </c>
      <c r="AC18" s="452">
        <v>10</v>
      </c>
      <c r="AD18" s="453">
        <v>3541</v>
      </c>
      <c r="AE18" s="453">
        <v>4479</v>
      </c>
      <c r="AF18" s="453">
        <v>16800</v>
      </c>
      <c r="AG18" s="453">
        <v>18900</v>
      </c>
      <c r="AH18" s="453">
        <v>21000</v>
      </c>
      <c r="AI18" s="453">
        <v>23100</v>
      </c>
      <c r="AJ18" s="453">
        <v>25200</v>
      </c>
      <c r="AK18" s="453">
        <v>28350</v>
      </c>
      <c r="AL18" s="453">
        <v>31500</v>
      </c>
      <c r="AM18" s="527"/>
      <c r="AN18" s="452">
        <v>10</v>
      </c>
      <c r="AO18" s="453">
        <v>45203</v>
      </c>
      <c r="AP18" s="453">
        <v>45203</v>
      </c>
      <c r="AQ18" s="453">
        <v>45203</v>
      </c>
      <c r="AR18" s="453">
        <v>45203</v>
      </c>
      <c r="AS18" s="456" t="s">
        <v>510</v>
      </c>
      <c r="AT18" s="466">
        <v>30</v>
      </c>
    </row>
    <row r="19" spans="1:46" ht="20.25" customHeight="1" x14ac:dyDescent="0.25">
      <c r="A19" s="452">
        <v>11</v>
      </c>
      <c r="B19" s="453">
        <v>1117</v>
      </c>
      <c r="C19" s="453">
        <v>1329</v>
      </c>
      <c r="D19" s="453">
        <v>1954</v>
      </c>
      <c r="E19" s="453">
        <v>2836</v>
      </c>
      <c r="F19" s="453">
        <v>4109</v>
      </c>
      <c r="G19" s="453"/>
      <c r="I19" s="452">
        <v>11</v>
      </c>
      <c r="J19" s="453">
        <v>18330</v>
      </c>
      <c r="K19" s="465">
        <v>20097</v>
      </c>
      <c r="L19" s="453">
        <v>22244</v>
      </c>
      <c r="M19" s="453">
        <v>23836</v>
      </c>
      <c r="Q19" s="474">
        <v>12</v>
      </c>
      <c r="R19" s="474" t="s">
        <v>639</v>
      </c>
      <c r="S19" s="482" t="s">
        <v>651</v>
      </c>
      <c r="T19" s="482">
        <v>1</v>
      </c>
      <c r="U19" s="483">
        <v>21</v>
      </c>
      <c r="V19" s="483">
        <v>43</v>
      </c>
      <c r="W19" s="483">
        <v>65</v>
      </c>
      <c r="X19" s="483">
        <v>87</v>
      </c>
      <c r="Y19" s="483">
        <v>109</v>
      </c>
      <c r="Z19" s="483">
        <v>131</v>
      </c>
      <c r="AA19" s="483">
        <v>153</v>
      </c>
      <c r="AC19" s="452">
        <v>11</v>
      </c>
      <c r="AD19" s="453">
        <v>3541</v>
      </c>
      <c r="AE19" s="453">
        <v>4479</v>
      </c>
      <c r="AF19" s="453">
        <v>14700</v>
      </c>
      <c r="AG19" s="453">
        <v>16800</v>
      </c>
      <c r="AH19" s="453">
        <v>18900</v>
      </c>
      <c r="AI19" s="453">
        <v>21000</v>
      </c>
      <c r="AJ19" s="453">
        <v>23100</v>
      </c>
      <c r="AK19" s="453">
        <v>26250</v>
      </c>
      <c r="AL19" s="453">
        <v>29400</v>
      </c>
      <c r="AM19" s="527"/>
      <c r="AN19" s="452">
        <v>11</v>
      </c>
      <c r="AO19" s="453">
        <v>45203</v>
      </c>
      <c r="AP19" s="453">
        <v>45203</v>
      </c>
      <c r="AQ19" s="453">
        <v>45203</v>
      </c>
      <c r="AR19" s="453">
        <v>45203</v>
      </c>
    </row>
    <row r="20" spans="1:46" ht="20.25" customHeight="1" x14ac:dyDescent="0.25">
      <c r="A20" s="452">
        <v>12</v>
      </c>
      <c r="B20" s="453">
        <v>1068</v>
      </c>
      <c r="C20" s="453">
        <v>1270</v>
      </c>
      <c r="D20" s="453">
        <v>1868</v>
      </c>
      <c r="E20" s="453">
        <v>2712</v>
      </c>
      <c r="F20" s="453">
        <v>3929</v>
      </c>
      <c r="G20" s="453"/>
      <c r="I20" s="452">
        <v>12</v>
      </c>
      <c r="J20" s="453">
        <v>18330</v>
      </c>
      <c r="K20" s="465">
        <v>20097</v>
      </c>
      <c r="L20" s="453">
        <v>22244</v>
      </c>
      <c r="M20" s="453">
        <v>23836</v>
      </c>
      <c r="Q20" s="474">
        <v>13</v>
      </c>
      <c r="R20" s="474" t="s">
        <v>640</v>
      </c>
      <c r="S20" s="482" t="s">
        <v>654</v>
      </c>
      <c r="T20" s="482">
        <v>1E-3</v>
      </c>
      <c r="U20" s="483">
        <v>22</v>
      </c>
      <c r="V20" s="483">
        <v>44</v>
      </c>
      <c r="W20" s="483">
        <v>66</v>
      </c>
      <c r="X20" s="483">
        <v>88</v>
      </c>
      <c r="Y20" s="483">
        <v>110</v>
      </c>
      <c r="Z20" s="483">
        <v>132</v>
      </c>
      <c r="AA20" s="483">
        <v>154</v>
      </c>
      <c r="AC20" s="452">
        <v>12</v>
      </c>
      <c r="AD20" s="453">
        <v>3541</v>
      </c>
      <c r="AE20" s="453">
        <v>4479</v>
      </c>
      <c r="AF20" s="453">
        <v>14700</v>
      </c>
      <c r="AG20" s="453">
        <v>16800</v>
      </c>
      <c r="AH20" s="453">
        <v>18900</v>
      </c>
      <c r="AI20" s="453">
        <v>21000</v>
      </c>
      <c r="AJ20" s="453">
        <v>23100</v>
      </c>
      <c r="AK20" s="453">
        <v>26250</v>
      </c>
      <c r="AL20" s="453">
        <v>29400</v>
      </c>
      <c r="AM20" s="527"/>
      <c r="AN20" s="452">
        <v>12</v>
      </c>
      <c r="AO20" s="453">
        <v>45203</v>
      </c>
      <c r="AP20" s="453">
        <v>45203</v>
      </c>
      <c r="AQ20" s="453">
        <v>45203</v>
      </c>
      <c r="AR20" s="453">
        <v>45203</v>
      </c>
      <c r="AS20" s="446" t="s">
        <v>1321</v>
      </c>
    </row>
    <row r="21" spans="1:46" ht="20.25" customHeight="1" x14ac:dyDescent="0.25">
      <c r="A21" s="452">
        <v>13</v>
      </c>
      <c r="B21" s="453">
        <v>1017</v>
      </c>
      <c r="C21" s="453">
        <v>1211</v>
      </c>
      <c r="D21" s="453">
        <v>1780</v>
      </c>
      <c r="E21" s="453">
        <v>2584</v>
      </c>
      <c r="F21" s="453">
        <v>3744</v>
      </c>
      <c r="G21" s="453"/>
      <c r="I21" s="452">
        <v>13</v>
      </c>
      <c r="J21" s="453">
        <v>18330</v>
      </c>
      <c r="K21" s="465">
        <v>20097</v>
      </c>
      <c r="L21" s="453">
        <v>22244</v>
      </c>
      <c r="M21" s="453">
        <v>23836</v>
      </c>
      <c r="Q21" s="474">
        <v>14</v>
      </c>
      <c r="R21" s="474" t="s">
        <v>641</v>
      </c>
      <c r="S21" s="482" t="s">
        <v>644</v>
      </c>
      <c r="T21" s="482">
        <v>1E-3</v>
      </c>
      <c r="U21" s="483">
        <v>23</v>
      </c>
      <c r="V21" s="483">
        <v>45</v>
      </c>
      <c r="W21" s="483">
        <v>67</v>
      </c>
      <c r="X21" s="483">
        <v>89</v>
      </c>
      <c r="Y21" s="483">
        <v>111</v>
      </c>
      <c r="Z21" s="483">
        <v>133</v>
      </c>
      <c r="AA21" s="483">
        <v>155</v>
      </c>
      <c r="AC21" s="452">
        <v>13</v>
      </c>
      <c r="AD21" s="453">
        <v>3541</v>
      </c>
      <c r="AE21" s="453">
        <v>4479</v>
      </c>
      <c r="AF21" s="453">
        <v>14700</v>
      </c>
      <c r="AG21" s="453">
        <v>16800</v>
      </c>
      <c r="AH21" s="453">
        <v>18900</v>
      </c>
      <c r="AI21" s="453">
        <v>21000</v>
      </c>
      <c r="AJ21" s="453">
        <v>23100</v>
      </c>
      <c r="AK21" s="453">
        <v>26250</v>
      </c>
      <c r="AL21" s="453">
        <v>29400</v>
      </c>
      <c r="AM21" s="527"/>
      <c r="AN21" s="452">
        <v>13</v>
      </c>
      <c r="AO21" s="453">
        <v>45203</v>
      </c>
      <c r="AP21" s="453">
        <v>45203</v>
      </c>
      <c r="AQ21" s="453">
        <v>45203</v>
      </c>
      <c r="AR21" s="453">
        <v>45203</v>
      </c>
      <c r="AS21" s="528" t="s">
        <v>1322</v>
      </c>
    </row>
    <row r="22" spans="1:46" ht="20.25" customHeight="1" x14ac:dyDescent="0.25">
      <c r="A22" s="452">
        <v>14</v>
      </c>
      <c r="B22" s="453">
        <v>972</v>
      </c>
      <c r="C22" s="453">
        <v>1156</v>
      </c>
      <c r="D22" s="453">
        <v>1700</v>
      </c>
      <c r="E22" s="453">
        <v>2468</v>
      </c>
      <c r="F22" s="453">
        <v>3576</v>
      </c>
      <c r="G22" s="453"/>
      <c r="I22" s="452">
        <v>14</v>
      </c>
      <c r="J22" s="453">
        <v>18330</v>
      </c>
      <c r="K22" s="465">
        <v>20097</v>
      </c>
      <c r="L22" s="453">
        <v>22244</v>
      </c>
      <c r="M22" s="453">
        <v>23836</v>
      </c>
      <c r="Q22" s="474">
        <v>15</v>
      </c>
      <c r="R22" s="474" t="s">
        <v>642</v>
      </c>
      <c r="S22" s="482" t="s">
        <v>655</v>
      </c>
      <c r="T22" s="482">
        <v>0.01</v>
      </c>
      <c r="U22" s="483">
        <v>24</v>
      </c>
      <c r="V22" s="483">
        <v>46</v>
      </c>
      <c r="W22" s="483">
        <v>68</v>
      </c>
      <c r="X22" s="483">
        <v>90</v>
      </c>
      <c r="Y22" s="483">
        <v>112</v>
      </c>
      <c r="Z22" s="483">
        <v>134</v>
      </c>
      <c r="AA22" s="483">
        <v>156</v>
      </c>
      <c r="AC22" s="452">
        <v>14</v>
      </c>
      <c r="AD22" s="453">
        <v>3541</v>
      </c>
      <c r="AE22" s="453">
        <v>4479</v>
      </c>
      <c r="AF22" s="453">
        <v>14700</v>
      </c>
      <c r="AG22" s="453">
        <v>16800</v>
      </c>
      <c r="AH22" s="453">
        <v>18900</v>
      </c>
      <c r="AI22" s="453">
        <v>21000</v>
      </c>
      <c r="AJ22" s="453">
        <v>23100</v>
      </c>
      <c r="AK22" s="453">
        <v>26250</v>
      </c>
      <c r="AL22" s="453">
        <v>29400</v>
      </c>
      <c r="AM22" s="527"/>
      <c r="AN22" s="452">
        <v>14</v>
      </c>
      <c r="AO22" s="453">
        <v>45203</v>
      </c>
      <c r="AP22" s="453">
        <v>45203</v>
      </c>
      <c r="AQ22" s="453">
        <v>45203</v>
      </c>
      <c r="AR22" s="453">
        <v>45203</v>
      </c>
      <c r="AS22" s="456" t="s">
        <v>1323</v>
      </c>
      <c r="AT22" s="529">
        <v>0</v>
      </c>
    </row>
    <row r="23" spans="1:46" ht="20.25" customHeight="1" x14ac:dyDescent="0.25">
      <c r="A23" s="452">
        <v>15</v>
      </c>
      <c r="B23" s="453">
        <v>929</v>
      </c>
      <c r="C23" s="453">
        <v>1105</v>
      </c>
      <c r="D23" s="453">
        <v>1626</v>
      </c>
      <c r="E23" s="453">
        <v>2359</v>
      </c>
      <c r="F23" s="453">
        <v>3418</v>
      </c>
      <c r="G23" s="453"/>
      <c r="I23" s="452">
        <v>15</v>
      </c>
      <c r="J23" s="453">
        <v>18330</v>
      </c>
      <c r="K23" s="465">
        <v>20097</v>
      </c>
      <c r="L23" s="453">
        <v>22244</v>
      </c>
      <c r="M23" s="453">
        <v>23836</v>
      </c>
      <c r="Q23" s="474">
        <v>16</v>
      </c>
      <c r="R23" s="474" t="s">
        <v>643</v>
      </c>
      <c r="S23" s="482" t="s">
        <v>644</v>
      </c>
      <c r="T23" s="482">
        <v>1E-3</v>
      </c>
      <c r="U23" s="483">
        <v>25</v>
      </c>
      <c r="V23" s="483">
        <v>47</v>
      </c>
      <c r="W23" s="483">
        <v>69</v>
      </c>
      <c r="X23" s="483">
        <v>91</v>
      </c>
      <c r="Y23" s="483">
        <v>113</v>
      </c>
      <c r="Z23" s="483">
        <v>135</v>
      </c>
      <c r="AA23" s="483">
        <v>157</v>
      </c>
      <c r="AC23" s="452">
        <v>15</v>
      </c>
      <c r="AD23" s="453">
        <v>3541</v>
      </c>
      <c r="AE23" s="453">
        <v>4479</v>
      </c>
      <c r="AF23" s="453">
        <v>14700</v>
      </c>
      <c r="AG23" s="453">
        <v>16800</v>
      </c>
      <c r="AH23" s="453">
        <v>18900</v>
      </c>
      <c r="AI23" s="453">
        <v>21000</v>
      </c>
      <c r="AJ23" s="453">
        <v>23100</v>
      </c>
      <c r="AK23" s="453">
        <v>26250</v>
      </c>
      <c r="AL23" s="453">
        <v>29400</v>
      </c>
      <c r="AM23" s="527"/>
      <c r="AN23" s="452">
        <v>15</v>
      </c>
      <c r="AO23" s="453">
        <v>45203</v>
      </c>
      <c r="AP23" s="453">
        <v>45203</v>
      </c>
      <c r="AQ23" s="453">
        <v>45203</v>
      </c>
      <c r="AR23" s="453">
        <v>45203</v>
      </c>
      <c r="AS23" s="456" t="s">
        <v>1324</v>
      </c>
      <c r="AT23" s="529">
        <v>0.3</v>
      </c>
    </row>
    <row r="24" spans="1:46" ht="20.25" customHeight="1" x14ac:dyDescent="0.25">
      <c r="A24" s="452">
        <v>16</v>
      </c>
      <c r="B24" s="465">
        <v>890</v>
      </c>
      <c r="C24" s="453">
        <v>1059</v>
      </c>
      <c r="D24" s="453">
        <v>1557</v>
      </c>
      <c r="E24" s="453">
        <v>2260</v>
      </c>
      <c r="F24" s="453">
        <v>3275</v>
      </c>
      <c r="G24" s="453"/>
      <c r="I24" s="452">
        <v>16</v>
      </c>
      <c r="J24" s="453">
        <v>18330</v>
      </c>
      <c r="K24" s="465">
        <v>20097</v>
      </c>
      <c r="L24" s="453">
        <v>22244</v>
      </c>
      <c r="M24" s="453">
        <v>23836</v>
      </c>
      <c r="Q24" s="474">
        <v>17</v>
      </c>
      <c r="R24" s="474" t="s">
        <v>645</v>
      </c>
      <c r="S24" s="482" t="s">
        <v>644</v>
      </c>
      <c r="T24" s="482">
        <v>1E-3</v>
      </c>
      <c r="U24" s="483">
        <v>26</v>
      </c>
      <c r="V24" s="483">
        <v>48</v>
      </c>
      <c r="W24" s="483">
        <v>70</v>
      </c>
      <c r="X24" s="483">
        <v>92</v>
      </c>
      <c r="Y24" s="483">
        <v>114</v>
      </c>
      <c r="Z24" s="483">
        <v>136</v>
      </c>
      <c r="AA24" s="483">
        <v>158</v>
      </c>
      <c r="AC24" s="452">
        <v>16</v>
      </c>
      <c r="AD24" s="453">
        <v>3541</v>
      </c>
      <c r="AE24" s="453">
        <v>4479</v>
      </c>
      <c r="AF24" s="453">
        <v>14700</v>
      </c>
      <c r="AG24" s="453">
        <v>16800</v>
      </c>
      <c r="AH24" s="453">
        <v>18900</v>
      </c>
      <c r="AI24" s="453">
        <v>21000</v>
      </c>
      <c r="AJ24" s="453">
        <v>23100</v>
      </c>
      <c r="AK24" s="453">
        <v>26250</v>
      </c>
      <c r="AL24" s="453">
        <v>29400</v>
      </c>
      <c r="AM24" s="527"/>
      <c r="AN24" s="452">
        <v>16</v>
      </c>
      <c r="AO24" s="453">
        <v>45203</v>
      </c>
      <c r="AP24" s="453">
        <v>45203</v>
      </c>
      <c r="AQ24" s="453">
        <v>45203</v>
      </c>
      <c r="AR24" s="453">
        <v>45203</v>
      </c>
      <c r="AS24" s="456" t="s">
        <v>1325</v>
      </c>
      <c r="AT24" s="529">
        <v>0.5</v>
      </c>
    </row>
    <row r="25" spans="1:46" ht="20.25" customHeight="1" x14ac:dyDescent="0.25">
      <c r="A25" s="452">
        <v>17</v>
      </c>
      <c r="B25" s="465">
        <v>862</v>
      </c>
      <c r="C25" s="453">
        <v>1026</v>
      </c>
      <c r="D25" s="453">
        <v>1509</v>
      </c>
      <c r="E25" s="453">
        <v>2190</v>
      </c>
      <c r="F25" s="453">
        <v>3173</v>
      </c>
      <c r="G25" s="453"/>
      <c r="I25" s="452">
        <v>17</v>
      </c>
      <c r="J25" s="453">
        <v>18330</v>
      </c>
      <c r="K25" s="465">
        <v>20097</v>
      </c>
      <c r="L25" s="453">
        <v>22244</v>
      </c>
      <c r="M25" s="453">
        <v>23836</v>
      </c>
      <c r="Q25" s="474">
        <v>18</v>
      </c>
      <c r="R25" s="474" t="s">
        <v>646</v>
      </c>
      <c r="S25" s="482" t="s">
        <v>647</v>
      </c>
      <c r="T25" s="482">
        <v>1</v>
      </c>
      <c r="U25" s="483">
        <v>27</v>
      </c>
      <c r="V25" s="483">
        <v>49</v>
      </c>
      <c r="W25" s="483">
        <v>71</v>
      </c>
      <c r="X25" s="483">
        <v>93</v>
      </c>
      <c r="Y25" s="483">
        <v>115</v>
      </c>
      <c r="Z25" s="483">
        <v>137</v>
      </c>
      <c r="AA25" s="483">
        <v>159</v>
      </c>
      <c r="AC25" s="452">
        <v>17</v>
      </c>
      <c r="AD25" s="453">
        <v>3541</v>
      </c>
      <c r="AE25" s="453">
        <v>4479</v>
      </c>
      <c r="AF25" s="453">
        <v>14700</v>
      </c>
      <c r="AG25" s="453">
        <v>16800</v>
      </c>
      <c r="AH25" s="453">
        <v>18900</v>
      </c>
      <c r="AI25" s="453">
        <v>21000</v>
      </c>
      <c r="AJ25" s="453">
        <v>23100</v>
      </c>
      <c r="AK25" s="453">
        <v>26250</v>
      </c>
      <c r="AL25" s="453">
        <v>29400</v>
      </c>
      <c r="AM25" s="527"/>
      <c r="AN25" s="452">
        <v>17</v>
      </c>
      <c r="AO25" s="453">
        <v>45203</v>
      </c>
      <c r="AP25" s="453">
        <v>45203</v>
      </c>
      <c r="AQ25" s="453">
        <v>45203</v>
      </c>
      <c r="AR25" s="453">
        <v>45203</v>
      </c>
      <c r="AS25" s="528" t="s">
        <v>1326</v>
      </c>
    </row>
    <row r="26" spans="1:46" ht="20.25" customHeight="1" x14ac:dyDescent="0.25">
      <c r="A26" s="452">
        <v>18</v>
      </c>
      <c r="B26" s="465">
        <v>840</v>
      </c>
      <c r="C26" s="453">
        <v>999</v>
      </c>
      <c r="D26" s="453">
        <v>1470</v>
      </c>
      <c r="E26" s="453">
        <v>2133</v>
      </c>
      <c r="F26" s="453">
        <v>3091</v>
      </c>
      <c r="G26" s="453"/>
      <c r="I26" s="452">
        <v>18</v>
      </c>
      <c r="J26" s="453">
        <v>18330</v>
      </c>
      <c r="K26" s="465">
        <v>20097</v>
      </c>
      <c r="L26" s="453">
        <v>22244</v>
      </c>
      <c r="M26" s="453">
        <v>23836</v>
      </c>
      <c r="Q26" s="474">
        <v>19</v>
      </c>
      <c r="R26" s="474" t="s">
        <v>648</v>
      </c>
      <c r="S26" s="482" t="s">
        <v>649</v>
      </c>
      <c r="T26" s="482">
        <v>0.01</v>
      </c>
      <c r="U26" s="483">
        <v>28</v>
      </c>
      <c r="V26" s="483">
        <v>50</v>
      </c>
      <c r="W26" s="483">
        <v>72</v>
      </c>
      <c r="X26" s="483">
        <v>94</v>
      </c>
      <c r="Y26" s="483">
        <v>116</v>
      </c>
      <c r="Z26" s="483">
        <v>138</v>
      </c>
      <c r="AA26" s="483">
        <v>160</v>
      </c>
      <c r="AC26" s="452">
        <v>18</v>
      </c>
      <c r="AD26" s="453">
        <v>3541</v>
      </c>
      <c r="AE26" s="453">
        <v>4479</v>
      </c>
      <c r="AF26" s="453">
        <v>14700</v>
      </c>
      <c r="AG26" s="453">
        <v>16800</v>
      </c>
      <c r="AH26" s="453">
        <v>18900</v>
      </c>
      <c r="AI26" s="453">
        <v>21000</v>
      </c>
      <c r="AJ26" s="453">
        <v>23100</v>
      </c>
      <c r="AK26" s="453">
        <v>26250</v>
      </c>
      <c r="AL26" s="453">
        <v>29400</v>
      </c>
      <c r="AM26" s="527"/>
      <c r="AN26" s="452">
        <v>18</v>
      </c>
      <c r="AO26" s="453">
        <v>45203</v>
      </c>
      <c r="AP26" s="453">
        <v>45203</v>
      </c>
      <c r="AQ26" s="453">
        <v>45203</v>
      </c>
      <c r="AR26" s="453">
        <v>45203</v>
      </c>
      <c r="AS26" s="456" t="s">
        <v>1327</v>
      </c>
      <c r="AT26" s="529">
        <v>0</v>
      </c>
    </row>
    <row r="27" spans="1:46" ht="20.25" customHeight="1" x14ac:dyDescent="0.25">
      <c r="A27" s="452">
        <v>19</v>
      </c>
      <c r="B27" s="465">
        <v>815</v>
      </c>
      <c r="C27" s="453">
        <v>970</v>
      </c>
      <c r="D27" s="453">
        <v>1427</v>
      </c>
      <c r="E27" s="453">
        <v>2071</v>
      </c>
      <c r="F27" s="453">
        <v>3001</v>
      </c>
      <c r="G27" s="453"/>
      <c r="I27" s="452">
        <v>19</v>
      </c>
      <c r="J27" s="453">
        <v>18330</v>
      </c>
      <c r="K27" s="465">
        <v>20097</v>
      </c>
      <c r="L27" s="453">
        <v>22244</v>
      </c>
      <c r="M27" s="453">
        <v>23836</v>
      </c>
      <c r="Q27" s="474">
        <v>20</v>
      </c>
      <c r="R27" s="474" t="s">
        <v>650</v>
      </c>
      <c r="S27" s="482" t="s">
        <v>651</v>
      </c>
      <c r="T27" s="482">
        <v>1</v>
      </c>
      <c r="U27" s="483">
        <v>29</v>
      </c>
      <c r="V27" s="483">
        <v>51</v>
      </c>
      <c r="W27" s="483">
        <v>73</v>
      </c>
      <c r="X27" s="483">
        <v>95</v>
      </c>
      <c r="Y27" s="483">
        <v>117</v>
      </c>
      <c r="Z27" s="483">
        <v>139</v>
      </c>
      <c r="AA27" s="483">
        <v>161</v>
      </c>
      <c r="AC27" s="452">
        <v>19</v>
      </c>
      <c r="AD27" s="453">
        <v>3541</v>
      </c>
      <c r="AE27" s="453">
        <v>4479</v>
      </c>
      <c r="AF27" s="453">
        <v>14700</v>
      </c>
      <c r="AG27" s="453">
        <v>16800</v>
      </c>
      <c r="AH27" s="453">
        <v>18900</v>
      </c>
      <c r="AI27" s="453">
        <v>21000</v>
      </c>
      <c r="AJ27" s="453">
        <v>23100</v>
      </c>
      <c r="AK27" s="453">
        <v>26250</v>
      </c>
      <c r="AL27" s="453">
        <v>29400</v>
      </c>
      <c r="AM27" s="527"/>
      <c r="AN27" s="452">
        <v>19</v>
      </c>
      <c r="AO27" s="453">
        <v>45203</v>
      </c>
      <c r="AP27" s="453">
        <v>45203</v>
      </c>
      <c r="AQ27" s="453">
        <v>45203</v>
      </c>
      <c r="AR27" s="453">
        <v>45203</v>
      </c>
      <c r="AS27" s="456" t="s">
        <v>1328</v>
      </c>
      <c r="AT27" s="529">
        <v>0.3</v>
      </c>
    </row>
    <row r="28" spans="1:46" ht="20.25" customHeight="1" x14ac:dyDescent="0.25">
      <c r="A28" s="452">
        <v>20</v>
      </c>
      <c r="B28" s="465">
        <v>788</v>
      </c>
      <c r="C28" s="453">
        <v>937</v>
      </c>
      <c r="D28" s="453">
        <v>1379</v>
      </c>
      <c r="E28" s="453">
        <v>2001</v>
      </c>
      <c r="F28" s="453">
        <v>2899</v>
      </c>
      <c r="G28" s="453"/>
      <c r="I28" s="452">
        <v>20</v>
      </c>
      <c r="J28" s="465">
        <v>18330</v>
      </c>
      <c r="K28" s="465">
        <v>20097</v>
      </c>
      <c r="L28" s="453">
        <v>22244</v>
      </c>
      <c r="M28" s="453">
        <v>23836</v>
      </c>
      <c r="Q28" s="474">
        <v>21</v>
      </c>
      <c r="R28" s="474" t="s">
        <v>652</v>
      </c>
      <c r="S28" s="482" t="s">
        <v>644</v>
      </c>
      <c r="T28" s="482">
        <v>1E-3</v>
      </c>
      <c r="U28" s="483">
        <v>30</v>
      </c>
      <c r="V28" s="483">
        <v>52</v>
      </c>
      <c r="W28" s="483">
        <v>74</v>
      </c>
      <c r="X28" s="483">
        <v>96</v>
      </c>
      <c r="Y28" s="483">
        <v>118</v>
      </c>
      <c r="Z28" s="483">
        <v>140</v>
      </c>
      <c r="AA28" s="483">
        <v>162</v>
      </c>
      <c r="AC28" s="452">
        <v>20</v>
      </c>
      <c r="AD28" s="453">
        <v>3541</v>
      </c>
      <c r="AE28" s="453">
        <v>4479</v>
      </c>
      <c r="AF28" s="453">
        <v>14700</v>
      </c>
      <c r="AG28" s="453">
        <v>16800</v>
      </c>
      <c r="AH28" s="453">
        <v>18900</v>
      </c>
      <c r="AI28" s="453">
        <v>21000</v>
      </c>
      <c r="AJ28" s="453">
        <v>23100</v>
      </c>
      <c r="AK28" s="453">
        <v>26250</v>
      </c>
      <c r="AL28" s="453">
        <v>29400</v>
      </c>
      <c r="AM28" s="527"/>
      <c r="AN28" s="452">
        <v>20</v>
      </c>
      <c r="AO28" s="453">
        <v>45203</v>
      </c>
      <c r="AP28" s="453">
        <v>45203</v>
      </c>
      <c r="AQ28" s="453">
        <v>45203</v>
      </c>
      <c r="AR28" s="453">
        <v>45203</v>
      </c>
      <c r="AS28" s="456" t="s">
        <v>1329</v>
      </c>
      <c r="AT28" s="529">
        <v>0.3</v>
      </c>
    </row>
    <row r="29" spans="1:46" ht="20.25" customHeight="1" x14ac:dyDescent="0.25">
      <c r="A29" s="452">
        <v>21</v>
      </c>
      <c r="B29" s="465">
        <v>756</v>
      </c>
      <c r="C29" s="465">
        <v>900</v>
      </c>
      <c r="D29" s="453">
        <v>1323</v>
      </c>
      <c r="E29" s="453">
        <v>1921</v>
      </c>
      <c r="F29" s="453">
        <v>2783</v>
      </c>
      <c r="G29" s="453"/>
      <c r="I29" s="452">
        <v>21</v>
      </c>
      <c r="J29" s="465">
        <v>20685</v>
      </c>
      <c r="K29" s="465">
        <v>22680</v>
      </c>
      <c r="L29" s="453">
        <v>25095</v>
      </c>
      <c r="M29" s="453">
        <v>26891</v>
      </c>
      <c r="Q29" s="474">
        <v>22</v>
      </c>
      <c r="R29" s="474" t="s">
        <v>653</v>
      </c>
      <c r="S29" s="482" t="s">
        <v>647</v>
      </c>
      <c r="T29" s="482">
        <v>1</v>
      </c>
      <c r="U29" s="483">
        <v>31</v>
      </c>
      <c r="V29" s="483">
        <v>53</v>
      </c>
      <c r="W29" s="483">
        <v>75</v>
      </c>
      <c r="X29" s="483">
        <v>97</v>
      </c>
      <c r="Y29" s="483">
        <v>119</v>
      </c>
      <c r="Z29" s="483">
        <v>141</v>
      </c>
      <c r="AA29" s="483">
        <v>163</v>
      </c>
      <c r="AC29" s="452">
        <v>21</v>
      </c>
      <c r="AD29" s="453">
        <v>3541</v>
      </c>
      <c r="AE29" s="453">
        <v>4479</v>
      </c>
      <c r="AF29" s="453">
        <v>12600</v>
      </c>
      <c r="AG29" s="453">
        <v>14700</v>
      </c>
      <c r="AH29" s="453">
        <v>16800</v>
      </c>
      <c r="AI29" s="453">
        <v>18900</v>
      </c>
      <c r="AJ29" s="453">
        <v>21000</v>
      </c>
      <c r="AK29" s="453">
        <v>24150</v>
      </c>
      <c r="AL29" s="453">
        <v>27300</v>
      </c>
      <c r="AM29" s="527"/>
      <c r="AN29" s="452">
        <v>21</v>
      </c>
      <c r="AO29" s="453">
        <v>45203</v>
      </c>
      <c r="AP29" s="453">
        <v>45203</v>
      </c>
      <c r="AQ29" s="453">
        <v>45203</v>
      </c>
      <c r="AR29" s="453">
        <v>45203</v>
      </c>
    </row>
    <row r="30" spans="1:46" ht="20.25" customHeight="1" x14ac:dyDescent="0.25">
      <c r="A30" s="452">
        <v>22</v>
      </c>
      <c r="B30" s="465">
        <v>727</v>
      </c>
      <c r="C30" s="465">
        <v>865</v>
      </c>
      <c r="D30" s="453">
        <v>1272</v>
      </c>
      <c r="E30" s="453">
        <v>1846</v>
      </c>
      <c r="F30" s="453">
        <v>2674</v>
      </c>
      <c r="G30" s="453"/>
      <c r="I30" s="452">
        <v>22</v>
      </c>
      <c r="J30" s="465">
        <v>20685</v>
      </c>
      <c r="K30" s="465">
        <v>22680</v>
      </c>
      <c r="L30" s="453">
        <v>25095</v>
      </c>
      <c r="M30" s="453">
        <v>26891</v>
      </c>
      <c r="Q30" s="474">
        <v>23</v>
      </c>
      <c r="R30" s="474"/>
      <c r="S30" s="474"/>
      <c r="T30" s="474"/>
      <c r="U30" s="483"/>
      <c r="V30" s="483"/>
      <c r="W30" s="483"/>
      <c r="X30" s="483"/>
      <c r="Y30" s="483"/>
      <c r="Z30" s="483"/>
      <c r="AA30" s="483"/>
      <c r="AC30" s="452">
        <v>22</v>
      </c>
      <c r="AD30" s="453">
        <v>3541</v>
      </c>
      <c r="AE30" s="453">
        <v>4479</v>
      </c>
      <c r="AF30" s="453">
        <v>12600</v>
      </c>
      <c r="AG30" s="453">
        <v>14700</v>
      </c>
      <c r="AH30" s="453">
        <v>16800</v>
      </c>
      <c r="AI30" s="453">
        <v>18900</v>
      </c>
      <c r="AJ30" s="453">
        <v>21000</v>
      </c>
      <c r="AK30" s="453">
        <v>24150</v>
      </c>
      <c r="AL30" s="453">
        <v>27300</v>
      </c>
      <c r="AM30" s="527"/>
      <c r="AN30" s="452">
        <v>22</v>
      </c>
      <c r="AO30" s="453">
        <v>45203</v>
      </c>
      <c r="AP30" s="453">
        <v>45203</v>
      </c>
      <c r="AQ30" s="453">
        <v>45203</v>
      </c>
      <c r="AR30" s="453">
        <v>45203</v>
      </c>
    </row>
    <row r="31" spans="1:46" ht="20.25" customHeight="1" x14ac:dyDescent="0.25">
      <c r="A31" s="452">
        <v>23</v>
      </c>
      <c r="B31" s="465">
        <v>701</v>
      </c>
      <c r="C31" s="465">
        <v>834</v>
      </c>
      <c r="D31" s="453">
        <v>1226</v>
      </c>
      <c r="E31" s="453">
        <v>1780</v>
      </c>
      <c r="F31" s="453">
        <v>2578</v>
      </c>
      <c r="G31" s="453"/>
      <c r="I31" s="452">
        <v>23</v>
      </c>
      <c r="J31" s="465">
        <v>20685</v>
      </c>
      <c r="K31" s="465">
        <v>22680</v>
      </c>
      <c r="L31" s="453">
        <v>25095</v>
      </c>
      <c r="M31" s="453">
        <v>26891</v>
      </c>
      <c r="Q31" s="474">
        <v>24</v>
      </c>
      <c r="R31" s="474"/>
      <c r="S31" s="474"/>
      <c r="T31" s="474"/>
      <c r="U31" s="483"/>
      <c r="V31" s="483"/>
      <c r="W31" s="483"/>
      <c r="X31" s="483"/>
      <c r="Y31" s="483"/>
      <c r="Z31" s="483"/>
      <c r="AA31" s="483"/>
      <c r="AC31" s="452">
        <v>23</v>
      </c>
      <c r="AD31" s="453">
        <v>3541</v>
      </c>
      <c r="AE31" s="453">
        <v>4479</v>
      </c>
      <c r="AF31" s="453">
        <v>12600</v>
      </c>
      <c r="AG31" s="453">
        <v>14700</v>
      </c>
      <c r="AH31" s="453">
        <v>16800</v>
      </c>
      <c r="AI31" s="453">
        <v>18900</v>
      </c>
      <c r="AJ31" s="453">
        <v>21000</v>
      </c>
      <c r="AK31" s="453">
        <v>24150</v>
      </c>
      <c r="AL31" s="453">
        <v>27300</v>
      </c>
      <c r="AM31" s="527"/>
      <c r="AN31" s="452">
        <v>23</v>
      </c>
      <c r="AO31" s="453">
        <v>45203</v>
      </c>
      <c r="AP31" s="453">
        <v>45203</v>
      </c>
      <c r="AQ31" s="453">
        <v>45203</v>
      </c>
      <c r="AR31" s="453">
        <v>45203</v>
      </c>
    </row>
    <row r="32" spans="1:46" ht="20.25" customHeight="1" x14ac:dyDescent="0.25">
      <c r="A32" s="452">
        <v>24</v>
      </c>
      <c r="B32" s="465">
        <v>677</v>
      </c>
      <c r="C32" s="465">
        <v>806</v>
      </c>
      <c r="D32" s="453">
        <v>1180</v>
      </c>
      <c r="E32" s="453">
        <v>1721</v>
      </c>
      <c r="F32" s="453">
        <v>2493</v>
      </c>
      <c r="G32" s="453"/>
      <c r="I32" s="452">
        <v>24</v>
      </c>
      <c r="J32" s="465">
        <v>20685</v>
      </c>
      <c r="K32" s="465">
        <v>22680</v>
      </c>
      <c r="L32" s="453">
        <v>25095</v>
      </c>
      <c r="M32" s="453">
        <v>26891</v>
      </c>
      <c r="Q32" s="474">
        <v>25</v>
      </c>
      <c r="R32" s="474"/>
      <c r="S32" s="474"/>
      <c r="T32" s="474"/>
      <c r="U32" s="483"/>
      <c r="V32" s="483"/>
      <c r="W32" s="483"/>
      <c r="X32" s="483"/>
      <c r="Y32" s="483"/>
      <c r="Z32" s="483"/>
      <c r="AA32" s="483"/>
      <c r="AC32" s="452">
        <v>24</v>
      </c>
      <c r="AD32" s="453">
        <v>3541</v>
      </c>
      <c r="AE32" s="453">
        <v>4479</v>
      </c>
      <c r="AF32" s="453">
        <v>12600</v>
      </c>
      <c r="AG32" s="453">
        <v>14700</v>
      </c>
      <c r="AH32" s="453">
        <v>16800</v>
      </c>
      <c r="AI32" s="453">
        <v>18900</v>
      </c>
      <c r="AJ32" s="453">
        <v>21000</v>
      </c>
      <c r="AK32" s="453">
        <v>24150</v>
      </c>
      <c r="AL32" s="453">
        <v>27300</v>
      </c>
      <c r="AM32" s="527"/>
      <c r="AN32" s="452">
        <v>24</v>
      </c>
      <c r="AO32" s="453">
        <v>45203</v>
      </c>
      <c r="AP32" s="453">
        <v>45203</v>
      </c>
      <c r="AQ32" s="453">
        <v>45203</v>
      </c>
      <c r="AR32" s="453">
        <v>45203</v>
      </c>
    </row>
    <row r="33" spans="1:44" ht="20.25" customHeight="1" x14ac:dyDescent="0.25">
      <c r="A33" s="452">
        <v>25</v>
      </c>
      <c r="B33" s="465">
        <v>655</v>
      </c>
      <c r="C33" s="465">
        <v>780</v>
      </c>
      <c r="D33" s="453">
        <v>1146</v>
      </c>
      <c r="E33" s="453">
        <v>1664</v>
      </c>
      <c r="F33" s="453">
        <v>2411</v>
      </c>
      <c r="G33" s="453"/>
      <c r="I33" s="452">
        <v>25</v>
      </c>
      <c r="J33" s="465">
        <v>20685</v>
      </c>
      <c r="K33" s="465">
        <v>22680</v>
      </c>
      <c r="L33" s="453">
        <v>25095</v>
      </c>
      <c r="M33" s="453">
        <v>26891</v>
      </c>
      <c r="Q33" s="474">
        <v>26</v>
      </c>
      <c r="R33" s="474"/>
      <c r="S33" s="474"/>
      <c r="T33" s="474"/>
      <c r="U33" s="483"/>
      <c r="V33" s="483"/>
      <c r="W33" s="483"/>
      <c r="X33" s="483"/>
      <c r="Y33" s="483"/>
      <c r="Z33" s="483"/>
      <c r="AA33" s="483"/>
      <c r="AC33" s="452">
        <v>25</v>
      </c>
      <c r="AD33" s="453">
        <v>3541</v>
      </c>
      <c r="AE33" s="453">
        <v>4479</v>
      </c>
      <c r="AF33" s="453">
        <v>12600</v>
      </c>
      <c r="AG33" s="453">
        <v>14700</v>
      </c>
      <c r="AH33" s="453">
        <v>16800</v>
      </c>
      <c r="AI33" s="453">
        <v>18900</v>
      </c>
      <c r="AJ33" s="453">
        <v>21000</v>
      </c>
      <c r="AK33" s="453">
        <v>24150</v>
      </c>
      <c r="AL33" s="453">
        <v>27300</v>
      </c>
      <c r="AM33" s="527"/>
      <c r="AN33" s="452">
        <v>25</v>
      </c>
      <c r="AO33" s="453">
        <v>45203</v>
      </c>
      <c r="AP33" s="453">
        <v>45203</v>
      </c>
      <c r="AQ33" s="453">
        <v>45203</v>
      </c>
      <c r="AR33" s="453">
        <v>45203</v>
      </c>
    </row>
    <row r="34" spans="1:44" ht="20.25" customHeight="1" x14ac:dyDescent="0.25">
      <c r="A34" s="452">
        <v>26</v>
      </c>
      <c r="B34" s="465">
        <v>634</v>
      </c>
      <c r="C34" s="465">
        <v>755</v>
      </c>
      <c r="D34" s="453">
        <v>1110</v>
      </c>
      <c r="E34" s="453">
        <v>1611</v>
      </c>
      <c r="F34" s="453">
        <v>2257</v>
      </c>
      <c r="G34" s="453"/>
      <c r="I34" s="452">
        <v>26</v>
      </c>
      <c r="J34" s="465">
        <v>20685</v>
      </c>
      <c r="K34" s="465">
        <v>22680</v>
      </c>
      <c r="L34" s="453">
        <v>25095</v>
      </c>
      <c r="M34" s="453">
        <v>26891</v>
      </c>
      <c r="Q34" s="474">
        <v>27</v>
      </c>
      <c r="R34" s="474"/>
      <c r="S34" s="474"/>
      <c r="T34" s="474"/>
      <c r="U34" s="483"/>
      <c r="V34" s="483"/>
      <c r="W34" s="483"/>
      <c r="X34" s="483"/>
      <c r="Y34" s="483"/>
      <c r="Z34" s="483"/>
      <c r="AA34" s="483"/>
      <c r="AC34" s="452">
        <v>26</v>
      </c>
      <c r="AD34" s="453">
        <v>3541</v>
      </c>
      <c r="AE34" s="453">
        <v>4479</v>
      </c>
      <c r="AF34" s="453">
        <v>12600</v>
      </c>
      <c r="AG34" s="453">
        <v>14700</v>
      </c>
      <c r="AH34" s="453">
        <v>16800</v>
      </c>
      <c r="AI34" s="453">
        <v>18900</v>
      </c>
      <c r="AJ34" s="453">
        <v>21000</v>
      </c>
      <c r="AK34" s="453">
        <v>24150</v>
      </c>
      <c r="AL34" s="453">
        <v>27300</v>
      </c>
      <c r="AM34" s="527"/>
      <c r="AN34" s="452">
        <v>26</v>
      </c>
      <c r="AO34" s="453">
        <v>45203</v>
      </c>
      <c r="AP34" s="453">
        <v>45203</v>
      </c>
      <c r="AQ34" s="453">
        <v>45203</v>
      </c>
      <c r="AR34" s="453">
        <v>45203</v>
      </c>
    </row>
    <row r="35" spans="1:44" ht="20.25" customHeight="1" x14ac:dyDescent="0.25">
      <c r="A35" s="452">
        <v>27</v>
      </c>
      <c r="B35" s="465">
        <v>613</v>
      </c>
      <c r="C35" s="465">
        <v>730</v>
      </c>
      <c r="D35" s="453">
        <v>1073</v>
      </c>
      <c r="E35" s="453">
        <v>1558</v>
      </c>
      <c r="F35" s="453">
        <v>2180</v>
      </c>
      <c r="G35" s="453"/>
      <c r="I35" s="452">
        <v>27</v>
      </c>
      <c r="J35" s="465">
        <v>20685</v>
      </c>
      <c r="K35" s="465">
        <v>22680</v>
      </c>
      <c r="L35" s="453">
        <v>25095</v>
      </c>
      <c r="M35" s="453">
        <v>26891</v>
      </c>
      <c r="Q35" s="474">
        <v>28</v>
      </c>
      <c r="R35" s="474"/>
      <c r="S35" s="474"/>
      <c r="T35" s="474"/>
      <c r="U35" s="483"/>
      <c r="V35" s="483"/>
      <c r="W35" s="483"/>
      <c r="X35" s="483"/>
      <c r="Y35" s="483"/>
      <c r="Z35" s="483"/>
      <c r="AA35" s="483"/>
      <c r="AC35" s="452">
        <v>27</v>
      </c>
      <c r="AD35" s="453">
        <v>3541</v>
      </c>
      <c r="AE35" s="453">
        <v>4479</v>
      </c>
      <c r="AF35" s="453">
        <v>12600</v>
      </c>
      <c r="AG35" s="453">
        <v>14700</v>
      </c>
      <c r="AH35" s="453">
        <v>16800</v>
      </c>
      <c r="AI35" s="453">
        <v>18900</v>
      </c>
      <c r="AJ35" s="453">
        <v>21000</v>
      </c>
      <c r="AK35" s="453">
        <v>24150</v>
      </c>
      <c r="AL35" s="453">
        <v>27300</v>
      </c>
      <c r="AM35" s="527"/>
      <c r="AN35" s="452">
        <v>27</v>
      </c>
      <c r="AO35" s="453">
        <v>45203</v>
      </c>
      <c r="AP35" s="453">
        <v>45203</v>
      </c>
      <c r="AQ35" s="453">
        <v>45203</v>
      </c>
      <c r="AR35" s="453">
        <v>45203</v>
      </c>
    </row>
    <row r="36" spans="1:44" ht="20.25" customHeight="1" x14ac:dyDescent="0.25">
      <c r="A36" s="452">
        <v>28</v>
      </c>
      <c r="B36" s="465">
        <v>592</v>
      </c>
      <c r="C36" s="465">
        <v>705</v>
      </c>
      <c r="D36" s="453">
        <v>1037</v>
      </c>
      <c r="E36" s="453">
        <v>1505</v>
      </c>
      <c r="F36" s="453">
        <v>2106</v>
      </c>
      <c r="G36" s="453"/>
      <c r="I36" s="452">
        <v>28</v>
      </c>
      <c r="J36" s="465">
        <v>20685</v>
      </c>
      <c r="K36" s="465">
        <v>22680</v>
      </c>
      <c r="L36" s="453">
        <v>25095</v>
      </c>
      <c r="M36" s="453">
        <v>26891</v>
      </c>
      <c r="Q36" s="474">
        <v>29</v>
      </c>
      <c r="R36" s="474"/>
      <c r="S36" s="474"/>
      <c r="T36" s="474"/>
      <c r="U36" s="483"/>
      <c r="V36" s="483"/>
      <c r="W36" s="483"/>
      <c r="X36" s="483"/>
      <c r="Y36" s="483"/>
      <c r="Z36" s="483"/>
      <c r="AA36" s="483"/>
      <c r="AC36" s="452">
        <v>28</v>
      </c>
      <c r="AD36" s="453">
        <v>3541</v>
      </c>
      <c r="AE36" s="453">
        <v>4479</v>
      </c>
      <c r="AF36" s="453">
        <v>12600</v>
      </c>
      <c r="AG36" s="453">
        <v>14700</v>
      </c>
      <c r="AH36" s="453">
        <v>16800</v>
      </c>
      <c r="AI36" s="453">
        <v>18900</v>
      </c>
      <c r="AJ36" s="453">
        <v>21000</v>
      </c>
      <c r="AK36" s="453">
        <v>24150</v>
      </c>
      <c r="AL36" s="453">
        <v>27300</v>
      </c>
      <c r="AM36" s="527"/>
      <c r="AN36" s="452">
        <v>28</v>
      </c>
      <c r="AO36" s="453">
        <v>45203</v>
      </c>
      <c r="AP36" s="453">
        <v>45203</v>
      </c>
      <c r="AQ36" s="453">
        <v>45203</v>
      </c>
      <c r="AR36" s="453">
        <v>45203</v>
      </c>
    </row>
    <row r="37" spans="1:44" ht="20.25" customHeight="1" x14ac:dyDescent="0.25">
      <c r="A37" s="452">
        <v>29</v>
      </c>
      <c r="B37" s="465">
        <v>572</v>
      </c>
      <c r="C37" s="465">
        <v>681</v>
      </c>
      <c r="D37" s="453">
        <v>1001</v>
      </c>
      <c r="E37" s="453">
        <v>1453</v>
      </c>
      <c r="F37" s="453">
        <v>2041</v>
      </c>
      <c r="G37" s="453"/>
      <c r="I37" s="452">
        <v>29</v>
      </c>
      <c r="J37" s="465">
        <v>20685</v>
      </c>
      <c r="K37" s="465">
        <v>22680</v>
      </c>
      <c r="L37" s="453">
        <v>25095</v>
      </c>
      <c r="M37" s="453">
        <v>26891</v>
      </c>
      <c r="Q37" s="475">
        <v>30</v>
      </c>
      <c r="R37" s="475"/>
      <c r="S37" s="475"/>
      <c r="T37" s="475"/>
      <c r="U37" s="484"/>
      <c r="V37" s="484"/>
      <c r="W37" s="484"/>
      <c r="X37" s="484"/>
      <c r="Y37" s="484"/>
      <c r="Z37" s="484"/>
      <c r="AA37" s="484"/>
      <c r="AC37" s="452">
        <v>29</v>
      </c>
      <c r="AD37" s="453">
        <v>3541</v>
      </c>
      <c r="AE37" s="453">
        <v>4479</v>
      </c>
      <c r="AF37" s="453">
        <v>12600</v>
      </c>
      <c r="AG37" s="453">
        <v>14700</v>
      </c>
      <c r="AH37" s="453">
        <v>16800</v>
      </c>
      <c r="AI37" s="453">
        <v>18900</v>
      </c>
      <c r="AJ37" s="453">
        <v>21000</v>
      </c>
      <c r="AK37" s="453">
        <v>24150</v>
      </c>
      <c r="AL37" s="453">
        <v>27300</v>
      </c>
      <c r="AM37" s="527"/>
      <c r="AN37" s="452">
        <v>29</v>
      </c>
      <c r="AO37" s="453">
        <v>45203</v>
      </c>
      <c r="AP37" s="453">
        <v>45203</v>
      </c>
      <c r="AQ37" s="453">
        <v>45203</v>
      </c>
      <c r="AR37" s="453">
        <v>45203</v>
      </c>
    </row>
    <row r="38" spans="1:44" ht="20.25" customHeight="1" x14ac:dyDescent="0.25">
      <c r="A38" s="452">
        <v>30</v>
      </c>
      <c r="B38" s="465">
        <v>554</v>
      </c>
      <c r="C38" s="465">
        <v>660</v>
      </c>
      <c r="D38" s="453">
        <v>970</v>
      </c>
      <c r="E38" s="453">
        <v>1408</v>
      </c>
      <c r="F38" s="453">
        <v>1979</v>
      </c>
      <c r="G38" s="453"/>
      <c r="I38" s="452">
        <v>30</v>
      </c>
      <c r="J38" s="465">
        <v>20685</v>
      </c>
      <c r="K38" s="465">
        <v>22680</v>
      </c>
      <c r="L38" s="453">
        <v>25095</v>
      </c>
      <c r="M38" s="453">
        <v>26891</v>
      </c>
      <c r="AC38" s="452">
        <v>30</v>
      </c>
      <c r="AD38" s="453">
        <v>3541</v>
      </c>
      <c r="AE38" s="453">
        <v>4479</v>
      </c>
      <c r="AF38" s="453">
        <v>12600</v>
      </c>
      <c r="AG38" s="453">
        <v>14700</v>
      </c>
      <c r="AH38" s="453">
        <v>16800</v>
      </c>
      <c r="AI38" s="453">
        <v>18900</v>
      </c>
      <c r="AJ38" s="453">
        <v>21000</v>
      </c>
      <c r="AK38" s="453">
        <v>24150</v>
      </c>
      <c r="AL38" s="453">
        <v>27300</v>
      </c>
      <c r="AM38" s="527"/>
      <c r="AN38" s="452">
        <v>30</v>
      </c>
      <c r="AO38" s="453">
        <v>45203</v>
      </c>
      <c r="AP38" s="453">
        <v>45203</v>
      </c>
      <c r="AQ38" s="453">
        <v>45203</v>
      </c>
      <c r="AR38" s="453">
        <v>45203</v>
      </c>
    </row>
    <row r="39" spans="1:44" ht="20.25" customHeight="1" x14ac:dyDescent="0.25">
      <c r="A39" s="452">
        <v>31</v>
      </c>
      <c r="B39" s="465">
        <v>538</v>
      </c>
      <c r="C39" s="465">
        <v>640</v>
      </c>
      <c r="D39" s="453">
        <v>941</v>
      </c>
      <c r="E39" s="453">
        <v>1366</v>
      </c>
      <c r="F39" s="453">
        <v>1979</v>
      </c>
      <c r="G39" s="453"/>
      <c r="I39" s="452">
        <v>31</v>
      </c>
      <c r="J39" s="465">
        <v>142</v>
      </c>
      <c r="K39" s="465">
        <v>155</v>
      </c>
      <c r="L39" s="453">
        <v>170</v>
      </c>
      <c r="M39" s="453">
        <v>182</v>
      </c>
      <c r="AC39" s="452">
        <v>31</v>
      </c>
      <c r="AD39" s="465">
        <v>2052</v>
      </c>
      <c r="AE39" s="465">
        <v>2345</v>
      </c>
      <c r="AF39" s="453">
        <v>12600</v>
      </c>
      <c r="AG39" s="453">
        <v>14700</v>
      </c>
      <c r="AH39" s="453">
        <v>16800</v>
      </c>
      <c r="AI39" s="453">
        <v>18900</v>
      </c>
      <c r="AJ39" s="453">
        <v>21000</v>
      </c>
      <c r="AK39" s="453">
        <v>24150</v>
      </c>
      <c r="AL39" s="453">
        <v>27300</v>
      </c>
      <c r="AM39" s="527"/>
      <c r="AN39" s="452">
        <v>31</v>
      </c>
      <c r="AO39" s="465">
        <v>331</v>
      </c>
      <c r="AP39" s="465">
        <v>331</v>
      </c>
      <c r="AQ39" s="465">
        <v>331</v>
      </c>
      <c r="AR39" s="465">
        <v>331</v>
      </c>
    </row>
    <row r="40" spans="1:44" ht="20.25" customHeight="1" x14ac:dyDescent="0.25">
      <c r="A40" s="452">
        <v>32</v>
      </c>
      <c r="B40" s="465">
        <v>538</v>
      </c>
      <c r="C40" s="465">
        <v>640</v>
      </c>
      <c r="D40" s="465">
        <v>941</v>
      </c>
      <c r="E40" s="465">
        <v>1366</v>
      </c>
      <c r="F40" s="465">
        <v>1979</v>
      </c>
      <c r="G40" s="453"/>
      <c r="I40" s="452">
        <v>32</v>
      </c>
      <c r="J40" s="465">
        <v>142</v>
      </c>
      <c r="K40" s="465">
        <v>155</v>
      </c>
      <c r="L40" s="453">
        <v>170</v>
      </c>
      <c r="M40" s="453">
        <v>182</v>
      </c>
      <c r="AC40" s="452">
        <v>32</v>
      </c>
      <c r="AD40" s="465">
        <v>2052</v>
      </c>
      <c r="AE40" s="465">
        <v>2345</v>
      </c>
      <c r="AF40" s="453">
        <v>12600</v>
      </c>
      <c r="AG40" s="453">
        <v>14700</v>
      </c>
      <c r="AH40" s="453">
        <v>16800</v>
      </c>
      <c r="AI40" s="453">
        <v>18900</v>
      </c>
      <c r="AJ40" s="453">
        <v>21000</v>
      </c>
      <c r="AK40" s="453">
        <v>24150</v>
      </c>
      <c r="AL40" s="453">
        <v>27300</v>
      </c>
      <c r="AM40" s="527"/>
      <c r="AN40" s="452">
        <v>32</v>
      </c>
      <c r="AO40" s="465">
        <v>331</v>
      </c>
      <c r="AP40" s="465">
        <v>331</v>
      </c>
      <c r="AQ40" s="465">
        <v>331</v>
      </c>
      <c r="AR40" s="465">
        <v>331</v>
      </c>
    </row>
    <row r="41" spans="1:44" ht="20.25" customHeight="1" x14ac:dyDescent="0.25">
      <c r="A41" s="452">
        <v>33</v>
      </c>
      <c r="B41" s="465">
        <v>538</v>
      </c>
      <c r="C41" s="465">
        <v>640</v>
      </c>
      <c r="D41" s="465">
        <v>941</v>
      </c>
      <c r="E41" s="465">
        <v>1366</v>
      </c>
      <c r="F41" s="465">
        <v>1979</v>
      </c>
      <c r="G41" s="453"/>
      <c r="I41" s="452">
        <v>33</v>
      </c>
      <c r="J41" s="465">
        <v>142</v>
      </c>
      <c r="K41" s="465">
        <v>155</v>
      </c>
      <c r="L41" s="453">
        <v>170</v>
      </c>
      <c r="M41" s="453">
        <v>182</v>
      </c>
      <c r="AC41" s="452">
        <v>33</v>
      </c>
      <c r="AD41" s="465">
        <v>2052</v>
      </c>
      <c r="AE41" s="465">
        <v>2345</v>
      </c>
      <c r="AF41" s="453">
        <v>12600</v>
      </c>
      <c r="AG41" s="453">
        <v>14700</v>
      </c>
      <c r="AH41" s="453">
        <v>16800</v>
      </c>
      <c r="AI41" s="453">
        <v>18900</v>
      </c>
      <c r="AJ41" s="453">
        <v>21000</v>
      </c>
      <c r="AK41" s="453">
        <v>24150</v>
      </c>
      <c r="AL41" s="453">
        <v>27300</v>
      </c>
      <c r="AM41" s="527"/>
      <c r="AN41" s="452">
        <v>33</v>
      </c>
      <c r="AO41" s="465">
        <v>331</v>
      </c>
      <c r="AP41" s="465">
        <v>331</v>
      </c>
      <c r="AQ41" s="465">
        <v>331</v>
      </c>
      <c r="AR41" s="465">
        <v>331</v>
      </c>
    </row>
    <row r="42" spans="1:44" ht="20.25" customHeight="1" x14ac:dyDescent="0.25">
      <c r="A42" s="452">
        <v>34</v>
      </c>
      <c r="B42" s="465">
        <v>538</v>
      </c>
      <c r="C42" s="465">
        <v>640</v>
      </c>
      <c r="D42" s="465">
        <v>941</v>
      </c>
      <c r="E42" s="465">
        <v>1366</v>
      </c>
      <c r="F42" s="465">
        <v>1979</v>
      </c>
      <c r="G42" s="453"/>
      <c r="I42" s="452">
        <v>34</v>
      </c>
      <c r="J42" s="465">
        <v>142</v>
      </c>
      <c r="K42" s="465">
        <v>155</v>
      </c>
      <c r="L42" s="453">
        <v>170</v>
      </c>
      <c r="M42" s="453">
        <v>182</v>
      </c>
      <c r="AC42" s="452">
        <v>34</v>
      </c>
      <c r="AD42" s="465">
        <v>2052</v>
      </c>
      <c r="AE42" s="465">
        <v>2345</v>
      </c>
      <c r="AF42" s="453">
        <v>12600</v>
      </c>
      <c r="AG42" s="453">
        <v>14700</v>
      </c>
      <c r="AH42" s="453">
        <v>16800</v>
      </c>
      <c r="AI42" s="453">
        <v>18900</v>
      </c>
      <c r="AJ42" s="453">
        <v>21000</v>
      </c>
      <c r="AK42" s="453">
        <v>24150</v>
      </c>
      <c r="AL42" s="453">
        <v>27300</v>
      </c>
      <c r="AM42" s="527"/>
      <c r="AN42" s="452">
        <v>34</v>
      </c>
      <c r="AO42" s="465">
        <v>331</v>
      </c>
      <c r="AP42" s="465">
        <v>331</v>
      </c>
      <c r="AQ42" s="465">
        <v>331</v>
      </c>
      <c r="AR42" s="465">
        <v>331</v>
      </c>
    </row>
    <row r="43" spans="1:44" ht="20.25" customHeight="1" x14ac:dyDescent="0.25">
      <c r="A43" s="452">
        <v>35</v>
      </c>
      <c r="B43" s="465">
        <v>538</v>
      </c>
      <c r="C43" s="465">
        <v>640</v>
      </c>
      <c r="D43" s="465">
        <v>941</v>
      </c>
      <c r="E43" s="465">
        <v>1366</v>
      </c>
      <c r="F43" s="465">
        <v>1979</v>
      </c>
      <c r="G43" s="453"/>
      <c r="I43" s="452">
        <v>35</v>
      </c>
      <c r="J43" s="465">
        <v>142</v>
      </c>
      <c r="K43" s="465">
        <v>155</v>
      </c>
      <c r="L43" s="453">
        <v>170</v>
      </c>
      <c r="M43" s="453">
        <v>182</v>
      </c>
      <c r="AC43" s="452">
        <v>35</v>
      </c>
      <c r="AD43" s="465">
        <v>2052</v>
      </c>
      <c r="AE43" s="465">
        <v>2345</v>
      </c>
      <c r="AF43" s="453">
        <v>12600</v>
      </c>
      <c r="AG43" s="453">
        <v>14700</v>
      </c>
      <c r="AH43" s="453">
        <v>16800</v>
      </c>
      <c r="AI43" s="453">
        <v>18900</v>
      </c>
      <c r="AJ43" s="453">
        <v>21000</v>
      </c>
      <c r="AK43" s="453">
        <v>24150</v>
      </c>
      <c r="AL43" s="453">
        <v>27300</v>
      </c>
      <c r="AM43" s="527"/>
      <c r="AN43" s="452">
        <v>35</v>
      </c>
      <c r="AO43" s="465">
        <v>331</v>
      </c>
      <c r="AP43" s="465">
        <v>331</v>
      </c>
      <c r="AQ43" s="465">
        <v>331</v>
      </c>
      <c r="AR43" s="465">
        <v>331</v>
      </c>
    </row>
    <row r="44" spans="1:44" ht="20.25" customHeight="1" x14ac:dyDescent="0.25">
      <c r="A44" s="452">
        <v>36</v>
      </c>
      <c r="B44" s="465">
        <v>523</v>
      </c>
      <c r="C44" s="465">
        <v>623</v>
      </c>
      <c r="D44" s="453">
        <v>916</v>
      </c>
      <c r="E44" s="453">
        <v>1329</v>
      </c>
      <c r="F44" s="453">
        <v>1926</v>
      </c>
      <c r="G44" s="453"/>
      <c r="I44" s="452">
        <v>36</v>
      </c>
      <c r="J44" s="465">
        <v>142</v>
      </c>
      <c r="K44" s="465">
        <v>155</v>
      </c>
      <c r="L44" s="453">
        <v>170</v>
      </c>
      <c r="M44" s="453">
        <v>182</v>
      </c>
      <c r="AC44" s="452">
        <v>36</v>
      </c>
      <c r="AD44" s="465">
        <v>2052</v>
      </c>
      <c r="AE44" s="465">
        <v>2345</v>
      </c>
      <c r="AF44" s="453">
        <v>12600</v>
      </c>
      <c r="AG44" s="453">
        <v>14700</v>
      </c>
      <c r="AH44" s="453">
        <v>16800</v>
      </c>
      <c r="AI44" s="453">
        <v>18900</v>
      </c>
      <c r="AJ44" s="453">
        <v>21000</v>
      </c>
      <c r="AK44" s="453">
        <v>24150</v>
      </c>
      <c r="AL44" s="453">
        <v>27300</v>
      </c>
      <c r="AM44" s="527"/>
      <c r="AN44" s="452">
        <v>36</v>
      </c>
      <c r="AO44" s="465">
        <v>331</v>
      </c>
      <c r="AP44" s="465">
        <v>331</v>
      </c>
      <c r="AQ44" s="465">
        <v>331</v>
      </c>
      <c r="AR44" s="465">
        <v>331</v>
      </c>
    </row>
    <row r="45" spans="1:44" ht="20.25" customHeight="1" x14ac:dyDescent="0.25">
      <c r="A45" s="452">
        <v>37</v>
      </c>
      <c r="B45" s="465">
        <v>523</v>
      </c>
      <c r="C45" s="465">
        <v>623</v>
      </c>
      <c r="D45" s="465">
        <v>916</v>
      </c>
      <c r="E45" s="465">
        <v>1329</v>
      </c>
      <c r="F45" s="465">
        <v>1926</v>
      </c>
      <c r="G45" s="453"/>
      <c r="I45" s="452">
        <v>37</v>
      </c>
      <c r="J45" s="465">
        <v>142</v>
      </c>
      <c r="K45" s="465">
        <v>155</v>
      </c>
      <c r="L45" s="453">
        <v>170</v>
      </c>
      <c r="M45" s="453">
        <v>182</v>
      </c>
      <c r="AC45" s="452">
        <v>37</v>
      </c>
      <c r="AD45" s="465">
        <v>2052</v>
      </c>
      <c r="AE45" s="465">
        <v>2345</v>
      </c>
      <c r="AF45" s="453">
        <v>12600</v>
      </c>
      <c r="AG45" s="453">
        <v>14700</v>
      </c>
      <c r="AH45" s="453">
        <v>16800</v>
      </c>
      <c r="AI45" s="453">
        <v>18900</v>
      </c>
      <c r="AJ45" s="453">
        <v>21000</v>
      </c>
      <c r="AK45" s="453">
        <v>24150</v>
      </c>
      <c r="AL45" s="453">
        <v>27300</v>
      </c>
      <c r="AM45" s="527"/>
      <c r="AN45" s="452">
        <v>37</v>
      </c>
      <c r="AO45" s="465">
        <v>331</v>
      </c>
      <c r="AP45" s="465">
        <v>331</v>
      </c>
      <c r="AQ45" s="465">
        <v>331</v>
      </c>
      <c r="AR45" s="465">
        <v>331</v>
      </c>
    </row>
    <row r="46" spans="1:44" ht="20.25" customHeight="1" x14ac:dyDescent="0.25">
      <c r="A46" s="452">
        <v>38</v>
      </c>
      <c r="B46" s="465">
        <v>523</v>
      </c>
      <c r="C46" s="465">
        <v>623</v>
      </c>
      <c r="D46" s="465">
        <v>916</v>
      </c>
      <c r="E46" s="465">
        <v>1329</v>
      </c>
      <c r="F46" s="465">
        <v>1926</v>
      </c>
      <c r="G46" s="453"/>
      <c r="I46" s="452">
        <v>38</v>
      </c>
      <c r="J46" s="465">
        <v>142</v>
      </c>
      <c r="K46" s="465">
        <v>155</v>
      </c>
      <c r="L46" s="453">
        <v>170</v>
      </c>
      <c r="M46" s="453">
        <v>182</v>
      </c>
      <c r="AC46" s="452">
        <v>38</v>
      </c>
      <c r="AD46" s="465">
        <v>2052</v>
      </c>
      <c r="AE46" s="465">
        <v>2345</v>
      </c>
      <c r="AF46" s="453">
        <v>12600</v>
      </c>
      <c r="AG46" s="453">
        <v>14700</v>
      </c>
      <c r="AH46" s="453">
        <v>16800</v>
      </c>
      <c r="AI46" s="453">
        <v>18900</v>
      </c>
      <c r="AJ46" s="453">
        <v>21000</v>
      </c>
      <c r="AK46" s="453">
        <v>24150</v>
      </c>
      <c r="AL46" s="453">
        <v>27300</v>
      </c>
      <c r="AM46" s="527"/>
      <c r="AN46" s="452">
        <v>38</v>
      </c>
      <c r="AO46" s="465">
        <v>331</v>
      </c>
      <c r="AP46" s="465">
        <v>331</v>
      </c>
      <c r="AQ46" s="465">
        <v>331</v>
      </c>
      <c r="AR46" s="465">
        <v>331</v>
      </c>
    </row>
    <row r="47" spans="1:44" ht="20.25" customHeight="1" x14ac:dyDescent="0.25">
      <c r="A47" s="452">
        <v>39</v>
      </c>
      <c r="B47" s="465">
        <v>523</v>
      </c>
      <c r="C47" s="465">
        <v>623</v>
      </c>
      <c r="D47" s="465">
        <v>916</v>
      </c>
      <c r="E47" s="465">
        <v>1329</v>
      </c>
      <c r="F47" s="465">
        <v>1926</v>
      </c>
      <c r="G47" s="453"/>
      <c r="I47" s="452">
        <v>39</v>
      </c>
      <c r="J47" s="465">
        <v>142</v>
      </c>
      <c r="K47" s="465">
        <v>155</v>
      </c>
      <c r="L47" s="453">
        <v>170</v>
      </c>
      <c r="M47" s="453">
        <v>182</v>
      </c>
      <c r="AC47" s="452">
        <v>39</v>
      </c>
      <c r="AD47" s="465">
        <v>2052</v>
      </c>
      <c r="AE47" s="465">
        <v>2345</v>
      </c>
      <c r="AF47" s="453">
        <v>12600</v>
      </c>
      <c r="AG47" s="453">
        <v>14700</v>
      </c>
      <c r="AH47" s="453">
        <v>16800</v>
      </c>
      <c r="AI47" s="453">
        <v>18900</v>
      </c>
      <c r="AJ47" s="453">
        <v>21000</v>
      </c>
      <c r="AK47" s="453">
        <v>24150</v>
      </c>
      <c r="AL47" s="453">
        <v>27300</v>
      </c>
      <c r="AM47" s="527"/>
      <c r="AN47" s="452">
        <v>39</v>
      </c>
      <c r="AO47" s="465">
        <v>331</v>
      </c>
      <c r="AP47" s="465">
        <v>331</v>
      </c>
      <c r="AQ47" s="465">
        <v>331</v>
      </c>
      <c r="AR47" s="465">
        <v>331</v>
      </c>
    </row>
    <row r="48" spans="1:44" ht="20.25" customHeight="1" x14ac:dyDescent="0.25">
      <c r="A48" s="452">
        <v>40</v>
      </c>
      <c r="B48" s="465">
        <v>523</v>
      </c>
      <c r="C48" s="465">
        <v>623</v>
      </c>
      <c r="D48" s="465">
        <v>916</v>
      </c>
      <c r="E48" s="465">
        <v>1329</v>
      </c>
      <c r="F48" s="465">
        <v>1926</v>
      </c>
      <c r="G48" s="453"/>
      <c r="I48" s="452">
        <v>40</v>
      </c>
      <c r="J48" s="465">
        <v>142</v>
      </c>
      <c r="K48" s="465">
        <v>155</v>
      </c>
      <c r="L48" s="453">
        <v>170</v>
      </c>
      <c r="M48" s="453">
        <v>182</v>
      </c>
      <c r="AC48" s="452">
        <v>40</v>
      </c>
      <c r="AD48" s="465">
        <v>2052</v>
      </c>
      <c r="AE48" s="465">
        <v>2345</v>
      </c>
      <c r="AF48" s="453">
        <v>12600</v>
      </c>
      <c r="AG48" s="453">
        <v>14700</v>
      </c>
      <c r="AH48" s="453">
        <v>16800</v>
      </c>
      <c r="AI48" s="453">
        <v>18900</v>
      </c>
      <c r="AJ48" s="453">
        <v>21000</v>
      </c>
      <c r="AK48" s="453">
        <v>24150</v>
      </c>
      <c r="AL48" s="453">
        <v>27300</v>
      </c>
      <c r="AM48" s="527"/>
      <c r="AN48" s="452">
        <v>40</v>
      </c>
      <c r="AO48" s="465">
        <v>331</v>
      </c>
      <c r="AP48" s="465">
        <v>331</v>
      </c>
      <c r="AQ48" s="465">
        <v>331</v>
      </c>
      <c r="AR48" s="465">
        <v>331</v>
      </c>
    </row>
    <row r="49" spans="1:44" ht="20.25" customHeight="1" x14ac:dyDescent="0.25">
      <c r="A49" s="452">
        <v>41</v>
      </c>
      <c r="B49" s="465">
        <v>512</v>
      </c>
      <c r="C49" s="465">
        <v>609</v>
      </c>
      <c r="D49" s="465">
        <v>896</v>
      </c>
      <c r="E49" s="453">
        <v>1300</v>
      </c>
      <c r="F49" s="453">
        <v>1884</v>
      </c>
      <c r="G49" s="453"/>
      <c r="I49" s="452">
        <v>41</v>
      </c>
      <c r="J49" s="465">
        <v>142</v>
      </c>
      <c r="K49" s="465">
        <v>155</v>
      </c>
      <c r="L49" s="453">
        <v>170</v>
      </c>
      <c r="M49" s="453">
        <v>182</v>
      </c>
      <c r="AC49" s="452">
        <v>41</v>
      </c>
      <c r="AD49" s="465">
        <v>2052</v>
      </c>
      <c r="AE49" s="465">
        <v>2345</v>
      </c>
      <c r="AF49" s="453">
        <v>12600</v>
      </c>
      <c r="AG49" s="453">
        <v>14700</v>
      </c>
      <c r="AH49" s="453">
        <v>16800</v>
      </c>
      <c r="AI49" s="453">
        <v>18900</v>
      </c>
      <c r="AJ49" s="453">
        <v>21000</v>
      </c>
      <c r="AK49" s="453">
        <v>24150</v>
      </c>
      <c r="AL49" s="453">
        <v>27300</v>
      </c>
      <c r="AM49" s="527"/>
      <c r="AN49" s="452">
        <v>41</v>
      </c>
      <c r="AO49" s="465">
        <v>331</v>
      </c>
      <c r="AP49" s="465">
        <v>331</v>
      </c>
      <c r="AQ49" s="465">
        <v>331</v>
      </c>
      <c r="AR49" s="465">
        <v>331</v>
      </c>
    </row>
    <row r="50" spans="1:44" ht="20.25" customHeight="1" x14ac:dyDescent="0.25">
      <c r="A50" s="452">
        <v>42</v>
      </c>
      <c r="B50" s="465">
        <v>512</v>
      </c>
      <c r="C50" s="465">
        <v>609</v>
      </c>
      <c r="D50" s="465">
        <v>896</v>
      </c>
      <c r="E50" s="465">
        <v>1300</v>
      </c>
      <c r="F50" s="465">
        <v>1884</v>
      </c>
      <c r="G50" s="453"/>
      <c r="I50" s="452">
        <v>42</v>
      </c>
      <c r="J50" s="465">
        <v>142</v>
      </c>
      <c r="K50" s="465">
        <v>155</v>
      </c>
      <c r="L50" s="453">
        <v>170</v>
      </c>
      <c r="M50" s="453">
        <v>182</v>
      </c>
      <c r="AC50" s="452">
        <v>42</v>
      </c>
      <c r="AD50" s="465">
        <v>2052</v>
      </c>
      <c r="AE50" s="465">
        <v>2345</v>
      </c>
      <c r="AF50" s="453">
        <v>12600</v>
      </c>
      <c r="AG50" s="453">
        <v>14700</v>
      </c>
      <c r="AH50" s="453">
        <v>16800</v>
      </c>
      <c r="AI50" s="453">
        <v>18900</v>
      </c>
      <c r="AJ50" s="453">
        <v>21000</v>
      </c>
      <c r="AK50" s="453">
        <v>24150</v>
      </c>
      <c r="AL50" s="453">
        <v>27300</v>
      </c>
      <c r="AM50" s="527"/>
      <c r="AN50" s="452">
        <v>42</v>
      </c>
      <c r="AO50" s="465">
        <v>331</v>
      </c>
      <c r="AP50" s="465">
        <v>331</v>
      </c>
      <c r="AQ50" s="465">
        <v>331</v>
      </c>
      <c r="AR50" s="465">
        <v>331</v>
      </c>
    </row>
    <row r="51" spans="1:44" ht="20.25" customHeight="1" x14ac:dyDescent="0.25">
      <c r="A51" s="452">
        <v>43</v>
      </c>
      <c r="B51" s="465">
        <v>512</v>
      </c>
      <c r="C51" s="465">
        <v>609</v>
      </c>
      <c r="D51" s="465">
        <v>896</v>
      </c>
      <c r="E51" s="465">
        <v>1300</v>
      </c>
      <c r="F51" s="465">
        <v>1884</v>
      </c>
      <c r="G51" s="453"/>
      <c r="I51" s="452">
        <v>43</v>
      </c>
      <c r="J51" s="465">
        <v>142</v>
      </c>
      <c r="K51" s="465">
        <v>155</v>
      </c>
      <c r="L51" s="453">
        <v>170</v>
      </c>
      <c r="M51" s="453">
        <v>182</v>
      </c>
      <c r="AC51" s="452">
        <v>43</v>
      </c>
      <c r="AD51" s="465">
        <v>2052</v>
      </c>
      <c r="AE51" s="465">
        <v>2345</v>
      </c>
      <c r="AF51" s="453">
        <v>12600</v>
      </c>
      <c r="AG51" s="453">
        <v>14700</v>
      </c>
      <c r="AH51" s="453">
        <v>16800</v>
      </c>
      <c r="AI51" s="453">
        <v>18900</v>
      </c>
      <c r="AJ51" s="453">
        <v>21000</v>
      </c>
      <c r="AK51" s="453">
        <v>24150</v>
      </c>
      <c r="AL51" s="453">
        <v>27300</v>
      </c>
      <c r="AM51" s="527"/>
      <c r="AN51" s="452">
        <v>43</v>
      </c>
      <c r="AO51" s="465">
        <v>331</v>
      </c>
      <c r="AP51" s="465">
        <v>331</v>
      </c>
      <c r="AQ51" s="465">
        <v>331</v>
      </c>
      <c r="AR51" s="465">
        <v>331</v>
      </c>
    </row>
    <row r="52" spans="1:44" ht="20.25" customHeight="1" x14ac:dyDescent="0.25">
      <c r="A52" s="452">
        <v>44</v>
      </c>
      <c r="B52" s="465">
        <v>512</v>
      </c>
      <c r="C52" s="465">
        <v>609</v>
      </c>
      <c r="D52" s="465">
        <v>896</v>
      </c>
      <c r="E52" s="465">
        <v>1300</v>
      </c>
      <c r="F52" s="465">
        <v>1884</v>
      </c>
      <c r="G52" s="453"/>
      <c r="I52" s="452">
        <v>44</v>
      </c>
      <c r="J52" s="465">
        <v>142</v>
      </c>
      <c r="K52" s="465">
        <v>155</v>
      </c>
      <c r="L52" s="453">
        <v>170</v>
      </c>
      <c r="M52" s="453">
        <v>182</v>
      </c>
      <c r="AC52" s="452">
        <v>44</v>
      </c>
      <c r="AD52" s="465">
        <v>2052</v>
      </c>
      <c r="AE52" s="465">
        <v>2345</v>
      </c>
      <c r="AF52" s="453">
        <v>12600</v>
      </c>
      <c r="AG52" s="453">
        <v>14700</v>
      </c>
      <c r="AH52" s="453">
        <v>16800</v>
      </c>
      <c r="AI52" s="453">
        <v>18900</v>
      </c>
      <c r="AJ52" s="453">
        <v>21000</v>
      </c>
      <c r="AK52" s="453">
        <v>24150</v>
      </c>
      <c r="AL52" s="453">
        <v>27300</v>
      </c>
      <c r="AM52" s="527"/>
      <c r="AN52" s="452">
        <v>44</v>
      </c>
      <c r="AO52" s="465">
        <v>331</v>
      </c>
      <c r="AP52" s="465">
        <v>331</v>
      </c>
      <c r="AQ52" s="465">
        <v>331</v>
      </c>
      <c r="AR52" s="465">
        <v>331</v>
      </c>
    </row>
    <row r="53" spans="1:44" ht="20.25" customHeight="1" x14ac:dyDescent="0.25">
      <c r="A53" s="452">
        <v>45</v>
      </c>
      <c r="B53" s="465">
        <v>512</v>
      </c>
      <c r="C53" s="465">
        <v>609</v>
      </c>
      <c r="D53" s="465">
        <v>896</v>
      </c>
      <c r="E53" s="465">
        <v>1300</v>
      </c>
      <c r="F53" s="465">
        <v>1884</v>
      </c>
      <c r="G53" s="453"/>
      <c r="I53" s="452">
        <v>45</v>
      </c>
      <c r="J53" s="465">
        <v>142</v>
      </c>
      <c r="K53" s="465">
        <v>155</v>
      </c>
      <c r="L53" s="453">
        <v>170</v>
      </c>
      <c r="M53" s="453">
        <v>182</v>
      </c>
      <c r="AC53" s="452">
        <v>45</v>
      </c>
      <c r="AD53" s="465">
        <v>2052</v>
      </c>
      <c r="AE53" s="465">
        <v>2345</v>
      </c>
      <c r="AF53" s="453">
        <v>12600</v>
      </c>
      <c r="AG53" s="453">
        <v>14700</v>
      </c>
      <c r="AH53" s="453">
        <v>16800</v>
      </c>
      <c r="AI53" s="453">
        <v>18900</v>
      </c>
      <c r="AJ53" s="453">
        <v>21000</v>
      </c>
      <c r="AK53" s="453">
        <v>24150</v>
      </c>
      <c r="AL53" s="453">
        <v>27300</v>
      </c>
      <c r="AM53" s="527"/>
      <c r="AN53" s="452">
        <v>45</v>
      </c>
      <c r="AO53" s="465">
        <v>331</v>
      </c>
      <c r="AP53" s="465">
        <v>331</v>
      </c>
      <c r="AQ53" s="465">
        <v>331</v>
      </c>
      <c r="AR53" s="465">
        <v>331</v>
      </c>
    </row>
    <row r="54" spans="1:44" ht="20.25" customHeight="1" x14ac:dyDescent="0.25">
      <c r="A54" s="452">
        <v>46</v>
      </c>
      <c r="B54" s="465">
        <v>501</v>
      </c>
      <c r="C54" s="465">
        <v>596</v>
      </c>
      <c r="D54" s="465">
        <v>877</v>
      </c>
      <c r="E54" s="453">
        <v>1273</v>
      </c>
      <c r="F54" s="453">
        <v>1844</v>
      </c>
      <c r="G54" s="453"/>
      <c r="I54" s="452">
        <v>46</v>
      </c>
      <c r="J54" s="465">
        <v>142</v>
      </c>
      <c r="K54" s="465">
        <v>155</v>
      </c>
      <c r="L54" s="453">
        <v>170</v>
      </c>
      <c r="M54" s="453">
        <v>182</v>
      </c>
      <c r="AC54" s="452">
        <v>46</v>
      </c>
      <c r="AD54" s="465">
        <v>2052</v>
      </c>
      <c r="AE54" s="465">
        <v>2345</v>
      </c>
      <c r="AF54" s="453">
        <v>12600</v>
      </c>
      <c r="AG54" s="453">
        <v>14700</v>
      </c>
      <c r="AH54" s="453">
        <v>16800</v>
      </c>
      <c r="AI54" s="453">
        <v>18900</v>
      </c>
      <c r="AJ54" s="453">
        <v>21000</v>
      </c>
      <c r="AK54" s="453">
        <v>24150</v>
      </c>
      <c r="AL54" s="453">
        <v>27300</v>
      </c>
      <c r="AM54" s="527"/>
      <c r="AN54" s="452">
        <v>46</v>
      </c>
      <c r="AO54" s="465">
        <v>331</v>
      </c>
      <c r="AP54" s="465">
        <v>331</v>
      </c>
      <c r="AQ54" s="465">
        <v>331</v>
      </c>
      <c r="AR54" s="465">
        <v>331</v>
      </c>
    </row>
    <row r="55" spans="1:44" ht="20.25" customHeight="1" x14ac:dyDescent="0.25">
      <c r="A55" s="452">
        <v>47</v>
      </c>
      <c r="B55" s="465">
        <v>501</v>
      </c>
      <c r="C55" s="465">
        <v>596</v>
      </c>
      <c r="D55" s="465">
        <v>877</v>
      </c>
      <c r="E55" s="465">
        <v>1273</v>
      </c>
      <c r="F55" s="465">
        <v>1844</v>
      </c>
      <c r="G55" s="453"/>
      <c r="I55" s="452">
        <v>47</v>
      </c>
      <c r="J55" s="465">
        <v>142</v>
      </c>
      <c r="K55" s="465">
        <v>155</v>
      </c>
      <c r="L55" s="453">
        <v>170</v>
      </c>
      <c r="M55" s="453">
        <v>182</v>
      </c>
      <c r="AC55" s="452">
        <v>47</v>
      </c>
      <c r="AD55" s="465">
        <v>2052</v>
      </c>
      <c r="AE55" s="465">
        <v>2345</v>
      </c>
      <c r="AF55" s="453">
        <v>12600</v>
      </c>
      <c r="AG55" s="453">
        <v>14700</v>
      </c>
      <c r="AH55" s="453">
        <v>16800</v>
      </c>
      <c r="AI55" s="453">
        <v>18900</v>
      </c>
      <c r="AJ55" s="453">
        <v>21000</v>
      </c>
      <c r="AK55" s="453">
        <v>24150</v>
      </c>
      <c r="AL55" s="453">
        <v>27300</v>
      </c>
      <c r="AM55" s="527"/>
      <c r="AN55" s="452">
        <v>47</v>
      </c>
      <c r="AO55" s="465">
        <v>331</v>
      </c>
      <c r="AP55" s="465">
        <v>331</v>
      </c>
      <c r="AQ55" s="465">
        <v>331</v>
      </c>
      <c r="AR55" s="465">
        <v>331</v>
      </c>
    </row>
    <row r="56" spans="1:44" ht="20.25" customHeight="1" x14ac:dyDescent="0.25">
      <c r="A56" s="452">
        <v>48</v>
      </c>
      <c r="B56" s="465">
        <v>501</v>
      </c>
      <c r="C56" s="465">
        <v>596</v>
      </c>
      <c r="D56" s="465">
        <v>877</v>
      </c>
      <c r="E56" s="465">
        <v>1273</v>
      </c>
      <c r="F56" s="465">
        <v>1844</v>
      </c>
      <c r="G56" s="453"/>
      <c r="I56" s="452">
        <v>48</v>
      </c>
      <c r="J56" s="465">
        <v>142</v>
      </c>
      <c r="K56" s="465">
        <v>155</v>
      </c>
      <c r="L56" s="453">
        <v>170</v>
      </c>
      <c r="M56" s="453">
        <v>182</v>
      </c>
      <c r="AC56" s="452">
        <v>48</v>
      </c>
      <c r="AD56" s="465">
        <v>2052</v>
      </c>
      <c r="AE56" s="465">
        <v>2345</v>
      </c>
      <c r="AF56" s="453">
        <v>12600</v>
      </c>
      <c r="AG56" s="453">
        <v>14700</v>
      </c>
      <c r="AH56" s="453">
        <v>16800</v>
      </c>
      <c r="AI56" s="453">
        <v>18900</v>
      </c>
      <c r="AJ56" s="453">
        <v>21000</v>
      </c>
      <c r="AK56" s="453">
        <v>24150</v>
      </c>
      <c r="AL56" s="453">
        <v>27300</v>
      </c>
      <c r="AM56" s="527"/>
      <c r="AN56" s="452">
        <v>48</v>
      </c>
      <c r="AO56" s="465">
        <v>331</v>
      </c>
      <c r="AP56" s="465">
        <v>331</v>
      </c>
      <c r="AQ56" s="465">
        <v>331</v>
      </c>
      <c r="AR56" s="465">
        <v>331</v>
      </c>
    </row>
    <row r="57" spans="1:44" ht="20.25" customHeight="1" x14ac:dyDescent="0.25">
      <c r="A57" s="452">
        <v>49</v>
      </c>
      <c r="B57" s="465">
        <v>501</v>
      </c>
      <c r="C57" s="465">
        <v>596</v>
      </c>
      <c r="D57" s="465">
        <v>877</v>
      </c>
      <c r="E57" s="465">
        <v>1273</v>
      </c>
      <c r="F57" s="465">
        <v>1844</v>
      </c>
      <c r="G57" s="453"/>
      <c r="I57" s="452">
        <v>49</v>
      </c>
      <c r="J57" s="465">
        <v>142</v>
      </c>
      <c r="K57" s="465">
        <v>155</v>
      </c>
      <c r="L57" s="453">
        <v>170</v>
      </c>
      <c r="M57" s="453">
        <v>182</v>
      </c>
      <c r="AC57" s="452">
        <v>49</v>
      </c>
      <c r="AD57" s="465">
        <v>2052</v>
      </c>
      <c r="AE57" s="465">
        <v>2345</v>
      </c>
      <c r="AF57" s="453">
        <v>12600</v>
      </c>
      <c r="AG57" s="453">
        <v>14700</v>
      </c>
      <c r="AH57" s="453">
        <v>16800</v>
      </c>
      <c r="AI57" s="453">
        <v>18900</v>
      </c>
      <c r="AJ57" s="453">
        <v>21000</v>
      </c>
      <c r="AK57" s="453">
        <v>24150</v>
      </c>
      <c r="AL57" s="453">
        <v>27300</v>
      </c>
      <c r="AM57" s="527"/>
      <c r="AN57" s="452">
        <v>49</v>
      </c>
      <c r="AO57" s="465">
        <v>331</v>
      </c>
      <c r="AP57" s="465">
        <v>331</v>
      </c>
      <c r="AQ57" s="465">
        <v>331</v>
      </c>
      <c r="AR57" s="465">
        <v>331</v>
      </c>
    </row>
    <row r="58" spans="1:44" ht="20.25" customHeight="1" x14ac:dyDescent="0.25">
      <c r="A58" s="452">
        <v>50</v>
      </c>
      <c r="B58" s="465">
        <v>501</v>
      </c>
      <c r="C58" s="465">
        <v>596</v>
      </c>
      <c r="D58" s="465">
        <v>877</v>
      </c>
      <c r="E58" s="465">
        <v>1273</v>
      </c>
      <c r="F58" s="465">
        <v>1844</v>
      </c>
      <c r="G58" s="453"/>
      <c r="I58" s="452">
        <v>50</v>
      </c>
      <c r="J58" s="465">
        <v>142</v>
      </c>
      <c r="K58" s="465">
        <v>155</v>
      </c>
      <c r="L58" s="453">
        <v>170</v>
      </c>
      <c r="M58" s="453">
        <v>182</v>
      </c>
      <c r="AC58" s="452">
        <v>50</v>
      </c>
      <c r="AD58" s="465">
        <v>2052</v>
      </c>
      <c r="AE58" s="465">
        <v>2345</v>
      </c>
      <c r="AF58" s="453">
        <v>12600</v>
      </c>
      <c r="AG58" s="453">
        <v>14700</v>
      </c>
      <c r="AH58" s="453">
        <v>16800</v>
      </c>
      <c r="AI58" s="453">
        <v>18900</v>
      </c>
      <c r="AJ58" s="453">
        <v>21000</v>
      </c>
      <c r="AK58" s="453">
        <v>24150</v>
      </c>
      <c r="AL58" s="453">
        <v>27300</v>
      </c>
      <c r="AM58" s="527"/>
      <c r="AN58" s="452">
        <v>50</v>
      </c>
      <c r="AO58" s="465">
        <v>331</v>
      </c>
      <c r="AP58" s="465">
        <v>331</v>
      </c>
      <c r="AQ58" s="465">
        <v>331</v>
      </c>
      <c r="AR58" s="465">
        <v>331</v>
      </c>
    </row>
    <row r="59" spans="1:44" ht="20.25" customHeight="1" x14ac:dyDescent="0.25">
      <c r="A59" s="452">
        <v>51</v>
      </c>
      <c r="B59" s="465">
        <v>492</v>
      </c>
      <c r="C59" s="465">
        <v>585</v>
      </c>
      <c r="D59" s="465">
        <v>860</v>
      </c>
      <c r="E59" s="453">
        <v>1249</v>
      </c>
      <c r="F59" s="453">
        <v>1809</v>
      </c>
      <c r="G59" s="453"/>
      <c r="I59" s="452">
        <v>51</v>
      </c>
      <c r="J59" s="465">
        <v>142</v>
      </c>
      <c r="K59" s="465">
        <v>155</v>
      </c>
      <c r="L59" s="453">
        <v>170</v>
      </c>
      <c r="M59" s="453">
        <v>182</v>
      </c>
      <c r="AC59" s="452">
        <v>51</v>
      </c>
      <c r="AD59" s="465">
        <v>2052</v>
      </c>
      <c r="AE59" s="465">
        <v>2345</v>
      </c>
      <c r="AF59" s="465">
        <v>8190</v>
      </c>
      <c r="AG59" s="453">
        <v>10185</v>
      </c>
      <c r="AH59" s="453">
        <v>12180</v>
      </c>
      <c r="AI59" s="453">
        <v>14175</v>
      </c>
      <c r="AJ59" s="453">
        <v>16170</v>
      </c>
      <c r="AK59" s="453">
        <v>19215</v>
      </c>
      <c r="AL59" s="453">
        <v>22260</v>
      </c>
      <c r="AM59" s="527"/>
      <c r="AN59" s="452">
        <v>51</v>
      </c>
      <c r="AO59" s="465">
        <v>331</v>
      </c>
      <c r="AP59" s="465">
        <v>331</v>
      </c>
      <c r="AQ59" s="465">
        <v>331</v>
      </c>
      <c r="AR59" s="465">
        <v>331</v>
      </c>
    </row>
    <row r="60" spans="1:44" ht="20.25" customHeight="1" x14ac:dyDescent="0.25">
      <c r="A60" s="452">
        <v>52</v>
      </c>
      <c r="B60" s="465">
        <v>492</v>
      </c>
      <c r="C60" s="465">
        <v>585</v>
      </c>
      <c r="D60" s="465">
        <v>860</v>
      </c>
      <c r="E60" s="465">
        <v>1249</v>
      </c>
      <c r="F60" s="465">
        <v>1809</v>
      </c>
      <c r="G60" s="453"/>
      <c r="I60" s="452">
        <v>52</v>
      </c>
      <c r="J60" s="465">
        <v>142</v>
      </c>
      <c r="K60" s="465">
        <v>155</v>
      </c>
      <c r="L60" s="453">
        <v>170</v>
      </c>
      <c r="M60" s="453">
        <v>182</v>
      </c>
      <c r="AC60" s="452">
        <v>52</v>
      </c>
      <c r="AD60" s="465">
        <v>2052</v>
      </c>
      <c r="AE60" s="465">
        <v>2345</v>
      </c>
      <c r="AF60" s="465">
        <v>8190</v>
      </c>
      <c r="AG60" s="453">
        <v>10185</v>
      </c>
      <c r="AH60" s="453">
        <v>12180</v>
      </c>
      <c r="AI60" s="453">
        <v>14175</v>
      </c>
      <c r="AJ60" s="453">
        <v>16170</v>
      </c>
      <c r="AK60" s="453">
        <v>19215</v>
      </c>
      <c r="AL60" s="453">
        <v>22260</v>
      </c>
      <c r="AM60" s="527"/>
      <c r="AN60" s="452">
        <v>52</v>
      </c>
      <c r="AO60" s="465">
        <v>331</v>
      </c>
      <c r="AP60" s="465">
        <v>331</v>
      </c>
      <c r="AQ60" s="465">
        <v>331</v>
      </c>
      <c r="AR60" s="465">
        <v>331</v>
      </c>
    </row>
    <row r="61" spans="1:44" ht="20.25" customHeight="1" x14ac:dyDescent="0.25">
      <c r="A61" s="452">
        <v>53</v>
      </c>
      <c r="B61" s="465">
        <v>492</v>
      </c>
      <c r="C61" s="465">
        <v>585</v>
      </c>
      <c r="D61" s="465">
        <v>860</v>
      </c>
      <c r="E61" s="465">
        <v>1249</v>
      </c>
      <c r="F61" s="465">
        <v>1809</v>
      </c>
      <c r="G61" s="453"/>
      <c r="I61" s="452">
        <v>53</v>
      </c>
      <c r="J61" s="465">
        <v>142</v>
      </c>
      <c r="K61" s="465">
        <v>155</v>
      </c>
      <c r="L61" s="453">
        <v>170</v>
      </c>
      <c r="M61" s="453">
        <v>182</v>
      </c>
      <c r="AC61" s="452">
        <v>53</v>
      </c>
      <c r="AD61" s="465">
        <v>2052</v>
      </c>
      <c r="AE61" s="465">
        <v>2345</v>
      </c>
      <c r="AF61" s="465">
        <v>8190</v>
      </c>
      <c r="AG61" s="453">
        <v>10185</v>
      </c>
      <c r="AH61" s="453">
        <v>12180</v>
      </c>
      <c r="AI61" s="453">
        <v>14175</v>
      </c>
      <c r="AJ61" s="453">
        <v>16170</v>
      </c>
      <c r="AK61" s="453">
        <v>19215</v>
      </c>
      <c r="AL61" s="453">
        <v>22260</v>
      </c>
      <c r="AM61" s="527"/>
      <c r="AN61" s="452">
        <v>53</v>
      </c>
      <c r="AO61" s="465">
        <v>331</v>
      </c>
      <c r="AP61" s="465">
        <v>331</v>
      </c>
      <c r="AQ61" s="465">
        <v>331</v>
      </c>
      <c r="AR61" s="465">
        <v>331</v>
      </c>
    </row>
    <row r="62" spans="1:44" ht="20.25" customHeight="1" x14ac:dyDescent="0.25">
      <c r="A62" s="452">
        <v>54</v>
      </c>
      <c r="B62" s="465">
        <v>492</v>
      </c>
      <c r="C62" s="465">
        <v>585</v>
      </c>
      <c r="D62" s="465">
        <v>860</v>
      </c>
      <c r="E62" s="465">
        <v>1249</v>
      </c>
      <c r="F62" s="465">
        <v>1809</v>
      </c>
      <c r="G62" s="453"/>
      <c r="I62" s="452">
        <v>54</v>
      </c>
      <c r="J62" s="465">
        <v>142</v>
      </c>
      <c r="K62" s="465">
        <v>155</v>
      </c>
      <c r="L62" s="453">
        <v>170</v>
      </c>
      <c r="M62" s="453">
        <v>182</v>
      </c>
      <c r="AC62" s="452">
        <v>54</v>
      </c>
      <c r="AD62" s="465">
        <v>2052</v>
      </c>
      <c r="AE62" s="465">
        <v>2345</v>
      </c>
      <c r="AF62" s="465">
        <v>8190</v>
      </c>
      <c r="AG62" s="453">
        <v>10185</v>
      </c>
      <c r="AH62" s="453">
        <v>12180</v>
      </c>
      <c r="AI62" s="453">
        <v>14175</v>
      </c>
      <c r="AJ62" s="453">
        <v>16170</v>
      </c>
      <c r="AK62" s="453">
        <v>19215</v>
      </c>
      <c r="AL62" s="453">
        <v>22260</v>
      </c>
      <c r="AM62" s="527"/>
      <c r="AN62" s="452">
        <v>54</v>
      </c>
      <c r="AO62" s="465">
        <v>331</v>
      </c>
      <c r="AP62" s="465">
        <v>331</v>
      </c>
      <c r="AQ62" s="465">
        <v>331</v>
      </c>
      <c r="AR62" s="465">
        <v>331</v>
      </c>
    </row>
    <row r="63" spans="1:44" ht="20.25" customHeight="1" x14ac:dyDescent="0.25">
      <c r="A63" s="452">
        <v>55</v>
      </c>
      <c r="B63" s="465">
        <v>492</v>
      </c>
      <c r="C63" s="465">
        <v>585</v>
      </c>
      <c r="D63" s="465">
        <v>860</v>
      </c>
      <c r="E63" s="465">
        <v>1249</v>
      </c>
      <c r="F63" s="465">
        <v>1809</v>
      </c>
      <c r="G63" s="453"/>
      <c r="I63" s="452">
        <v>55</v>
      </c>
      <c r="J63" s="465">
        <v>142</v>
      </c>
      <c r="K63" s="465">
        <v>155</v>
      </c>
      <c r="L63" s="453">
        <v>170</v>
      </c>
      <c r="M63" s="453">
        <v>182</v>
      </c>
      <c r="AC63" s="452">
        <v>55</v>
      </c>
      <c r="AD63" s="465">
        <v>2052</v>
      </c>
      <c r="AE63" s="465">
        <v>2345</v>
      </c>
      <c r="AF63" s="465">
        <v>8190</v>
      </c>
      <c r="AG63" s="453">
        <v>10185</v>
      </c>
      <c r="AH63" s="453">
        <v>12180</v>
      </c>
      <c r="AI63" s="453">
        <v>14175</v>
      </c>
      <c r="AJ63" s="453">
        <v>16170</v>
      </c>
      <c r="AK63" s="453">
        <v>19215</v>
      </c>
      <c r="AL63" s="453">
        <v>22260</v>
      </c>
      <c r="AM63" s="527"/>
      <c r="AN63" s="452">
        <v>55</v>
      </c>
      <c r="AO63" s="465">
        <v>331</v>
      </c>
      <c r="AP63" s="465">
        <v>331</v>
      </c>
      <c r="AQ63" s="465">
        <v>331</v>
      </c>
      <c r="AR63" s="465">
        <v>331</v>
      </c>
    </row>
    <row r="64" spans="1:44" ht="20.25" customHeight="1" x14ac:dyDescent="0.25">
      <c r="A64" s="452">
        <v>56</v>
      </c>
      <c r="B64" s="465">
        <v>483</v>
      </c>
      <c r="C64" s="465">
        <v>575</v>
      </c>
      <c r="D64" s="465">
        <v>846</v>
      </c>
      <c r="E64" s="453">
        <v>1227</v>
      </c>
      <c r="F64" s="453">
        <v>1778</v>
      </c>
      <c r="G64" s="453"/>
      <c r="I64" s="452">
        <v>56</v>
      </c>
      <c r="J64" s="465">
        <v>142</v>
      </c>
      <c r="K64" s="465">
        <v>155</v>
      </c>
      <c r="L64" s="453">
        <v>170</v>
      </c>
      <c r="M64" s="453">
        <v>182</v>
      </c>
      <c r="AC64" s="452">
        <v>56</v>
      </c>
      <c r="AD64" s="465">
        <v>2052</v>
      </c>
      <c r="AE64" s="465">
        <v>2345</v>
      </c>
      <c r="AF64" s="465">
        <v>8190</v>
      </c>
      <c r="AG64" s="453">
        <v>10185</v>
      </c>
      <c r="AH64" s="453">
        <v>12180</v>
      </c>
      <c r="AI64" s="453">
        <v>14175</v>
      </c>
      <c r="AJ64" s="453">
        <v>16170</v>
      </c>
      <c r="AK64" s="453">
        <v>19215</v>
      </c>
      <c r="AL64" s="453">
        <v>22260</v>
      </c>
      <c r="AM64" s="527"/>
      <c r="AN64" s="452">
        <v>56</v>
      </c>
      <c r="AO64" s="465">
        <v>331</v>
      </c>
      <c r="AP64" s="465">
        <v>331</v>
      </c>
      <c r="AQ64" s="465">
        <v>331</v>
      </c>
      <c r="AR64" s="465">
        <v>331</v>
      </c>
    </row>
    <row r="65" spans="1:44" ht="20.25" customHeight="1" x14ac:dyDescent="0.25">
      <c r="A65" s="452">
        <v>57</v>
      </c>
      <c r="B65" s="465">
        <v>483</v>
      </c>
      <c r="C65" s="465">
        <v>575</v>
      </c>
      <c r="D65" s="465">
        <v>846</v>
      </c>
      <c r="E65" s="465">
        <v>1227</v>
      </c>
      <c r="F65" s="465">
        <v>1778</v>
      </c>
      <c r="G65" s="453"/>
      <c r="I65" s="452">
        <v>57</v>
      </c>
      <c r="J65" s="465">
        <v>142</v>
      </c>
      <c r="K65" s="465">
        <v>155</v>
      </c>
      <c r="L65" s="453">
        <v>170</v>
      </c>
      <c r="M65" s="453">
        <v>182</v>
      </c>
      <c r="AC65" s="452">
        <v>57</v>
      </c>
      <c r="AD65" s="465">
        <v>2052</v>
      </c>
      <c r="AE65" s="465">
        <v>2345</v>
      </c>
      <c r="AF65" s="465">
        <v>8190</v>
      </c>
      <c r="AG65" s="453">
        <v>10185</v>
      </c>
      <c r="AH65" s="453">
        <v>12180</v>
      </c>
      <c r="AI65" s="453">
        <v>14175</v>
      </c>
      <c r="AJ65" s="453">
        <v>16170</v>
      </c>
      <c r="AK65" s="453">
        <v>19215</v>
      </c>
      <c r="AL65" s="453">
        <v>22260</v>
      </c>
      <c r="AM65" s="527"/>
      <c r="AN65" s="452">
        <v>57</v>
      </c>
      <c r="AO65" s="465">
        <v>331</v>
      </c>
      <c r="AP65" s="465">
        <v>331</v>
      </c>
      <c r="AQ65" s="465">
        <v>331</v>
      </c>
      <c r="AR65" s="465">
        <v>331</v>
      </c>
    </row>
    <row r="66" spans="1:44" ht="20.25" customHeight="1" x14ac:dyDescent="0.25">
      <c r="A66" s="452">
        <v>58</v>
      </c>
      <c r="B66" s="465">
        <v>483</v>
      </c>
      <c r="C66" s="465">
        <v>575</v>
      </c>
      <c r="D66" s="465">
        <v>846</v>
      </c>
      <c r="E66" s="465">
        <v>1227</v>
      </c>
      <c r="F66" s="465">
        <v>1778</v>
      </c>
      <c r="G66" s="453"/>
      <c r="I66" s="452">
        <v>58</v>
      </c>
      <c r="J66" s="465">
        <v>142</v>
      </c>
      <c r="K66" s="465">
        <v>155</v>
      </c>
      <c r="L66" s="453">
        <v>170</v>
      </c>
      <c r="M66" s="453">
        <v>182</v>
      </c>
      <c r="AC66" s="452">
        <v>58</v>
      </c>
      <c r="AD66" s="465">
        <v>2052</v>
      </c>
      <c r="AE66" s="465">
        <v>2345</v>
      </c>
      <c r="AF66" s="465">
        <v>8190</v>
      </c>
      <c r="AG66" s="453">
        <v>10185</v>
      </c>
      <c r="AH66" s="453">
        <v>12180</v>
      </c>
      <c r="AI66" s="453">
        <v>14175</v>
      </c>
      <c r="AJ66" s="453">
        <v>16170</v>
      </c>
      <c r="AK66" s="453">
        <v>19215</v>
      </c>
      <c r="AL66" s="453">
        <v>22260</v>
      </c>
      <c r="AM66" s="527"/>
      <c r="AN66" s="452">
        <v>58</v>
      </c>
      <c r="AO66" s="465">
        <v>331</v>
      </c>
      <c r="AP66" s="465">
        <v>331</v>
      </c>
      <c r="AQ66" s="465">
        <v>331</v>
      </c>
      <c r="AR66" s="465">
        <v>331</v>
      </c>
    </row>
    <row r="67" spans="1:44" ht="20.25" customHeight="1" x14ac:dyDescent="0.25">
      <c r="A67" s="452">
        <v>59</v>
      </c>
      <c r="B67" s="465">
        <v>483</v>
      </c>
      <c r="C67" s="465">
        <v>575</v>
      </c>
      <c r="D67" s="465">
        <v>846</v>
      </c>
      <c r="E67" s="465">
        <v>1227</v>
      </c>
      <c r="F67" s="465">
        <v>1778</v>
      </c>
      <c r="G67" s="453"/>
      <c r="I67" s="452">
        <v>59</v>
      </c>
      <c r="J67" s="465">
        <v>142</v>
      </c>
      <c r="K67" s="465">
        <v>155</v>
      </c>
      <c r="L67" s="453">
        <v>170</v>
      </c>
      <c r="M67" s="453">
        <v>182</v>
      </c>
      <c r="AC67" s="452">
        <v>59</v>
      </c>
      <c r="AD67" s="465">
        <v>2052</v>
      </c>
      <c r="AE67" s="465">
        <v>2345</v>
      </c>
      <c r="AF67" s="465">
        <v>8190</v>
      </c>
      <c r="AG67" s="453">
        <v>10185</v>
      </c>
      <c r="AH67" s="453">
        <v>12180</v>
      </c>
      <c r="AI67" s="453">
        <v>14175</v>
      </c>
      <c r="AJ67" s="453">
        <v>16170</v>
      </c>
      <c r="AK67" s="453">
        <v>19215</v>
      </c>
      <c r="AL67" s="453">
        <v>22260</v>
      </c>
      <c r="AM67" s="527"/>
      <c r="AN67" s="452">
        <v>59</v>
      </c>
      <c r="AO67" s="465">
        <v>331</v>
      </c>
      <c r="AP67" s="465">
        <v>331</v>
      </c>
      <c r="AQ67" s="465">
        <v>331</v>
      </c>
      <c r="AR67" s="465">
        <v>331</v>
      </c>
    </row>
    <row r="68" spans="1:44" ht="20.25" customHeight="1" x14ac:dyDescent="0.25">
      <c r="A68" s="452">
        <v>60</v>
      </c>
      <c r="B68" s="465">
        <v>483</v>
      </c>
      <c r="C68" s="465">
        <v>575</v>
      </c>
      <c r="D68" s="465">
        <v>846</v>
      </c>
      <c r="E68" s="465">
        <v>1227</v>
      </c>
      <c r="F68" s="465">
        <v>1778</v>
      </c>
      <c r="G68" s="453"/>
      <c r="I68" s="452">
        <v>60</v>
      </c>
      <c r="J68" s="465">
        <v>142</v>
      </c>
      <c r="K68" s="465">
        <v>155</v>
      </c>
      <c r="L68" s="453">
        <v>170</v>
      </c>
      <c r="M68" s="453">
        <v>182</v>
      </c>
      <c r="AC68" s="452">
        <v>60</v>
      </c>
      <c r="AD68" s="465">
        <v>2052</v>
      </c>
      <c r="AE68" s="465">
        <v>2345</v>
      </c>
      <c r="AF68" s="465">
        <v>8190</v>
      </c>
      <c r="AG68" s="453">
        <v>10185</v>
      </c>
      <c r="AH68" s="453">
        <v>12180</v>
      </c>
      <c r="AI68" s="453">
        <v>14175</v>
      </c>
      <c r="AJ68" s="453">
        <v>16170</v>
      </c>
      <c r="AK68" s="453">
        <v>19215</v>
      </c>
      <c r="AL68" s="453">
        <v>22260</v>
      </c>
      <c r="AM68" s="527"/>
      <c r="AN68" s="452">
        <v>60</v>
      </c>
      <c r="AO68" s="465">
        <v>331</v>
      </c>
      <c r="AP68" s="465">
        <v>331</v>
      </c>
      <c r="AQ68" s="465">
        <v>331</v>
      </c>
      <c r="AR68" s="465">
        <v>331</v>
      </c>
    </row>
    <row r="69" spans="1:44" ht="20.25" customHeight="1" x14ac:dyDescent="0.25">
      <c r="A69" s="452">
        <v>61</v>
      </c>
      <c r="B69" s="465">
        <v>476</v>
      </c>
      <c r="C69" s="465">
        <v>566</v>
      </c>
      <c r="D69" s="465">
        <v>833</v>
      </c>
      <c r="E69" s="453">
        <v>1209</v>
      </c>
      <c r="F69" s="453">
        <v>1752</v>
      </c>
      <c r="G69" s="453"/>
      <c r="I69" s="452">
        <v>61</v>
      </c>
      <c r="J69" s="465">
        <v>142</v>
      </c>
      <c r="K69" s="465">
        <v>155</v>
      </c>
      <c r="L69" s="453">
        <v>170</v>
      </c>
      <c r="M69" s="453">
        <v>182</v>
      </c>
      <c r="AC69" s="452">
        <v>61</v>
      </c>
      <c r="AD69" s="465">
        <v>2052</v>
      </c>
      <c r="AE69" s="465">
        <v>2345</v>
      </c>
      <c r="AF69" s="465">
        <v>8190</v>
      </c>
      <c r="AG69" s="453">
        <v>10185</v>
      </c>
      <c r="AH69" s="453">
        <v>12180</v>
      </c>
      <c r="AI69" s="453">
        <v>14175</v>
      </c>
      <c r="AJ69" s="453">
        <v>16170</v>
      </c>
      <c r="AK69" s="453">
        <v>19215</v>
      </c>
      <c r="AL69" s="453">
        <v>22260</v>
      </c>
      <c r="AM69" s="527"/>
      <c r="AN69" s="452">
        <v>61</v>
      </c>
      <c r="AO69" s="465">
        <v>331</v>
      </c>
      <c r="AP69" s="465">
        <v>331</v>
      </c>
      <c r="AQ69" s="465">
        <v>331</v>
      </c>
      <c r="AR69" s="465">
        <v>331</v>
      </c>
    </row>
    <row r="70" spans="1:44" ht="20.25" customHeight="1" x14ac:dyDescent="0.25">
      <c r="A70" s="452">
        <v>62</v>
      </c>
      <c r="B70" s="465">
        <v>476</v>
      </c>
      <c r="C70" s="465">
        <v>566</v>
      </c>
      <c r="D70" s="465">
        <v>833</v>
      </c>
      <c r="E70" s="465">
        <v>1209</v>
      </c>
      <c r="F70" s="465">
        <v>1752</v>
      </c>
      <c r="G70" s="453"/>
      <c r="I70" s="452">
        <v>62</v>
      </c>
      <c r="J70" s="465">
        <v>142</v>
      </c>
      <c r="K70" s="465">
        <v>155</v>
      </c>
      <c r="L70" s="453">
        <v>170</v>
      </c>
      <c r="M70" s="453">
        <v>182</v>
      </c>
      <c r="AC70" s="452">
        <v>62</v>
      </c>
      <c r="AD70" s="465">
        <v>2052</v>
      </c>
      <c r="AE70" s="465">
        <v>2345</v>
      </c>
      <c r="AF70" s="465">
        <v>8190</v>
      </c>
      <c r="AG70" s="453">
        <v>10185</v>
      </c>
      <c r="AH70" s="453">
        <v>12180</v>
      </c>
      <c r="AI70" s="453">
        <v>14175</v>
      </c>
      <c r="AJ70" s="453">
        <v>16170</v>
      </c>
      <c r="AK70" s="453">
        <v>19215</v>
      </c>
      <c r="AL70" s="453">
        <v>22260</v>
      </c>
      <c r="AM70" s="527"/>
      <c r="AN70" s="452">
        <v>62</v>
      </c>
      <c r="AO70" s="465">
        <v>331</v>
      </c>
      <c r="AP70" s="465">
        <v>331</v>
      </c>
      <c r="AQ70" s="465">
        <v>331</v>
      </c>
      <c r="AR70" s="465">
        <v>331</v>
      </c>
    </row>
    <row r="71" spans="1:44" ht="20.25" customHeight="1" x14ac:dyDescent="0.25">
      <c r="A71" s="452">
        <v>63</v>
      </c>
      <c r="B71" s="465">
        <v>476</v>
      </c>
      <c r="C71" s="465">
        <v>566</v>
      </c>
      <c r="D71" s="465">
        <v>833</v>
      </c>
      <c r="E71" s="465">
        <v>1209</v>
      </c>
      <c r="F71" s="465">
        <v>1752</v>
      </c>
      <c r="G71" s="453"/>
      <c r="I71" s="452">
        <v>63</v>
      </c>
      <c r="J71" s="465">
        <v>142</v>
      </c>
      <c r="K71" s="465">
        <v>155</v>
      </c>
      <c r="L71" s="453">
        <v>170</v>
      </c>
      <c r="M71" s="453">
        <v>182</v>
      </c>
      <c r="AC71" s="452">
        <v>63</v>
      </c>
      <c r="AD71" s="465">
        <v>2052</v>
      </c>
      <c r="AE71" s="465">
        <v>2345</v>
      </c>
      <c r="AF71" s="465">
        <v>8190</v>
      </c>
      <c r="AG71" s="453">
        <v>10185</v>
      </c>
      <c r="AH71" s="453">
        <v>12180</v>
      </c>
      <c r="AI71" s="453">
        <v>14175</v>
      </c>
      <c r="AJ71" s="453">
        <v>16170</v>
      </c>
      <c r="AK71" s="453">
        <v>19215</v>
      </c>
      <c r="AL71" s="453">
        <v>22260</v>
      </c>
      <c r="AM71" s="527"/>
      <c r="AN71" s="452">
        <v>63</v>
      </c>
      <c r="AO71" s="465">
        <v>331</v>
      </c>
      <c r="AP71" s="465">
        <v>331</v>
      </c>
      <c r="AQ71" s="465">
        <v>331</v>
      </c>
      <c r="AR71" s="465">
        <v>331</v>
      </c>
    </row>
    <row r="72" spans="1:44" ht="20.25" customHeight="1" x14ac:dyDescent="0.25">
      <c r="A72" s="452">
        <v>64</v>
      </c>
      <c r="B72" s="465">
        <v>476</v>
      </c>
      <c r="C72" s="465">
        <v>566</v>
      </c>
      <c r="D72" s="465">
        <v>833</v>
      </c>
      <c r="E72" s="465">
        <v>1209</v>
      </c>
      <c r="F72" s="465">
        <v>1752</v>
      </c>
      <c r="G72" s="453"/>
      <c r="I72" s="452">
        <v>64</v>
      </c>
      <c r="J72" s="465">
        <v>142</v>
      </c>
      <c r="K72" s="465">
        <v>155</v>
      </c>
      <c r="L72" s="453">
        <v>170</v>
      </c>
      <c r="M72" s="453">
        <v>182</v>
      </c>
      <c r="AC72" s="452">
        <v>64</v>
      </c>
      <c r="AD72" s="465">
        <v>2052</v>
      </c>
      <c r="AE72" s="465">
        <v>2345</v>
      </c>
      <c r="AF72" s="465">
        <v>8190</v>
      </c>
      <c r="AG72" s="453">
        <v>10185</v>
      </c>
      <c r="AH72" s="453">
        <v>12180</v>
      </c>
      <c r="AI72" s="453">
        <v>14175</v>
      </c>
      <c r="AJ72" s="453">
        <v>16170</v>
      </c>
      <c r="AK72" s="453">
        <v>19215</v>
      </c>
      <c r="AL72" s="453">
        <v>22260</v>
      </c>
      <c r="AM72" s="527"/>
      <c r="AN72" s="452">
        <v>64</v>
      </c>
      <c r="AO72" s="465">
        <v>331</v>
      </c>
      <c r="AP72" s="465">
        <v>331</v>
      </c>
      <c r="AQ72" s="465">
        <v>331</v>
      </c>
      <c r="AR72" s="465">
        <v>331</v>
      </c>
    </row>
    <row r="73" spans="1:44" ht="20.25" customHeight="1" x14ac:dyDescent="0.25">
      <c r="A73" s="452">
        <v>65</v>
      </c>
      <c r="B73" s="465">
        <v>476</v>
      </c>
      <c r="C73" s="465">
        <v>566</v>
      </c>
      <c r="D73" s="465">
        <v>833</v>
      </c>
      <c r="E73" s="465">
        <v>1209</v>
      </c>
      <c r="F73" s="465">
        <v>1752</v>
      </c>
      <c r="G73" s="453"/>
      <c r="I73" s="452">
        <v>65</v>
      </c>
      <c r="J73" s="465">
        <v>142</v>
      </c>
      <c r="K73" s="465">
        <v>155</v>
      </c>
      <c r="L73" s="453">
        <v>170</v>
      </c>
      <c r="M73" s="453">
        <v>182</v>
      </c>
      <c r="AC73" s="452">
        <v>65</v>
      </c>
      <c r="AD73" s="465">
        <v>2052</v>
      </c>
      <c r="AE73" s="465">
        <v>2345</v>
      </c>
      <c r="AF73" s="465">
        <v>8190</v>
      </c>
      <c r="AG73" s="453">
        <v>10185</v>
      </c>
      <c r="AH73" s="453">
        <v>12180</v>
      </c>
      <c r="AI73" s="453">
        <v>14175</v>
      </c>
      <c r="AJ73" s="453">
        <v>16170</v>
      </c>
      <c r="AK73" s="453">
        <v>19215</v>
      </c>
      <c r="AL73" s="453">
        <v>22260</v>
      </c>
      <c r="AM73" s="527"/>
      <c r="AN73" s="452">
        <v>65</v>
      </c>
      <c r="AO73" s="465">
        <v>331</v>
      </c>
      <c r="AP73" s="465">
        <v>331</v>
      </c>
      <c r="AQ73" s="465">
        <v>331</v>
      </c>
      <c r="AR73" s="465">
        <v>331</v>
      </c>
    </row>
    <row r="74" spans="1:44" ht="20.25" customHeight="1" x14ac:dyDescent="0.25">
      <c r="A74" s="452">
        <v>66</v>
      </c>
      <c r="B74" s="465">
        <v>476</v>
      </c>
      <c r="C74" s="465">
        <v>566</v>
      </c>
      <c r="D74" s="465">
        <v>833</v>
      </c>
      <c r="E74" s="465">
        <v>1209</v>
      </c>
      <c r="F74" s="465">
        <v>1752</v>
      </c>
      <c r="G74" s="453"/>
      <c r="I74" s="452">
        <v>66</v>
      </c>
      <c r="J74" s="465">
        <v>142</v>
      </c>
      <c r="K74" s="465">
        <v>155</v>
      </c>
      <c r="L74" s="453">
        <v>170</v>
      </c>
      <c r="M74" s="453">
        <v>182</v>
      </c>
      <c r="AC74" s="452">
        <v>66</v>
      </c>
      <c r="AD74" s="465">
        <v>2052</v>
      </c>
      <c r="AE74" s="465">
        <v>2345</v>
      </c>
      <c r="AF74" s="465">
        <v>8190</v>
      </c>
      <c r="AG74" s="453">
        <v>10185</v>
      </c>
      <c r="AH74" s="453">
        <v>12180</v>
      </c>
      <c r="AI74" s="453">
        <v>14175</v>
      </c>
      <c r="AJ74" s="453">
        <v>16170</v>
      </c>
      <c r="AK74" s="453">
        <v>19215</v>
      </c>
      <c r="AL74" s="453">
        <v>22260</v>
      </c>
      <c r="AM74" s="527"/>
      <c r="AN74" s="452">
        <v>66</v>
      </c>
      <c r="AO74" s="465">
        <v>331</v>
      </c>
      <c r="AP74" s="465">
        <v>331</v>
      </c>
      <c r="AQ74" s="465">
        <v>331</v>
      </c>
      <c r="AR74" s="465">
        <v>331</v>
      </c>
    </row>
    <row r="75" spans="1:44" ht="20.25" customHeight="1" x14ac:dyDescent="0.25">
      <c r="A75" s="452">
        <v>67</v>
      </c>
      <c r="B75" s="465">
        <v>476</v>
      </c>
      <c r="C75" s="465">
        <v>566</v>
      </c>
      <c r="D75" s="465">
        <v>833</v>
      </c>
      <c r="E75" s="465">
        <v>1209</v>
      </c>
      <c r="F75" s="465">
        <v>1752</v>
      </c>
      <c r="G75" s="453"/>
      <c r="I75" s="452">
        <v>67</v>
      </c>
      <c r="J75" s="465">
        <v>142</v>
      </c>
      <c r="K75" s="465">
        <v>155</v>
      </c>
      <c r="L75" s="453">
        <v>170</v>
      </c>
      <c r="M75" s="453">
        <v>182</v>
      </c>
      <c r="AC75" s="452">
        <v>67</v>
      </c>
      <c r="AD75" s="465">
        <v>2052</v>
      </c>
      <c r="AE75" s="465">
        <v>2345</v>
      </c>
      <c r="AF75" s="465">
        <v>8190</v>
      </c>
      <c r="AG75" s="453">
        <v>10185</v>
      </c>
      <c r="AH75" s="453">
        <v>12180</v>
      </c>
      <c r="AI75" s="453">
        <v>14175</v>
      </c>
      <c r="AJ75" s="453">
        <v>16170</v>
      </c>
      <c r="AK75" s="453">
        <v>19215</v>
      </c>
      <c r="AL75" s="453">
        <v>22260</v>
      </c>
      <c r="AM75" s="527"/>
      <c r="AN75" s="452">
        <v>67</v>
      </c>
      <c r="AO75" s="465">
        <v>331</v>
      </c>
      <c r="AP75" s="465">
        <v>331</v>
      </c>
      <c r="AQ75" s="465">
        <v>331</v>
      </c>
      <c r="AR75" s="465">
        <v>331</v>
      </c>
    </row>
    <row r="76" spans="1:44" ht="20.25" customHeight="1" x14ac:dyDescent="0.25">
      <c r="A76" s="452">
        <v>68</v>
      </c>
      <c r="B76" s="465">
        <v>476</v>
      </c>
      <c r="C76" s="465">
        <v>566</v>
      </c>
      <c r="D76" s="465">
        <v>833</v>
      </c>
      <c r="E76" s="465">
        <v>1209</v>
      </c>
      <c r="F76" s="465">
        <v>1752</v>
      </c>
      <c r="G76" s="453"/>
      <c r="I76" s="452">
        <v>68</v>
      </c>
      <c r="J76" s="465">
        <v>142</v>
      </c>
      <c r="K76" s="465">
        <v>155</v>
      </c>
      <c r="L76" s="453">
        <v>170</v>
      </c>
      <c r="M76" s="453">
        <v>182</v>
      </c>
      <c r="AC76" s="452">
        <v>68</v>
      </c>
      <c r="AD76" s="465">
        <v>2052</v>
      </c>
      <c r="AE76" s="465">
        <v>2345</v>
      </c>
      <c r="AF76" s="465">
        <v>8190</v>
      </c>
      <c r="AG76" s="453">
        <v>10185</v>
      </c>
      <c r="AH76" s="453">
        <v>12180</v>
      </c>
      <c r="AI76" s="453">
        <v>14175</v>
      </c>
      <c r="AJ76" s="453">
        <v>16170</v>
      </c>
      <c r="AK76" s="453">
        <v>19215</v>
      </c>
      <c r="AL76" s="453">
        <v>22260</v>
      </c>
      <c r="AM76" s="527"/>
      <c r="AN76" s="452">
        <v>68</v>
      </c>
      <c r="AO76" s="465">
        <v>331</v>
      </c>
      <c r="AP76" s="465">
        <v>331</v>
      </c>
      <c r="AQ76" s="465">
        <v>331</v>
      </c>
      <c r="AR76" s="465">
        <v>331</v>
      </c>
    </row>
    <row r="77" spans="1:44" ht="20.25" customHeight="1" x14ac:dyDescent="0.25">
      <c r="A77" s="452">
        <v>69</v>
      </c>
      <c r="B77" s="465">
        <v>476</v>
      </c>
      <c r="C77" s="465">
        <v>566</v>
      </c>
      <c r="D77" s="465">
        <v>833</v>
      </c>
      <c r="E77" s="465">
        <v>1209</v>
      </c>
      <c r="F77" s="465">
        <v>1752</v>
      </c>
      <c r="G77" s="453"/>
      <c r="I77" s="452">
        <v>69</v>
      </c>
      <c r="J77" s="465">
        <v>142</v>
      </c>
      <c r="K77" s="465">
        <v>155</v>
      </c>
      <c r="L77" s="453">
        <v>170</v>
      </c>
      <c r="M77" s="453">
        <v>182</v>
      </c>
      <c r="AC77" s="452">
        <v>69</v>
      </c>
      <c r="AD77" s="465">
        <v>2052</v>
      </c>
      <c r="AE77" s="465">
        <v>2345</v>
      </c>
      <c r="AF77" s="465">
        <v>8190</v>
      </c>
      <c r="AG77" s="453">
        <v>10185</v>
      </c>
      <c r="AH77" s="453">
        <v>12180</v>
      </c>
      <c r="AI77" s="453">
        <v>14175</v>
      </c>
      <c r="AJ77" s="453">
        <v>16170</v>
      </c>
      <c r="AK77" s="453">
        <v>19215</v>
      </c>
      <c r="AL77" s="453">
        <v>22260</v>
      </c>
      <c r="AM77" s="527"/>
      <c r="AN77" s="452">
        <v>69</v>
      </c>
      <c r="AO77" s="465">
        <v>331</v>
      </c>
      <c r="AP77" s="465">
        <v>331</v>
      </c>
      <c r="AQ77" s="465">
        <v>331</v>
      </c>
      <c r="AR77" s="465">
        <v>331</v>
      </c>
    </row>
    <row r="78" spans="1:44" ht="20.25" customHeight="1" x14ac:dyDescent="0.25">
      <c r="A78" s="452">
        <v>70</v>
      </c>
      <c r="B78" s="465">
        <v>476</v>
      </c>
      <c r="C78" s="465">
        <v>566</v>
      </c>
      <c r="D78" s="465">
        <v>833</v>
      </c>
      <c r="E78" s="465">
        <v>1209</v>
      </c>
      <c r="F78" s="465">
        <v>1752</v>
      </c>
      <c r="G78" s="453"/>
      <c r="I78" s="452">
        <v>70</v>
      </c>
      <c r="J78" s="465">
        <v>142</v>
      </c>
      <c r="K78" s="465">
        <v>155</v>
      </c>
      <c r="L78" s="453">
        <v>170</v>
      </c>
      <c r="M78" s="453">
        <v>182</v>
      </c>
      <c r="AC78" s="452">
        <v>70</v>
      </c>
      <c r="AD78" s="465">
        <v>2052</v>
      </c>
      <c r="AE78" s="465">
        <v>2345</v>
      </c>
      <c r="AF78" s="465">
        <v>8190</v>
      </c>
      <c r="AG78" s="453">
        <v>10185</v>
      </c>
      <c r="AH78" s="453">
        <v>12180</v>
      </c>
      <c r="AI78" s="453">
        <v>14175</v>
      </c>
      <c r="AJ78" s="453">
        <v>16170</v>
      </c>
      <c r="AK78" s="453">
        <v>19215</v>
      </c>
      <c r="AL78" s="453">
        <v>22260</v>
      </c>
      <c r="AM78" s="527"/>
      <c r="AN78" s="452">
        <v>70</v>
      </c>
      <c r="AO78" s="465">
        <v>331</v>
      </c>
      <c r="AP78" s="465">
        <v>331</v>
      </c>
      <c r="AQ78" s="465">
        <v>331</v>
      </c>
      <c r="AR78" s="465">
        <v>331</v>
      </c>
    </row>
    <row r="79" spans="1:44" ht="20.25" customHeight="1" x14ac:dyDescent="0.25">
      <c r="A79" s="452">
        <v>71</v>
      </c>
      <c r="B79" s="465">
        <v>470</v>
      </c>
      <c r="C79" s="465">
        <v>559</v>
      </c>
      <c r="D79" s="465">
        <v>822</v>
      </c>
      <c r="E79" s="453">
        <v>1193</v>
      </c>
      <c r="F79" s="453">
        <v>1729</v>
      </c>
      <c r="G79" s="453"/>
      <c r="I79" s="452">
        <v>71</v>
      </c>
      <c r="J79" s="465">
        <v>142</v>
      </c>
      <c r="K79" s="465">
        <v>155</v>
      </c>
      <c r="L79" s="453">
        <v>170</v>
      </c>
      <c r="M79" s="453">
        <v>182</v>
      </c>
      <c r="AC79" s="452">
        <v>71</v>
      </c>
      <c r="AD79" s="465">
        <v>2052</v>
      </c>
      <c r="AE79" s="465">
        <v>2345</v>
      </c>
      <c r="AF79" s="465">
        <v>8190</v>
      </c>
      <c r="AG79" s="453">
        <v>10185</v>
      </c>
      <c r="AH79" s="453">
        <v>12180</v>
      </c>
      <c r="AI79" s="453">
        <v>14175</v>
      </c>
      <c r="AJ79" s="453">
        <v>16170</v>
      </c>
      <c r="AK79" s="453">
        <v>19215</v>
      </c>
      <c r="AL79" s="453">
        <v>22260</v>
      </c>
      <c r="AM79" s="527"/>
      <c r="AN79" s="452">
        <v>71</v>
      </c>
      <c r="AO79" s="465">
        <v>331</v>
      </c>
      <c r="AP79" s="465">
        <v>331</v>
      </c>
      <c r="AQ79" s="465">
        <v>331</v>
      </c>
      <c r="AR79" s="465">
        <v>331</v>
      </c>
    </row>
    <row r="80" spans="1:44" ht="20.25" customHeight="1" x14ac:dyDescent="0.25">
      <c r="A80" s="452">
        <v>72</v>
      </c>
      <c r="B80" s="465">
        <v>470</v>
      </c>
      <c r="C80" s="465">
        <v>559</v>
      </c>
      <c r="D80" s="465">
        <v>822</v>
      </c>
      <c r="E80" s="465">
        <v>1193</v>
      </c>
      <c r="F80" s="465">
        <v>1729</v>
      </c>
      <c r="G80" s="453"/>
      <c r="I80" s="452">
        <v>72</v>
      </c>
      <c r="J80" s="465">
        <v>142</v>
      </c>
      <c r="K80" s="465">
        <v>155</v>
      </c>
      <c r="L80" s="453">
        <v>170</v>
      </c>
      <c r="M80" s="453">
        <v>182</v>
      </c>
      <c r="AC80" s="452">
        <v>72</v>
      </c>
      <c r="AD80" s="465">
        <v>2052</v>
      </c>
      <c r="AE80" s="465">
        <v>2345</v>
      </c>
      <c r="AF80" s="465">
        <v>8190</v>
      </c>
      <c r="AG80" s="453">
        <v>10185</v>
      </c>
      <c r="AH80" s="453">
        <v>12180</v>
      </c>
      <c r="AI80" s="453">
        <v>14175</v>
      </c>
      <c r="AJ80" s="453">
        <v>16170</v>
      </c>
      <c r="AK80" s="453">
        <v>19215</v>
      </c>
      <c r="AL80" s="453">
        <v>22260</v>
      </c>
      <c r="AM80" s="527"/>
      <c r="AN80" s="452">
        <v>72</v>
      </c>
      <c r="AO80" s="465">
        <v>331</v>
      </c>
      <c r="AP80" s="465">
        <v>331</v>
      </c>
      <c r="AQ80" s="465">
        <v>331</v>
      </c>
      <c r="AR80" s="465">
        <v>331</v>
      </c>
    </row>
    <row r="81" spans="1:44" ht="20.25" customHeight="1" x14ac:dyDescent="0.25">
      <c r="A81" s="452">
        <v>73</v>
      </c>
      <c r="B81" s="465">
        <v>470</v>
      </c>
      <c r="C81" s="465">
        <v>559</v>
      </c>
      <c r="D81" s="465">
        <v>822</v>
      </c>
      <c r="E81" s="465">
        <v>1193</v>
      </c>
      <c r="F81" s="465">
        <v>1729</v>
      </c>
      <c r="G81" s="453"/>
      <c r="I81" s="452">
        <v>73</v>
      </c>
      <c r="J81" s="465">
        <v>142</v>
      </c>
      <c r="K81" s="465">
        <v>155</v>
      </c>
      <c r="L81" s="453">
        <v>170</v>
      </c>
      <c r="M81" s="453">
        <v>182</v>
      </c>
      <c r="AC81" s="452">
        <v>73</v>
      </c>
      <c r="AD81" s="465">
        <v>2052</v>
      </c>
      <c r="AE81" s="465">
        <v>2345</v>
      </c>
      <c r="AF81" s="465">
        <v>8190</v>
      </c>
      <c r="AG81" s="453">
        <v>10185</v>
      </c>
      <c r="AH81" s="453">
        <v>12180</v>
      </c>
      <c r="AI81" s="453">
        <v>14175</v>
      </c>
      <c r="AJ81" s="453">
        <v>16170</v>
      </c>
      <c r="AK81" s="453">
        <v>19215</v>
      </c>
      <c r="AL81" s="453">
        <v>22260</v>
      </c>
      <c r="AM81" s="527"/>
      <c r="AN81" s="452">
        <v>73</v>
      </c>
      <c r="AO81" s="465">
        <v>331</v>
      </c>
      <c r="AP81" s="465">
        <v>331</v>
      </c>
      <c r="AQ81" s="465">
        <v>331</v>
      </c>
      <c r="AR81" s="465">
        <v>331</v>
      </c>
    </row>
    <row r="82" spans="1:44" ht="20.25" customHeight="1" x14ac:dyDescent="0.25">
      <c r="A82" s="452">
        <v>74</v>
      </c>
      <c r="B82" s="465">
        <v>470</v>
      </c>
      <c r="C82" s="465">
        <v>559</v>
      </c>
      <c r="D82" s="465">
        <v>822</v>
      </c>
      <c r="E82" s="465">
        <v>1193</v>
      </c>
      <c r="F82" s="465">
        <v>1729</v>
      </c>
      <c r="G82" s="453"/>
      <c r="I82" s="452">
        <v>74</v>
      </c>
      <c r="J82" s="465">
        <v>142</v>
      </c>
      <c r="K82" s="465">
        <v>155</v>
      </c>
      <c r="L82" s="453">
        <v>170</v>
      </c>
      <c r="M82" s="453">
        <v>182</v>
      </c>
      <c r="AC82" s="452">
        <v>74</v>
      </c>
      <c r="AD82" s="465">
        <v>2052</v>
      </c>
      <c r="AE82" s="465">
        <v>2345</v>
      </c>
      <c r="AF82" s="465">
        <v>8190</v>
      </c>
      <c r="AG82" s="453">
        <v>10185</v>
      </c>
      <c r="AH82" s="453">
        <v>12180</v>
      </c>
      <c r="AI82" s="453">
        <v>14175</v>
      </c>
      <c r="AJ82" s="453">
        <v>16170</v>
      </c>
      <c r="AK82" s="453">
        <v>19215</v>
      </c>
      <c r="AL82" s="453">
        <v>22260</v>
      </c>
      <c r="AM82" s="527"/>
      <c r="AN82" s="452">
        <v>74</v>
      </c>
      <c r="AO82" s="465">
        <v>331</v>
      </c>
      <c r="AP82" s="465">
        <v>331</v>
      </c>
      <c r="AQ82" s="465">
        <v>331</v>
      </c>
      <c r="AR82" s="465">
        <v>331</v>
      </c>
    </row>
    <row r="83" spans="1:44" ht="20.25" customHeight="1" x14ac:dyDescent="0.25">
      <c r="A83" s="452">
        <v>75</v>
      </c>
      <c r="B83" s="465">
        <v>470</v>
      </c>
      <c r="C83" s="465">
        <v>559</v>
      </c>
      <c r="D83" s="465">
        <v>822</v>
      </c>
      <c r="E83" s="465">
        <v>1193</v>
      </c>
      <c r="F83" s="465">
        <v>1729</v>
      </c>
      <c r="G83" s="453"/>
      <c r="I83" s="452">
        <v>75</v>
      </c>
      <c r="J83" s="465">
        <v>142</v>
      </c>
      <c r="K83" s="465">
        <v>155</v>
      </c>
      <c r="L83" s="453">
        <v>170</v>
      </c>
      <c r="M83" s="453">
        <v>182</v>
      </c>
      <c r="AC83" s="452">
        <v>75</v>
      </c>
      <c r="AD83" s="465">
        <v>2052</v>
      </c>
      <c r="AE83" s="465">
        <v>2345</v>
      </c>
      <c r="AF83" s="465">
        <v>8190</v>
      </c>
      <c r="AG83" s="453">
        <v>10185</v>
      </c>
      <c r="AH83" s="453">
        <v>12180</v>
      </c>
      <c r="AI83" s="453">
        <v>14175</v>
      </c>
      <c r="AJ83" s="453">
        <v>16170</v>
      </c>
      <c r="AK83" s="453">
        <v>19215</v>
      </c>
      <c r="AL83" s="453">
        <v>22260</v>
      </c>
      <c r="AM83" s="527"/>
      <c r="AN83" s="452">
        <v>75</v>
      </c>
      <c r="AO83" s="465">
        <v>331</v>
      </c>
      <c r="AP83" s="465">
        <v>331</v>
      </c>
      <c r="AQ83" s="465">
        <v>331</v>
      </c>
      <c r="AR83" s="465">
        <v>331</v>
      </c>
    </row>
    <row r="84" spans="1:44" ht="20.25" customHeight="1" x14ac:dyDescent="0.25">
      <c r="A84" s="452">
        <v>76</v>
      </c>
      <c r="B84" s="465">
        <v>470</v>
      </c>
      <c r="C84" s="465">
        <v>559</v>
      </c>
      <c r="D84" s="465">
        <v>822</v>
      </c>
      <c r="E84" s="465">
        <v>1193</v>
      </c>
      <c r="F84" s="465">
        <v>1729</v>
      </c>
      <c r="G84" s="453"/>
      <c r="I84" s="452">
        <v>76</v>
      </c>
      <c r="J84" s="465">
        <v>142</v>
      </c>
      <c r="K84" s="465">
        <v>155</v>
      </c>
      <c r="L84" s="453">
        <v>170</v>
      </c>
      <c r="M84" s="453">
        <v>182</v>
      </c>
      <c r="AC84" s="452">
        <v>76</v>
      </c>
      <c r="AD84" s="465">
        <v>2052</v>
      </c>
      <c r="AE84" s="465">
        <v>2345</v>
      </c>
      <c r="AF84" s="465">
        <v>8190</v>
      </c>
      <c r="AG84" s="453">
        <v>10185</v>
      </c>
      <c r="AH84" s="453">
        <v>12180</v>
      </c>
      <c r="AI84" s="453">
        <v>14175</v>
      </c>
      <c r="AJ84" s="453">
        <v>16170</v>
      </c>
      <c r="AK84" s="453">
        <v>19215</v>
      </c>
      <c r="AL84" s="453">
        <v>22260</v>
      </c>
      <c r="AM84" s="527"/>
      <c r="AN84" s="452">
        <v>76</v>
      </c>
      <c r="AO84" s="465">
        <v>331</v>
      </c>
      <c r="AP84" s="465">
        <v>331</v>
      </c>
      <c r="AQ84" s="465">
        <v>331</v>
      </c>
      <c r="AR84" s="465">
        <v>331</v>
      </c>
    </row>
    <row r="85" spans="1:44" ht="20.25" customHeight="1" x14ac:dyDescent="0.25">
      <c r="A85" s="452">
        <v>77</v>
      </c>
      <c r="B85" s="465">
        <v>470</v>
      </c>
      <c r="C85" s="465">
        <v>559</v>
      </c>
      <c r="D85" s="465">
        <v>822</v>
      </c>
      <c r="E85" s="465">
        <v>1193</v>
      </c>
      <c r="F85" s="465">
        <v>1729</v>
      </c>
      <c r="G85" s="453"/>
      <c r="I85" s="452">
        <v>77</v>
      </c>
      <c r="J85" s="465">
        <v>142</v>
      </c>
      <c r="K85" s="465">
        <v>155</v>
      </c>
      <c r="L85" s="453">
        <v>170</v>
      </c>
      <c r="M85" s="453">
        <v>182</v>
      </c>
      <c r="AC85" s="452">
        <v>77</v>
      </c>
      <c r="AD85" s="465">
        <v>2052</v>
      </c>
      <c r="AE85" s="465">
        <v>2345</v>
      </c>
      <c r="AF85" s="465">
        <v>8190</v>
      </c>
      <c r="AG85" s="453">
        <v>10185</v>
      </c>
      <c r="AH85" s="453">
        <v>12180</v>
      </c>
      <c r="AI85" s="453">
        <v>14175</v>
      </c>
      <c r="AJ85" s="453">
        <v>16170</v>
      </c>
      <c r="AK85" s="453">
        <v>19215</v>
      </c>
      <c r="AL85" s="453">
        <v>22260</v>
      </c>
      <c r="AM85" s="527"/>
      <c r="AN85" s="452">
        <v>77</v>
      </c>
      <c r="AO85" s="465">
        <v>331</v>
      </c>
      <c r="AP85" s="465">
        <v>331</v>
      </c>
      <c r="AQ85" s="465">
        <v>331</v>
      </c>
      <c r="AR85" s="465">
        <v>331</v>
      </c>
    </row>
    <row r="86" spans="1:44" ht="20.25" customHeight="1" x14ac:dyDescent="0.25">
      <c r="A86" s="452">
        <v>78</v>
      </c>
      <c r="B86" s="465">
        <v>470</v>
      </c>
      <c r="C86" s="465">
        <v>559</v>
      </c>
      <c r="D86" s="465">
        <v>822</v>
      </c>
      <c r="E86" s="465">
        <v>1193</v>
      </c>
      <c r="F86" s="465">
        <v>1729</v>
      </c>
      <c r="G86" s="453"/>
      <c r="I86" s="452">
        <v>78</v>
      </c>
      <c r="J86" s="465">
        <v>142</v>
      </c>
      <c r="K86" s="465">
        <v>155</v>
      </c>
      <c r="L86" s="453">
        <v>170</v>
      </c>
      <c r="M86" s="453">
        <v>182</v>
      </c>
      <c r="AC86" s="452">
        <v>78</v>
      </c>
      <c r="AD86" s="465">
        <v>2052</v>
      </c>
      <c r="AE86" s="465">
        <v>2345</v>
      </c>
      <c r="AF86" s="465">
        <v>8190</v>
      </c>
      <c r="AG86" s="453">
        <v>10185</v>
      </c>
      <c r="AH86" s="453">
        <v>12180</v>
      </c>
      <c r="AI86" s="453">
        <v>14175</v>
      </c>
      <c r="AJ86" s="453">
        <v>16170</v>
      </c>
      <c r="AK86" s="453">
        <v>19215</v>
      </c>
      <c r="AL86" s="453">
        <v>22260</v>
      </c>
      <c r="AM86" s="527"/>
      <c r="AN86" s="452">
        <v>78</v>
      </c>
      <c r="AO86" s="465">
        <v>331</v>
      </c>
      <c r="AP86" s="465">
        <v>331</v>
      </c>
      <c r="AQ86" s="465">
        <v>331</v>
      </c>
      <c r="AR86" s="465">
        <v>331</v>
      </c>
    </row>
    <row r="87" spans="1:44" ht="20.25" customHeight="1" x14ac:dyDescent="0.25">
      <c r="A87" s="452">
        <v>79</v>
      </c>
      <c r="B87" s="465">
        <v>470</v>
      </c>
      <c r="C87" s="465">
        <v>559</v>
      </c>
      <c r="D87" s="465">
        <v>822</v>
      </c>
      <c r="E87" s="465">
        <v>1193</v>
      </c>
      <c r="F87" s="465">
        <v>1729</v>
      </c>
      <c r="G87" s="453"/>
      <c r="I87" s="452">
        <v>79</v>
      </c>
      <c r="J87" s="465">
        <v>142</v>
      </c>
      <c r="K87" s="465">
        <v>155</v>
      </c>
      <c r="L87" s="453">
        <v>170</v>
      </c>
      <c r="M87" s="453">
        <v>182</v>
      </c>
      <c r="AC87" s="452">
        <v>79</v>
      </c>
      <c r="AD87" s="465">
        <v>2052</v>
      </c>
      <c r="AE87" s="465">
        <v>2345</v>
      </c>
      <c r="AF87" s="465">
        <v>8190</v>
      </c>
      <c r="AG87" s="453">
        <v>10185</v>
      </c>
      <c r="AH87" s="453">
        <v>12180</v>
      </c>
      <c r="AI87" s="453">
        <v>14175</v>
      </c>
      <c r="AJ87" s="453">
        <v>16170</v>
      </c>
      <c r="AK87" s="453">
        <v>19215</v>
      </c>
      <c r="AL87" s="453">
        <v>22260</v>
      </c>
      <c r="AM87" s="527"/>
      <c r="AN87" s="452">
        <v>79</v>
      </c>
      <c r="AO87" s="465">
        <v>331</v>
      </c>
      <c r="AP87" s="465">
        <v>331</v>
      </c>
      <c r="AQ87" s="465">
        <v>331</v>
      </c>
      <c r="AR87" s="465">
        <v>331</v>
      </c>
    </row>
    <row r="88" spans="1:44" ht="20.25" customHeight="1" x14ac:dyDescent="0.25">
      <c r="A88" s="452">
        <v>80</v>
      </c>
      <c r="B88" s="465">
        <v>470</v>
      </c>
      <c r="C88" s="465">
        <v>559</v>
      </c>
      <c r="D88" s="465">
        <v>822</v>
      </c>
      <c r="E88" s="465">
        <v>1193</v>
      </c>
      <c r="F88" s="465">
        <v>1729</v>
      </c>
      <c r="G88" s="453"/>
      <c r="I88" s="452">
        <v>80</v>
      </c>
      <c r="J88" s="465">
        <v>142</v>
      </c>
      <c r="K88" s="465">
        <v>155</v>
      </c>
      <c r="L88" s="453">
        <v>170</v>
      </c>
      <c r="M88" s="453">
        <v>182</v>
      </c>
      <c r="AC88" s="452">
        <v>80</v>
      </c>
      <c r="AD88" s="465">
        <v>2052</v>
      </c>
      <c r="AE88" s="465">
        <v>2345</v>
      </c>
      <c r="AF88" s="465">
        <v>8190</v>
      </c>
      <c r="AG88" s="453">
        <v>10185</v>
      </c>
      <c r="AH88" s="453">
        <v>12180</v>
      </c>
      <c r="AI88" s="453">
        <v>14175</v>
      </c>
      <c r="AJ88" s="453">
        <v>16170</v>
      </c>
      <c r="AK88" s="453">
        <v>19215</v>
      </c>
      <c r="AL88" s="453">
        <v>22260</v>
      </c>
      <c r="AM88" s="527"/>
      <c r="AN88" s="452">
        <v>80</v>
      </c>
      <c r="AO88" s="465">
        <v>331</v>
      </c>
      <c r="AP88" s="465">
        <v>331</v>
      </c>
      <c r="AQ88" s="465">
        <v>331</v>
      </c>
      <c r="AR88" s="465">
        <v>331</v>
      </c>
    </row>
    <row r="89" spans="1:44" ht="20.25" customHeight="1" x14ac:dyDescent="0.25">
      <c r="A89" s="452">
        <v>81</v>
      </c>
      <c r="B89" s="465">
        <v>465</v>
      </c>
      <c r="C89" s="465">
        <v>553</v>
      </c>
      <c r="D89" s="465">
        <v>813</v>
      </c>
      <c r="E89" s="453">
        <v>1180</v>
      </c>
      <c r="F89" s="453">
        <v>1710</v>
      </c>
      <c r="G89" s="453"/>
      <c r="I89" s="452">
        <v>81</v>
      </c>
      <c r="J89" s="465">
        <v>142</v>
      </c>
      <c r="K89" s="465">
        <v>155</v>
      </c>
      <c r="L89" s="453">
        <v>170</v>
      </c>
      <c r="M89" s="453">
        <v>182</v>
      </c>
      <c r="AC89" s="452">
        <v>81</v>
      </c>
      <c r="AD89" s="465">
        <v>2052</v>
      </c>
      <c r="AE89" s="465">
        <v>2345</v>
      </c>
      <c r="AF89" s="465">
        <v>8190</v>
      </c>
      <c r="AG89" s="453">
        <v>10185</v>
      </c>
      <c r="AH89" s="453">
        <v>12180</v>
      </c>
      <c r="AI89" s="453">
        <v>14175</v>
      </c>
      <c r="AJ89" s="453">
        <v>16170</v>
      </c>
      <c r="AK89" s="453">
        <v>19215</v>
      </c>
      <c r="AL89" s="453">
        <v>22260</v>
      </c>
      <c r="AM89" s="527"/>
      <c r="AN89" s="452">
        <v>81</v>
      </c>
      <c r="AO89" s="465">
        <v>331</v>
      </c>
      <c r="AP89" s="465">
        <v>331</v>
      </c>
      <c r="AQ89" s="465">
        <v>331</v>
      </c>
      <c r="AR89" s="465">
        <v>331</v>
      </c>
    </row>
    <row r="90" spans="1:44" ht="20.25" customHeight="1" x14ac:dyDescent="0.25">
      <c r="A90" s="452">
        <v>82</v>
      </c>
      <c r="B90" s="465">
        <v>465</v>
      </c>
      <c r="C90" s="465">
        <v>553</v>
      </c>
      <c r="D90" s="465">
        <v>813</v>
      </c>
      <c r="E90" s="465">
        <v>1180</v>
      </c>
      <c r="F90" s="465">
        <v>1710</v>
      </c>
      <c r="G90" s="453"/>
      <c r="I90" s="452">
        <v>82</v>
      </c>
      <c r="J90" s="465">
        <v>142</v>
      </c>
      <c r="K90" s="465">
        <v>155</v>
      </c>
      <c r="L90" s="453">
        <v>170</v>
      </c>
      <c r="M90" s="453">
        <v>182</v>
      </c>
      <c r="AC90" s="452">
        <v>82</v>
      </c>
      <c r="AD90" s="465">
        <v>2052</v>
      </c>
      <c r="AE90" s="465">
        <v>2345</v>
      </c>
      <c r="AF90" s="465">
        <v>8190</v>
      </c>
      <c r="AG90" s="453">
        <v>10185</v>
      </c>
      <c r="AH90" s="453">
        <v>12180</v>
      </c>
      <c r="AI90" s="453">
        <v>14175</v>
      </c>
      <c r="AJ90" s="453">
        <v>16170</v>
      </c>
      <c r="AK90" s="453">
        <v>19215</v>
      </c>
      <c r="AL90" s="453">
        <v>22260</v>
      </c>
      <c r="AM90" s="527"/>
      <c r="AN90" s="452">
        <v>82</v>
      </c>
      <c r="AO90" s="465">
        <v>331</v>
      </c>
      <c r="AP90" s="465">
        <v>331</v>
      </c>
      <c r="AQ90" s="465">
        <v>331</v>
      </c>
      <c r="AR90" s="465">
        <v>331</v>
      </c>
    </row>
    <row r="91" spans="1:44" ht="20.25" customHeight="1" x14ac:dyDescent="0.25">
      <c r="A91" s="452">
        <v>83</v>
      </c>
      <c r="B91" s="465">
        <v>465</v>
      </c>
      <c r="C91" s="465">
        <v>553</v>
      </c>
      <c r="D91" s="465">
        <v>813</v>
      </c>
      <c r="E91" s="465">
        <v>1180</v>
      </c>
      <c r="F91" s="465">
        <v>1710</v>
      </c>
      <c r="G91" s="453"/>
      <c r="I91" s="452">
        <v>83</v>
      </c>
      <c r="J91" s="465">
        <v>142</v>
      </c>
      <c r="K91" s="465">
        <v>155</v>
      </c>
      <c r="L91" s="453">
        <v>170</v>
      </c>
      <c r="M91" s="453">
        <v>182</v>
      </c>
      <c r="AC91" s="452">
        <v>83</v>
      </c>
      <c r="AD91" s="465">
        <v>2052</v>
      </c>
      <c r="AE91" s="465">
        <v>2345</v>
      </c>
      <c r="AF91" s="465">
        <v>8190</v>
      </c>
      <c r="AG91" s="453">
        <v>10185</v>
      </c>
      <c r="AH91" s="453">
        <v>12180</v>
      </c>
      <c r="AI91" s="453">
        <v>14175</v>
      </c>
      <c r="AJ91" s="453">
        <v>16170</v>
      </c>
      <c r="AK91" s="453">
        <v>19215</v>
      </c>
      <c r="AL91" s="453">
        <v>22260</v>
      </c>
      <c r="AM91" s="527"/>
      <c r="AN91" s="452">
        <v>83</v>
      </c>
      <c r="AO91" s="465">
        <v>331</v>
      </c>
      <c r="AP91" s="465">
        <v>331</v>
      </c>
      <c r="AQ91" s="465">
        <v>331</v>
      </c>
      <c r="AR91" s="465">
        <v>331</v>
      </c>
    </row>
    <row r="92" spans="1:44" ht="20.25" customHeight="1" x14ac:dyDescent="0.25">
      <c r="A92" s="452">
        <v>84</v>
      </c>
      <c r="B92" s="465">
        <v>465</v>
      </c>
      <c r="C92" s="465">
        <v>553</v>
      </c>
      <c r="D92" s="465">
        <v>813</v>
      </c>
      <c r="E92" s="465">
        <v>1180</v>
      </c>
      <c r="F92" s="465">
        <v>1710</v>
      </c>
      <c r="G92" s="453"/>
      <c r="I92" s="452">
        <v>84</v>
      </c>
      <c r="J92" s="465">
        <v>142</v>
      </c>
      <c r="K92" s="465">
        <v>155</v>
      </c>
      <c r="L92" s="453">
        <v>170</v>
      </c>
      <c r="M92" s="453">
        <v>182</v>
      </c>
      <c r="AC92" s="452">
        <v>84</v>
      </c>
      <c r="AD92" s="465">
        <v>2052</v>
      </c>
      <c r="AE92" s="465">
        <v>2345</v>
      </c>
      <c r="AF92" s="465">
        <v>8190</v>
      </c>
      <c r="AG92" s="453">
        <v>10185</v>
      </c>
      <c r="AH92" s="453">
        <v>12180</v>
      </c>
      <c r="AI92" s="453">
        <v>14175</v>
      </c>
      <c r="AJ92" s="453">
        <v>16170</v>
      </c>
      <c r="AK92" s="453">
        <v>19215</v>
      </c>
      <c r="AL92" s="453">
        <v>22260</v>
      </c>
      <c r="AM92" s="527"/>
      <c r="AN92" s="452">
        <v>84</v>
      </c>
      <c r="AO92" s="465">
        <v>331</v>
      </c>
      <c r="AP92" s="465">
        <v>331</v>
      </c>
      <c r="AQ92" s="465">
        <v>331</v>
      </c>
      <c r="AR92" s="465">
        <v>331</v>
      </c>
    </row>
    <row r="93" spans="1:44" ht="20.25" customHeight="1" x14ac:dyDescent="0.25">
      <c r="A93" s="452">
        <v>85</v>
      </c>
      <c r="B93" s="465">
        <v>465</v>
      </c>
      <c r="C93" s="465">
        <v>553</v>
      </c>
      <c r="D93" s="465">
        <v>813</v>
      </c>
      <c r="E93" s="465">
        <v>1180</v>
      </c>
      <c r="F93" s="465">
        <v>1710</v>
      </c>
      <c r="G93" s="453"/>
      <c r="I93" s="452">
        <v>85</v>
      </c>
      <c r="J93" s="465">
        <v>142</v>
      </c>
      <c r="K93" s="465">
        <v>155</v>
      </c>
      <c r="L93" s="453">
        <v>170</v>
      </c>
      <c r="M93" s="453">
        <v>182</v>
      </c>
      <c r="AC93" s="452">
        <v>85</v>
      </c>
      <c r="AD93" s="465">
        <v>2052</v>
      </c>
      <c r="AE93" s="465">
        <v>2345</v>
      </c>
      <c r="AF93" s="465">
        <v>8190</v>
      </c>
      <c r="AG93" s="453">
        <v>10185</v>
      </c>
      <c r="AH93" s="453">
        <v>12180</v>
      </c>
      <c r="AI93" s="453">
        <v>14175</v>
      </c>
      <c r="AJ93" s="453">
        <v>16170</v>
      </c>
      <c r="AK93" s="453">
        <v>19215</v>
      </c>
      <c r="AL93" s="453">
        <v>22260</v>
      </c>
      <c r="AM93" s="527"/>
      <c r="AN93" s="452">
        <v>85</v>
      </c>
      <c r="AO93" s="465">
        <v>331</v>
      </c>
      <c r="AP93" s="465">
        <v>331</v>
      </c>
      <c r="AQ93" s="465">
        <v>331</v>
      </c>
      <c r="AR93" s="465">
        <v>331</v>
      </c>
    </row>
    <row r="94" spans="1:44" ht="20.25" customHeight="1" x14ac:dyDescent="0.25">
      <c r="A94" s="452">
        <v>86</v>
      </c>
      <c r="B94" s="465">
        <v>465</v>
      </c>
      <c r="C94" s="465">
        <v>553</v>
      </c>
      <c r="D94" s="465">
        <v>813</v>
      </c>
      <c r="E94" s="465">
        <v>1180</v>
      </c>
      <c r="F94" s="465">
        <v>1710</v>
      </c>
      <c r="G94" s="453"/>
      <c r="I94" s="452">
        <v>86</v>
      </c>
      <c r="J94" s="465">
        <v>142</v>
      </c>
      <c r="K94" s="465">
        <v>155</v>
      </c>
      <c r="L94" s="453">
        <v>170</v>
      </c>
      <c r="M94" s="453">
        <v>182</v>
      </c>
      <c r="AC94" s="452">
        <v>86</v>
      </c>
      <c r="AD94" s="465">
        <v>2052</v>
      </c>
      <c r="AE94" s="465">
        <v>2345</v>
      </c>
      <c r="AF94" s="465">
        <v>8190</v>
      </c>
      <c r="AG94" s="453">
        <v>10185</v>
      </c>
      <c r="AH94" s="453">
        <v>12180</v>
      </c>
      <c r="AI94" s="453">
        <v>14175</v>
      </c>
      <c r="AJ94" s="453">
        <v>16170</v>
      </c>
      <c r="AK94" s="453">
        <v>19215</v>
      </c>
      <c r="AL94" s="453">
        <v>22260</v>
      </c>
      <c r="AM94" s="527"/>
      <c r="AN94" s="452">
        <v>86</v>
      </c>
      <c r="AO94" s="465">
        <v>331</v>
      </c>
      <c r="AP94" s="465">
        <v>331</v>
      </c>
      <c r="AQ94" s="465">
        <v>331</v>
      </c>
      <c r="AR94" s="465">
        <v>331</v>
      </c>
    </row>
    <row r="95" spans="1:44" ht="20.25" customHeight="1" x14ac:dyDescent="0.25">
      <c r="A95" s="452">
        <v>87</v>
      </c>
      <c r="B95" s="465">
        <v>465</v>
      </c>
      <c r="C95" s="465">
        <v>553</v>
      </c>
      <c r="D95" s="465">
        <v>813</v>
      </c>
      <c r="E95" s="465">
        <v>1180</v>
      </c>
      <c r="F95" s="465">
        <v>1710</v>
      </c>
      <c r="G95" s="453"/>
      <c r="I95" s="452">
        <v>87</v>
      </c>
      <c r="J95" s="465">
        <v>142</v>
      </c>
      <c r="K95" s="465">
        <v>155</v>
      </c>
      <c r="L95" s="453">
        <v>170</v>
      </c>
      <c r="M95" s="453">
        <v>182</v>
      </c>
      <c r="AC95" s="452">
        <v>87</v>
      </c>
      <c r="AD95" s="465">
        <v>2052</v>
      </c>
      <c r="AE95" s="465">
        <v>2345</v>
      </c>
      <c r="AF95" s="465">
        <v>8190</v>
      </c>
      <c r="AG95" s="453">
        <v>10185</v>
      </c>
      <c r="AH95" s="453">
        <v>12180</v>
      </c>
      <c r="AI95" s="453">
        <v>14175</v>
      </c>
      <c r="AJ95" s="453">
        <v>16170</v>
      </c>
      <c r="AK95" s="453">
        <v>19215</v>
      </c>
      <c r="AL95" s="453">
        <v>22260</v>
      </c>
      <c r="AM95" s="527"/>
      <c r="AN95" s="452">
        <v>87</v>
      </c>
      <c r="AO95" s="465">
        <v>331</v>
      </c>
      <c r="AP95" s="465">
        <v>331</v>
      </c>
      <c r="AQ95" s="465">
        <v>331</v>
      </c>
      <c r="AR95" s="465">
        <v>331</v>
      </c>
    </row>
    <row r="96" spans="1:44" ht="20.25" customHeight="1" x14ac:dyDescent="0.25">
      <c r="A96" s="452">
        <v>88</v>
      </c>
      <c r="B96" s="465">
        <v>465</v>
      </c>
      <c r="C96" s="465">
        <v>553</v>
      </c>
      <c r="D96" s="465">
        <v>813</v>
      </c>
      <c r="E96" s="465">
        <v>1180</v>
      </c>
      <c r="F96" s="465">
        <v>1710</v>
      </c>
      <c r="G96" s="453"/>
      <c r="I96" s="452">
        <v>88</v>
      </c>
      <c r="J96" s="465">
        <v>142</v>
      </c>
      <c r="K96" s="465">
        <v>155</v>
      </c>
      <c r="L96" s="453">
        <v>170</v>
      </c>
      <c r="M96" s="453">
        <v>182</v>
      </c>
      <c r="AC96" s="452">
        <v>88</v>
      </c>
      <c r="AD96" s="465">
        <v>2052</v>
      </c>
      <c r="AE96" s="465">
        <v>2345</v>
      </c>
      <c r="AF96" s="465">
        <v>8190</v>
      </c>
      <c r="AG96" s="453">
        <v>10185</v>
      </c>
      <c r="AH96" s="453">
        <v>12180</v>
      </c>
      <c r="AI96" s="453">
        <v>14175</v>
      </c>
      <c r="AJ96" s="453">
        <v>16170</v>
      </c>
      <c r="AK96" s="453">
        <v>19215</v>
      </c>
      <c r="AL96" s="453">
        <v>22260</v>
      </c>
      <c r="AM96" s="527"/>
      <c r="AN96" s="452">
        <v>88</v>
      </c>
      <c r="AO96" s="465">
        <v>331</v>
      </c>
      <c r="AP96" s="465">
        <v>331</v>
      </c>
      <c r="AQ96" s="465">
        <v>331</v>
      </c>
      <c r="AR96" s="465">
        <v>331</v>
      </c>
    </row>
    <row r="97" spans="1:44" ht="20.25" customHeight="1" x14ac:dyDescent="0.25">
      <c r="A97" s="452">
        <v>89</v>
      </c>
      <c r="B97" s="465">
        <v>465</v>
      </c>
      <c r="C97" s="465">
        <v>553</v>
      </c>
      <c r="D97" s="465">
        <v>813</v>
      </c>
      <c r="E97" s="465">
        <v>1180</v>
      </c>
      <c r="F97" s="465">
        <v>1710</v>
      </c>
      <c r="G97" s="453"/>
      <c r="I97" s="452">
        <v>89</v>
      </c>
      <c r="J97" s="465">
        <v>142</v>
      </c>
      <c r="K97" s="465">
        <v>155</v>
      </c>
      <c r="L97" s="453">
        <v>170</v>
      </c>
      <c r="M97" s="453">
        <v>182</v>
      </c>
      <c r="AC97" s="452">
        <v>89</v>
      </c>
      <c r="AD97" s="465">
        <v>2052</v>
      </c>
      <c r="AE97" s="465">
        <v>2345</v>
      </c>
      <c r="AF97" s="465">
        <v>8190</v>
      </c>
      <c r="AG97" s="453">
        <v>10185</v>
      </c>
      <c r="AH97" s="453">
        <v>12180</v>
      </c>
      <c r="AI97" s="453">
        <v>14175</v>
      </c>
      <c r="AJ97" s="453">
        <v>16170</v>
      </c>
      <c r="AK97" s="453">
        <v>19215</v>
      </c>
      <c r="AL97" s="453">
        <v>22260</v>
      </c>
      <c r="AM97" s="527"/>
      <c r="AN97" s="452">
        <v>89</v>
      </c>
      <c r="AO97" s="465">
        <v>331</v>
      </c>
      <c r="AP97" s="465">
        <v>331</v>
      </c>
      <c r="AQ97" s="465">
        <v>331</v>
      </c>
      <c r="AR97" s="465">
        <v>331</v>
      </c>
    </row>
    <row r="98" spans="1:44" ht="20.25" customHeight="1" x14ac:dyDescent="0.25">
      <c r="A98" s="452">
        <v>90</v>
      </c>
      <c r="B98" s="465">
        <v>465</v>
      </c>
      <c r="C98" s="465">
        <v>553</v>
      </c>
      <c r="D98" s="465">
        <v>813</v>
      </c>
      <c r="E98" s="465">
        <v>1180</v>
      </c>
      <c r="F98" s="465">
        <v>1710</v>
      </c>
      <c r="G98" s="453"/>
      <c r="I98" s="452">
        <v>90</v>
      </c>
      <c r="J98" s="465">
        <v>142</v>
      </c>
      <c r="K98" s="465">
        <v>155</v>
      </c>
      <c r="L98" s="453">
        <v>170</v>
      </c>
      <c r="M98" s="453">
        <v>182</v>
      </c>
      <c r="AC98" s="452">
        <v>90</v>
      </c>
      <c r="AD98" s="465">
        <v>2052</v>
      </c>
      <c r="AE98" s="465">
        <v>2345</v>
      </c>
      <c r="AF98" s="465">
        <v>8190</v>
      </c>
      <c r="AG98" s="453">
        <v>10185</v>
      </c>
      <c r="AH98" s="453">
        <v>12180</v>
      </c>
      <c r="AI98" s="453">
        <v>14175</v>
      </c>
      <c r="AJ98" s="453">
        <v>16170</v>
      </c>
      <c r="AK98" s="453">
        <v>19215</v>
      </c>
      <c r="AL98" s="453">
        <v>22260</v>
      </c>
      <c r="AM98" s="527"/>
      <c r="AN98" s="452">
        <v>90</v>
      </c>
      <c r="AO98" s="465">
        <v>331</v>
      </c>
      <c r="AP98" s="465">
        <v>331</v>
      </c>
      <c r="AQ98" s="465">
        <v>331</v>
      </c>
      <c r="AR98" s="465">
        <v>331</v>
      </c>
    </row>
    <row r="99" spans="1:44" ht="20.25" customHeight="1" x14ac:dyDescent="0.25">
      <c r="A99" s="452">
        <v>91</v>
      </c>
      <c r="B99" s="465">
        <v>460</v>
      </c>
      <c r="C99" s="465">
        <v>548</v>
      </c>
      <c r="D99" s="465">
        <v>806</v>
      </c>
      <c r="E99" s="453">
        <v>1169</v>
      </c>
      <c r="F99" s="453">
        <v>1694</v>
      </c>
      <c r="G99" s="453"/>
      <c r="I99" s="452">
        <v>91</v>
      </c>
      <c r="J99" s="465">
        <v>142</v>
      </c>
      <c r="K99" s="465">
        <v>155</v>
      </c>
      <c r="L99" s="453">
        <v>170</v>
      </c>
      <c r="M99" s="453">
        <v>182</v>
      </c>
      <c r="AC99" s="452">
        <v>91</v>
      </c>
      <c r="AD99" s="465">
        <v>2052</v>
      </c>
      <c r="AE99" s="465">
        <v>2345</v>
      </c>
      <c r="AF99" s="465">
        <v>8190</v>
      </c>
      <c r="AG99" s="453">
        <v>10185</v>
      </c>
      <c r="AH99" s="453">
        <v>12180</v>
      </c>
      <c r="AI99" s="453">
        <v>14175</v>
      </c>
      <c r="AJ99" s="453">
        <v>16170</v>
      </c>
      <c r="AK99" s="453">
        <v>19215</v>
      </c>
      <c r="AL99" s="453">
        <v>22260</v>
      </c>
      <c r="AM99" s="527"/>
      <c r="AN99" s="452">
        <v>91</v>
      </c>
      <c r="AO99" s="465">
        <v>331</v>
      </c>
      <c r="AP99" s="465">
        <v>331</v>
      </c>
      <c r="AQ99" s="465">
        <v>331</v>
      </c>
      <c r="AR99" s="465">
        <v>331</v>
      </c>
    </row>
    <row r="100" spans="1:44" ht="20.25" customHeight="1" x14ac:dyDescent="0.25">
      <c r="A100" s="452">
        <v>92</v>
      </c>
      <c r="B100" s="465">
        <v>460</v>
      </c>
      <c r="C100" s="465">
        <v>548</v>
      </c>
      <c r="D100" s="465">
        <v>806</v>
      </c>
      <c r="E100" s="465">
        <v>1169</v>
      </c>
      <c r="F100" s="465">
        <v>1694</v>
      </c>
      <c r="G100" s="453"/>
      <c r="I100" s="452">
        <v>92</v>
      </c>
      <c r="J100" s="465">
        <v>142</v>
      </c>
      <c r="K100" s="465">
        <v>155</v>
      </c>
      <c r="L100" s="453">
        <v>170</v>
      </c>
      <c r="M100" s="453">
        <v>182</v>
      </c>
      <c r="AC100" s="452">
        <v>92</v>
      </c>
      <c r="AD100" s="465">
        <v>2052</v>
      </c>
      <c r="AE100" s="465">
        <v>2345</v>
      </c>
      <c r="AF100" s="465">
        <v>8190</v>
      </c>
      <c r="AG100" s="453">
        <v>10185</v>
      </c>
      <c r="AH100" s="453">
        <v>12180</v>
      </c>
      <c r="AI100" s="453">
        <v>14175</v>
      </c>
      <c r="AJ100" s="453">
        <v>16170</v>
      </c>
      <c r="AK100" s="453">
        <v>19215</v>
      </c>
      <c r="AL100" s="453">
        <v>22260</v>
      </c>
      <c r="AM100" s="527"/>
      <c r="AN100" s="452">
        <v>92</v>
      </c>
      <c r="AO100" s="465">
        <v>331</v>
      </c>
      <c r="AP100" s="465">
        <v>331</v>
      </c>
      <c r="AQ100" s="465">
        <v>331</v>
      </c>
      <c r="AR100" s="465">
        <v>331</v>
      </c>
    </row>
    <row r="101" spans="1:44" ht="20.25" customHeight="1" x14ac:dyDescent="0.25">
      <c r="A101" s="452">
        <v>93</v>
      </c>
      <c r="B101" s="465">
        <v>460</v>
      </c>
      <c r="C101" s="465">
        <v>548</v>
      </c>
      <c r="D101" s="465">
        <v>806</v>
      </c>
      <c r="E101" s="465">
        <v>1169</v>
      </c>
      <c r="F101" s="465">
        <v>1694</v>
      </c>
      <c r="G101" s="453"/>
      <c r="I101" s="452">
        <v>93</v>
      </c>
      <c r="J101" s="465">
        <v>142</v>
      </c>
      <c r="K101" s="465">
        <v>155</v>
      </c>
      <c r="L101" s="453">
        <v>170</v>
      </c>
      <c r="M101" s="453">
        <v>182</v>
      </c>
      <c r="AC101" s="452">
        <v>93</v>
      </c>
      <c r="AD101" s="465">
        <v>2052</v>
      </c>
      <c r="AE101" s="465">
        <v>2345</v>
      </c>
      <c r="AF101" s="465">
        <v>8190</v>
      </c>
      <c r="AG101" s="453">
        <v>10185</v>
      </c>
      <c r="AH101" s="453">
        <v>12180</v>
      </c>
      <c r="AI101" s="453">
        <v>14175</v>
      </c>
      <c r="AJ101" s="453">
        <v>16170</v>
      </c>
      <c r="AK101" s="453">
        <v>19215</v>
      </c>
      <c r="AL101" s="453">
        <v>22260</v>
      </c>
      <c r="AM101" s="527"/>
      <c r="AN101" s="452">
        <v>93</v>
      </c>
      <c r="AO101" s="465">
        <v>331</v>
      </c>
      <c r="AP101" s="465">
        <v>331</v>
      </c>
      <c r="AQ101" s="465">
        <v>331</v>
      </c>
      <c r="AR101" s="465">
        <v>331</v>
      </c>
    </row>
    <row r="102" spans="1:44" ht="20.25" customHeight="1" x14ac:dyDescent="0.25">
      <c r="A102" s="452">
        <v>94</v>
      </c>
      <c r="B102" s="465">
        <v>460</v>
      </c>
      <c r="C102" s="465">
        <v>548</v>
      </c>
      <c r="D102" s="465">
        <v>806</v>
      </c>
      <c r="E102" s="465">
        <v>1169</v>
      </c>
      <c r="F102" s="465">
        <v>1694</v>
      </c>
      <c r="G102" s="453"/>
      <c r="I102" s="452">
        <v>94</v>
      </c>
      <c r="J102" s="465">
        <v>142</v>
      </c>
      <c r="K102" s="465">
        <v>155</v>
      </c>
      <c r="L102" s="453">
        <v>170</v>
      </c>
      <c r="M102" s="453">
        <v>182</v>
      </c>
      <c r="AC102" s="452">
        <v>94</v>
      </c>
      <c r="AD102" s="465">
        <v>2052</v>
      </c>
      <c r="AE102" s="465">
        <v>2345</v>
      </c>
      <c r="AF102" s="465">
        <v>8190</v>
      </c>
      <c r="AG102" s="453">
        <v>10185</v>
      </c>
      <c r="AH102" s="453">
        <v>12180</v>
      </c>
      <c r="AI102" s="453">
        <v>14175</v>
      </c>
      <c r="AJ102" s="453">
        <v>16170</v>
      </c>
      <c r="AK102" s="453">
        <v>19215</v>
      </c>
      <c r="AL102" s="453">
        <v>22260</v>
      </c>
      <c r="AM102" s="527"/>
      <c r="AN102" s="452">
        <v>94</v>
      </c>
      <c r="AO102" s="465">
        <v>331</v>
      </c>
      <c r="AP102" s="465">
        <v>331</v>
      </c>
      <c r="AQ102" s="465">
        <v>331</v>
      </c>
      <c r="AR102" s="465">
        <v>331</v>
      </c>
    </row>
    <row r="103" spans="1:44" ht="20.25" customHeight="1" x14ac:dyDescent="0.25">
      <c r="A103" s="452">
        <v>95</v>
      </c>
      <c r="B103" s="465">
        <v>460</v>
      </c>
      <c r="C103" s="465">
        <v>548</v>
      </c>
      <c r="D103" s="465">
        <v>806</v>
      </c>
      <c r="E103" s="465">
        <v>1169</v>
      </c>
      <c r="F103" s="465">
        <v>1694</v>
      </c>
      <c r="G103" s="453"/>
      <c r="I103" s="452">
        <v>95</v>
      </c>
      <c r="J103" s="465">
        <v>142</v>
      </c>
      <c r="K103" s="465">
        <v>155</v>
      </c>
      <c r="L103" s="453">
        <v>170</v>
      </c>
      <c r="M103" s="453">
        <v>182</v>
      </c>
      <c r="AC103" s="452">
        <v>95</v>
      </c>
      <c r="AD103" s="465">
        <v>2052</v>
      </c>
      <c r="AE103" s="465">
        <v>2345</v>
      </c>
      <c r="AF103" s="465">
        <v>8190</v>
      </c>
      <c r="AG103" s="453">
        <v>10185</v>
      </c>
      <c r="AH103" s="453">
        <v>12180</v>
      </c>
      <c r="AI103" s="453">
        <v>14175</v>
      </c>
      <c r="AJ103" s="453">
        <v>16170</v>
      </c>
      <c r="AK103" s="453">
        <v>19215</v>
      </c>
      <c r="AL103" s="453">
        <v>22260</v>
      </c>
      <c r="AM103" s="527"/>
      <c r="AN103" s="452">
        <v>95</v>
      </c>
      <c r="AO103" s="465">
        <v>331</v>
      </c>
      <c r="AP103" s="465">
        <v>331</v>
      </c>
      <c r="AQ103" s="465">
        <v>331</v>
      </c>
      <c r="AR103" s="465">
        <v>331</v>
      </c>
    </row>
    <row r="104" spans="1:44" ht="20.25" customHeight="1" x14ac:dyDescent="0.25">
      <c r="A104" s="452">
        <v>96</v>
      </c>
      <c r="B104" s="465">
        <v>460</v>
      </c>
      <c r="C104" s="465">
        <v>548</v>
      </c>
      <c r="D104" s="465">
        <v>806</v>
      </c>
      <c r="E104" s="465">
        <v>1169</v>
      </c>
      <c r="F104" s="465">
        <v>1694</v>
      </c>
      <c r="G104" s="453"/>
      <c r="I104" s="452">
        <v>96</v>
      </c>
      <c r="J104" s="465">
        <v>142</v>
      </c>
      <c r="K104" s="465">
        <v>155</v>
      </c>
      <c r="L104" s="453">
        <v>170</v>
      </c>
      <c r="M104" s="453">
        <v>182</v>
      </c>
      <c r="AC104" s="452">
        <v>96</v>
      </c>
      <c r="AD104" s="465">
        <v>2052</v>
      </c>
      <c r="AE104" s="465">
        <v>2345</v>
      </c>
      <c r="AF104" s="465">
        <v>8190</v>
      </c>
      <c r="AG104" s="453">
        <v>10185</v>
      </c>
      <c r="AH104" s="453">
        <v>12180</v>
      </c>
      <c r="AI104" s="453">
        <v>14175</v>
      </c>
      <c r="AJ104" s="453">
        <v>16170</v>
      </c>
      <c r="AK104" s="453">
        <v>19215</v>
      </c>
      <c r="AL104" s="453">
        <v>22260</v>
      </c>
      <c r="AM104" s="527"/>
      <c r="AN104" s="452">
        <v>96</v>
      </c>
      <c r="AO104" s="465">
        <v>331</v>
      </c>
      <c r="AP104" s="465">
        <v>331</v>
      </c>
      <c r="AQ104" s="465">
        <v>331</v>
      </c>
      <c r="AR104" s="465">
        <v>331</v>
      </c>
    </row>
    <row r="105" spans="1:44" ht="20.25" customHeight="1" x14ac:dyDescent="0.25">
      <c r="A105" s="452">
        <v>97</v>
      </c>
      <c r="B105" s="465">
        <v>460</v>
      </c>
      <c r="C105" s="465">
        <v>548</v>
      </c>
      <c r="D105" s="465">
        <v>806</v>
      </c>
      <c r="E105" s="465">
        <v>1169</v>
      </c>
      <c r="F105" s="465">
        <v>1694</v>
      </c>
      <c r="G105" s="453"/>
      <c r="I105" s="452">
        <v>97</v>
      </c>
      <c r="J105" s="465">
        <v>142</v>
      </c>
      <c r="K105" s="465">
        <v>155</v>
      </c>
      <c r="L105" s="453">
        <v>170</v>
      </c>
      <c r="M105" s="453">
        <v>182</v>
      </c>
      <c r="AC105" s="452">
        <v>97</v>
      </c>
      <c r="AD105" s="465">
        <v>2052</v>
      </c>
      <c r="AE105" s="465">
        <v>2345</v>
      </c>
      <c r="AF105" s="465">
        <v>8190</v>
      </c>
      <c r="AG105" s="453">
        <v>10185</v>
      </c>
      <c r="AH105" s="453">
        <v>12180</v>
      </c>
      <c r="AI105" s="453">
        <v>14175</v>
      </c>
      <c r="AJ105" s="453">
        <v>16170</v>
      </c>
      <c r="AK105" s="453">
        <v>19215</v>
      </c>
      <c r="AL105" s="453">
        <v>22260</v>
      </c>
      <c r="AM105" s="527"/>
      <c r="AN105" s="452">
        <v>97</v>
      </c>
      <c r="AO105" s="465">
        <v>331</v>
      </c>
      <c r="AP105" s="465">
        <v>331</v>
      </c>
      <c r="AQ105" s="465">
        <v>331</v>
      </c>
      <c r="AR105" s="465">
        <v>331</v>
      </c>
    </row>
    <row r="106" spans="1:44" ht="20.25" customHeight="1" x14ac:dyDescent="0.25">
      <c r="A106" s="452">
        <v>98</v>
      </c>
      <c r="B106" s="465">
        <v>460</v>
      </c>
      <c r="C106" s="465">
        <v>548</v>
      </c>
      <c r="D106" s="465">
        <v>806</v>
      </c>
      <c r="E106" s="465">
        <v>1169</v>
      </c>
      <c r="F106" s="465">
        <v>1694</v>
      </c>
      <c r="G106" s="453"/>
      <c r="I106" s="452">
        <v>98</v>
      </c>
      <c r="J106" s="465">
        <v>142</v>
      </c>
      <c r="K106" s="465">
        <v>155</v>
      </c>
      <c r="L106" s="453">
        <v>170</v>
      </c>
      <c r="M106" s="453">
        <v>182</v>
      </c>
      <c r="AC106" s="452">
        <v>98</v>
      </c>
      <c r="AD106" s="465">
        <v>2052</v>
      </c>
      <c r="AE106" s="465">
        <v>2345</v>
      </c>
      <c r="AF106" s="465">
        <v>8190</v>
      </c>
      <c r="AG106" s="453">
        <v>10185</v>
      </c>
      <c r="AH106" s="453">
        <v>12180</v>
      </c>
      <c r="AI106" s="453">
        <v>14175</v>
      </c>
      <c r="AJ106" s="453">
        <v>16170</v>
      </c>
      <c r="AK106" s="453">
        <v>19215</v>
      </c>
      <c r="AL106" s="453">
        <v>22260</v>
      </c>
      <c r="AM106" s="527"/>
      <c r="AN106" s="452">
        <v>98</v>
      </c>
      <c r="AO106" s="465">
        <v>331</v>
      </c>
      <c r="AP106" s="465">
        <v>331</v>
      </c>
      <c r="AQ106" s="465">
        <v>331</v>
      </c>
      <c r="AR106" s="465">
        <v>331</v>
      </c>
    </row>
    <row r="107" spans="1:44" ht="20.25" customHeight="1" x14ac:dyDescent="0.25">
      <c r="A107" s="452">
        <v>99</v>
      </c>
      <c r="B107" s="465">
        <v>460</v>
      </c>
      <c r="C107" s="465">
        <v>548</v>
      </c>
      <c r="D107" s="465">
        <v>806</v>
      </c>
      <c r="E107" s="465">
        <v>1169</v>
      </c>
      <c r="F107" s="465">
        <v>1694</v>
      </c>
      <c r="G107" s="453"/>
      <c r="I107" s="452">
        <v>99</v>
      </c>
      <c r="J107" s="465">
        <v>142</v>
      </c>
      <c r="K107" s="465">
        <v>155</v>
      </c>
      <c r="L107" s="453">
        <v>170</v>
      </c>
      <c r="M107" s="453">
        <v>182</v>
      </c>
      <c r="AC107" s="452">
        <v>99</v>
      </c>
      <c r="AD107" s="465">
        <v>2052</v>
      </c>
      <c r="AE107" s="465">
        <v>2345</v>
      </c>
      <c r="AF107" s="465">
        <v>8190</v>
      </c>
      <c r="AG107" s="453">
        <v>10185</v>
      </c>
      <c r="AH107" s="453">
        <v>12180</v>
      </c>
      <c r="AI107" s="453">
        <v>14175</v>
      </c>
      <c r="AJ107" s="453">
        <v>16170</v>
      </c>
      <c r="AK107" s="453">
        <v>19215</v>
      </c>
      <c r="AL107" s="453">
        <v>22260</v>
      </c>
      <c r="AM107" s="527"/>
      <c r="AN107" s="452">
        <v>99</v>
      </c>
      <c r="AO107" s="465">
        <v>331</v>
      </c>
      <c r="AP107" s="465">
        <v>331</v>
      </c>
      <c r="AQ107" s="465">
        <v>331</v>
      </c>
      <c r="AR107" s="465">
        <v>331</v>
      </c>
    </row>
    <row r="108" spans="1:44" ht="20.25" customHeight="1" x14ac:dyDescent="0.25">
      <c r="A108" s="452">
        <v>100</v>
      </c>
      <c r="B108" s="465">
        <v>460</v>
      </c>
      <c r="C108" s="465">
        <v>548</v>
      </c>
      <c r="D108" s="465">
        <v>806</v>
      </c>
      <c r="E108" s="465">
        <v>1169</v>
      </c>
      <c r="F108" s="465">
        <v>1694</v>
      </c>
      <c r="G108" s="453"/>
      <c r="I108" s="452">
        <v>100</v>
      </c>
      <c r="J108" s="465">
        <v>142</v>
      </c>
      <c r="K108" s="465">
        <v>155</v>
      </c>
      <c r="L108" s="453">
        <v>170</v>
      </c>
      <c r="M108" s="453">
        <v>182</v>
      </c>
      <c r="AC108" s="452">
        <v>100</v>
      </c>
      <c r="AD108" s="465">
        <v>2052</v>
      </c>
      <c r="AE108" s="465">
        <v>2345</v>
      </c>
      <c r="AF108" s="465">
        <v>8190</v>
      </c>
      <c r="AG108" s="453">
        <v>10185</v>
      </c>
      <c r="AH108" s="453">
        <v>12180</v>
      </c>
      <c r="AI108" s="453">
        <v>14175</v>
      </c>
      <c r="AJ108" s="453">
        <v>16170</v>
      </c>
      <c r="AK108" s="453">
        <v>19215</v>
      </c>
      <c r="AL108" s="453">
        <v>22260</v>
      </c>
      <c r="AM108" s="527"/>
      <c r="AN108" s="452">
        <v>100</v>
      </c>
      <c r="AO108" s="465">
        <v>331</v>
      </c>
      <c r="AP108" s="465">
        <v>331</v>
      </c>
      <c r="AQ108" s="465">
        <v>331</v>
      </c>
      <c r="AR108" s="465">
        <v>331</v>
      </c>
    </row>
    <row r="109" spans="1:44" ht="20.25" customHeight="1" x14ac:dyDescent="0.25">
      <c r="A109" s="452" t="s">
        <v>351</v>
      </c>
      <c r="B109" s="465">
        <v>457</v>
      </c>
      <c r="C109" s="465">
        <v>544</v>
      </c>
      <c r="D109" s="465">
        <v>800</v>
      </c>
      <c r="E109" s="453">
        <v>1161</v>
      </c>
      <c r="F109" s="453">
        <v>1682</v>
      </c>
      <c r="G109" s="453"/>
      <c r="I109" s="452" t="s">
        <v>351</v>
      </c>
      <c r="J109" s="465">
        <v>142</v>
      </c>
      <c r="K109" s="465">
        <v>155</v>
      </c>
      <c r="L109" s="465">
        <v>170</v>
      </c>
      <c r="M109" s="453">
        <v>182</v>
      </c>
      <c r="AC109" s="452">
        <v>101</v>
      </c>
      <c r="AD109" s="465">
        <v>1904</v>
      </c>
      <c r="AE109" s="465">
        <v>2281</v>
      </c>
      <c r="AF109" s="465">
        <v>7980</v>
      </c>
      <c r="AG109" s="453">
        <v>9975</v>
      </c>
      <c r="AH109" s="453">
        <v>11970</v>
      </c>
      <c r="AI109" s="453">
        <v>13965</v>
      </c>
      <c r="AJ109" s="453">
        <v>15960</v>
      </c>
      <c r="AK109" s="453">
        <v>19005</v>
      </c>
      <c r="AL109" s="453">
        <v>22050</v>
      </c>
      <c r="AM109" s="530"/>
      <c r="AN109" s="452" t="s">
        <v>351</v>
      </c>
      <c r="AO109" s="465">
        <v>331</v>
      </c>
      <c r="AP109" s="465">
        <v>331</v>
      </c>
      <c r="AQ109" s="465">
        <v>331</v>
      </c>
      <c r="AR109" s="465">
        <v>331</v>
      </c>
    </row>
    <row r="110" spans="1:44" x14ac:dyDescent="0.25">
      <c r="AC110" s="452">
        <v>102</v>
      </c>
      <c r="AD110" s="465">
        <v>1904</v>
      </c>
      <c r="AE110" s="465">
        <v>2281</v>
      </c>
      <c r="AF110" s="465">
        <v>7980</v>
      </c>
      <c r="AG110" s="453">
        <v>9975</v>
      </c>
      <c r="AH110" s="453">
        <v>11970</v>
      </c>
      <c r="AI110" s="453">
        <v>13965</v>
      </c>
      <c r="AJ110" s="453">
        <v>15960</v>
      </c>
      <c r="AK110" s="453">
        <v>19005</v>
      </c>
      <c r="AL110" s="453">
        <v>22050</v>
      </c>
    </row>
    <row r="111" spans="1:44" x14ac:dyDescent="0.25">
      <c r="A111" s="1810" t="s">
        <v>563</v>
      </c>
      <c r="B111" s="1810"/>
      <c r="C111" s="1810"/>
      <c r="F111" s="469" t="s">
        <v>1231</v>
      </c>
      <c r="AC111" s="452">
        <v>103</v>
      </c>
      <c r="AD111" s="465">
        <v>1904</v>
      </c>
      <c r="AE111" s="465">
        <v>2281</v>
      </c>
      <c r="AF111" s="465">
        <v>7980</v>
      </c>
      <c r="AG111" s="453">
        <v>9975</v>
      </c>
      <c r="AH111" s="453">
        <v>11970</v>
      </c>
      <c r="AI111" s="453">
        <v>13965</v>
      </c>
      <c r="AJ111" s="453">
        <v>15960</v>
      </c>
      <c r="AK111" s="453">
        <v>19005</v>
      </c>
      <c r="AL111" s="453">
        <v>22050</v>
      </c>
      <c r="AN111" s="531"/>
    </row>
    <row r="112" spans="1:44" x14ac:dyDescent="0.25">
      <c r="A112" s="457" t="s">
        <v>15</v>
      </c>
      <c r="B112" s="468" t="s">
        <v>561</v>
      </c>
      <c r="C112" s="468" t="s">
        <v>564</v>
      </c>
      <c r="F112" s="446" t="s">
        <v>1235</v>
      </c>
      <c r="AC112" s="452">
        <v>104</v>
      </c>
      <c r="AD112" s="465">
        <v>1904</v>
      </c>
      <c r="AE112" s="465">
        <v>2281</v>
      </c>
      <c r="AF112" s="465">
        <v>7980</v>
      </c>
      <c r="AG112" s="453">
        <v>9975</v>
      </c>
      <c r="AH112" s="453">
        <v>11970</v>
      </c>
      <c r="AI112" s="453">
        <v>13965</v>
      </c>
      <c r="AJ112" s="453">
        <v>15960</v>
      </c>
      <c r="AK112" s="453">
        <v>19005</v>
      </c>
      <c r="AL112" s="453">
        <v>22050</v>
      </c>
      <c r="AN112" s="531"/>
    </row>
    <row r="113" spans="1:40" x14ac:dyDescent="0.25">
      <c r="A113" s="456">
        <v>1</v>
      </c>
      <c r="B113" s="456">
        <v>0</v>
      </c>
      <c r="C113" s="446">
        <v>0</v>
      </c>
      <c r="F113" s="468" t="s">
        <v>15</v>
      </c>
      <c r="G113" s="470" t="s">
        <v>1226</v>
      </c>
      <c r="H113" s="470" t="s">
        <v>1236</v>
      </c>
      <c r="AC113" s="452">
        <v>105</v>
      </c>
      <c r="AD113" s="465">
        <v>1904</v>
      </c>
      <c r="AE113" s="465">
        <v>2281</v>
      </c>
      <c r="AF113" s="465">
        <v>7980</v>
      </c>
      <c r="AG113" s="453">
        <v>9975</v>
      </c>
      <c r="AH113" s="453">
        <v>11970</v>
      </c>
      <c r="AI113" s="453">
        <v>13965</v>
      </c>
      <c r="AJ113" s="453">
        <v>15960</v>
      </c>
      <c r="AK113" s="453">
        <v>19005</v>
      </c>
      <c r="AL113" s="453">
        <v>22050</v>
      </c>
      <c r="AM113" s="532"/>
      <c r="AN113" s="531"/>
    </row>
    <row r="114" spans="1:40" x14ac:dyDescent="0.25">
      <c r="A114" s="456">
        <v>2</v>
      </c>
      <c r="B114" s="456">
        <v>1</v>
      </c>
      <c r="C114" s="456">
        <v>1</v>
      </c>
      <c r="F114" s="457">
        <v>1</v>
      </c>
      <c r="G114" s="456" t="s">
        <v>1254</v>
      </c>
      <c r="H114" s="471">
        <v>0.3</v>
      </c>
      <c r="AC114" s="452">
        <v>106</v>
      </c>
      <c r="AD114" s="465">
        <v>1904</v>
      </c>
      <c r="AE114" s="465">
        <v>2281</v>
      </c>
      <c r="AF114" s="465">
        <v>7980</v>
      </c>
      <c r="AG114" s="453">
        <v>9975</v>
      </c>
      <c r="AH114" s="453">
        <v>11970</v>
      </c>
      <c r="AI114" s="453">
        <v>13965</v>
      </c>
      <c r="AJ114" s="453">
        <v>15960</v>
      </c>
      <c r="AK114" s="453">
        <v>19005</v>
      </c>
      <c r="AL114" s="453">
        <v>22050</v>
      </c>
      <c r="AN114" s="531"/>
    </row>
    <row r="115" spans="1:40" x14ac:dyDescent="0.25">
      <c r="A115" s="456">
        <v>3</v>
      </c>
      <c r="B115" s="456">
        <v>2</v>
      </c>
      <c r="C115" s="456">
        <v>1.19</v>
      </c>
      <c r="F115" s="457">
        <v>2</v>
      </c>
      <c r="G115" s="456" t="s">
        <v>1233</v>
      </c>
      <c r="H115" s="471">
        <v>0.15</v>
      </c>
      <c r="AC115" s="452">
        <v>107</v>
      </c>
      <c r="AD115" s="465">
        <v>1904</v>
      </c>
      <c r="AE115" s="465">
        <v>2281</v>
      </c>
      <c r="AF115" s="465">
        <v>7980</v>
      </c>
      <c r="AG115" s="453">
        <v>9975</v>
      </c>
      <c r="AH115" s="453">
        <v>11970</v>
      </c>
      <c r="AI115" s="453">
        <v>13965</v>
      </c>
      <c r="AJ115" s="453">
        <v>15960</v>
      </c>
      <c r="AK115" s="453">
        <v>19005</v>
      </c>
      <c r="AL115" s="453">
        <v>22050</v>
      </c>
      <c r="AN115" s="531"/>
    </row>
    <row r="116" spans="1:40" x14ac:dyDescent="0.25">
      <c r="A116" s="456">
        <v>4</v>
      </c>
      <c r="B116" s="456">
        <v>3</v>
      </c>
      <c r="C116" s="456">
        <v>1.75</v>
      </c>
      <c r="F116" s="457">
        <v>3</v>
      </c>
      <c r="G116" s="456" t="s">
        <v>1234</v>
      </c>
      <c r="H116" s="471">
        <v>0.1</v>
      </c>
      <c r="AC116" s="452">
        <v>108</v>
      </c>
      <c r="AD116" s="465">
        <v>1904</v>
      </c>
      <c r="AE116" s="465">
        <v>2281</v>
      </c>
      <c r="AF116" s="465">
        <v>7980</v>
      </c>
      <c r="AG116" s="453">
        <v>9975</v>
      </c>
      <c r="AH116" s="453">
        <v>11970</v>
      </c>
      <c r="AI116" s="453">
        <v>13965</v>
      </c>
      <c r="AJ116" s="453">
        <v>15960</v>
      </c>
      <c r="AK116" s="453">
        <v>19005</v>
      </c>
      <c r="AL116" s="453">
        <v>22050</v>
      </c>
      <c r="AN116" s="531"/>
    </row>
    <row r="117" spans="1:40" x14ac:dyDescent="0.25">
      <c r="A117" s="456">
        <v>5</v>
      </c>
      <c r="B117" s="456">
        <v>4</v>
      </c>
      <c r="C117" s="456">
        <v>2.54</v>
      </c>
      <c r="F117" s="457">
        <v>4</v>
      </c>
      <c r="G117" s="456" t="s">
        <v>1237</v>
      </c>
      <c r="H117" s="471">
        <v>0</v>
      </c>
      <c r="AC117" s="452">
        <v>109</v>
      </c>
      <c r="AD117" s="465">
        <v>1904</v>
      </c>
      <c r="AE117" s="465">
        <v>2281</v>
      </c>
      <c r="AF117" s="465">
        <v>7980</v>
      </c>
      <c r="AG117" s="453">
        <v>9975</v>
      </c>
      <c r="AH117" s="453">
        <v>11970</v>
      </c>
      <c r="AI117" s="453">
        <v>13965</v>
      </c>
      <c r="AJ117" s="453">
        <v>15960</v>
      </c>
      <c r="AK117" s="453">
        <v>19005</v>
      </c>
      <c r="AL117" s="453">
        <v>22050</v>
      </c>
      <c r="AN117" s="531"/>
    </row>
    <row r="118" spans="1:40" x14ac:dyDescent="0.25">
      <c r="A118" s="456">
        <v>6</v>
      </c>
      <c r="B118" s="456">
        <v>5</v>
      </c>
      <c r="C118" s="456">
        <v>3.68</v>
      </c>
      <c r="F118" s="446" t="s">
        <v>1238</v>
      </c>
      <c r="AC118" s="452">
        <v>110</v>
      </c>
      <c r="AD118" s="465">
        <v>1904</v>
      </c>
      <c r="AE118" s="465">
        <v>2281</v>
      </c>
      <c r="AF118" s="465">
        <v>7980</v>
      </c>
      <c r="AG118" s="453">
        <v>9975</v>
      </c>
      <c r="AH118" s="453">
        <v>11970</v>
      </c>
      <c r="AI118" s="453">
        <v>13965</v>
      </c>
      <c r="AJ118" s="453">
        <v>15960</v>
      </c>
      <c r="AK118" s="453">
        <v>19005</v>
      </c>
      <c r="AL118" s="453">
        <v>22050</v>
      </c>
      <c r="AN118" s="531"/>
    </row>
    <row r="119" spans="1:40" x14ac:dyDescent="0.25">
      <c r="F119" s="468" t="s">
        <v>15</v>
      </c>
      <c r="G119" s="470" t="s">
        <v>1242</v>
      </c>
      <c r="H119" s="470" t="s">
        <v>1236</v>
      </c>
      <c r="AC119" s="452">
        <v>111</v>
      </c>
      <c r="AD119" s="465">
        <v>1904</v>
      </c>
      <c r="AE119" s="465">
        <v>2281</v>
      </c>
      <c r="AF119" s="465">
        <v>7980</v>
      </c>
      <c r="AG119" s="453">
        <v>9975</v>
      </c>
      <c r="AH119" s="453">
        <v>11970</v>
      </c>
      <c r="AI119" s="453">
        <v>13965</v>
      </c>
      <c r="AJ119" s="453">
        <v>15960</v>
      </c>
      <c r="AK119" s="453">
        <v>19005</v>
      </c>
      <c r="AL119" s="453">
        <v>22050</v>
      </c>
      <c r="AM119" s="532"/>
      <c r="AN119" s="531"/>
    </row>
    <row r="120" spans="1:40" x14ac:dyDescent="0.25">
      <c r="F120" s="457">
        <v>1</v>
      </c>
      <c r="G120" s="456" t="s">
        <v>1239</v>
      </c>
      <c r="H120" s="471">
        <v>0.1</v>
      </c>
      <c r="AC120" s="452">
        <v>112</v>
      </c>
      <c r="AD120" s="465">
        <v>1904</v>
      </c>
      <c r="AE120" s="465">
        <v>2281</v>
      </c>
      <c r="AF120" s="465">
        <v>7980</v>
      </c>
      <c r="AG120" s="453">
        <v>9975</v>
      </c>
      <c r="AH120" s="453">
        <v>11970</v>
      </c>
      <c r="AI120" s="453">
        <v>13965</v>
      </c>
      <c r="AJ120" s="453">
        <v>15960</v>
      </c>
      <c r="AK120" s="453">
        <v>19005</v>
      </c>
      <c r="AL120" s="453">
        <v>22050</v>
      </c>
      <c r="AN120" s="531"/>
    </row>
    <row r="121" spans="1:40" x14ac:dyDescent="0.25">
      <c r="F121" s="457">
        <v>2</v>
      </c>
      <c r="G121" s="456" t="s">
        <v>1240</v>
      </c>
      <c r="H121" s="471">
        <v>0</v>
      </c>
      <c r="AC121" s="452">
        <v>113</v>
      </c>
      <c r="AD121" s="465">
        <v>1904</v>
      </c>
      <c r="AE121" s="465">
        <v>2281</v>
      </c>
      <c r="AF121" s="465">
        <v>7980</v>
      </c>
      <c r="AG121" s="453">
        <v>9975</v>
      </c>
      <c r="AH121" s="453">
        <v>11970</v>
      </c>
      <c r="AI121" s="453">
        <v>13965</v>
      </c>
      <c r="AJ121" s="453">
        <v>15960</v>
      </c>
      <c r="AK121" s="453">
        <v>19005</v>
      </c>
      <c r="AL121" s="453">
        <v>22050</v>
      </c>
      <c r="AN121" s="531"/>
    </row>
    <row r="122" spans="1:40" x14ac:dyDescent="0.25">
      <c r="F122" s="446" t="s">
        <v>1241</v>
      </c>
      <c r="AC122" s="452">
        <v>114</v>
      </c>
      <c r="AD122" s="465">
        <v>1904</v>
      </c>
      <c r="AE122" s="465">
        <v>2281</v>
      </c>
      <c r="AF122" s="465">
        <v>7980</v>
      </c>
      <c r="AG122" s="453">
        <v>9975</v>
      </c>
      <c r="AH122" s="453">
        <v>11970</v>
      </c>
      <c r="AI122" s="453">
        <v>13965</v>
      </c>
      <c r="AJ122" s="453">
        <v>15960</v>
      </c>
      <c r="AK122" s="453">
        <v>19005</v>
      </c>
      <c r="AL122" s="453">
        <v>22050</v>
      </c>
      <c r="AN122" s="531"/>
    </row>
    <row r="123" spans="1:40" x14ac:dyDescent="0.25">
      <c r="F123" s="468" t="s">
        <v>15</v>
      </c>
      <c r="G123" s="470" t="s">
        <v>1243</v>
      </c>
      <c r="H123" s="470" t="s">
        <v>1236</v>
      </c>
      <c r="I123" s="470" t="s">
        <v>1248</v>
      </c>
      <c r="AC123" s="452">
        <v>115</v>
      </c>
      <c r="AD123" s="465">
        <v>1904</v>
      </c>
      <c r="AE123" s="465">
        <v>2281</v>
      </c>
      <c r="AF123" s="465">
        <v>7980</v>
      </c>
      <c r="AG123" s="453">
        <v>9975</v>
      </c>
      <c r="AH123" s="453">
        <v>11970</v>
      </c>
      <c r="AI123" s="453">
        <v>13965</v>
      </c>
      <c r="AJ123" s="453">
        <v>15960</v>
      </c>
      <c r="AK123" s="453">
        <v>19005</v>
      </c>
      <c r="AL123" s="453">
        <v>22050</v>
      </c>
      <c r="AM123" s="532"/>
      <c r="AN123" s="532"/>
    </row>
    <row r="124" spans="1:40" x14ac:dyDescent="0.25">
      <c r="F124" s="457">
        <v>1</v>
      </c>
      <c r="G124" s="456" t="s">
        <v>1244</v>
      </c>
      <c r="H124" s="471">
        <v>0.1</v>
      </c>
      <c r="I124" s="458">
        <v>3000</v>
      </c>
      <c r="AC124" s="452">
        <v>116</v>
      </c>
      <c r="AD124" s="465">
        <v>1904</v>
      </c>
      <c r="AE124" s="465">
        <v>2281</v>
      </c>
      <c r="AF124" s="465">
        <v>7980</v>
      </c>
      <c r="AG124" s="453">
        <v>9975</v>
      </c>
      <c r="AH124" s="453">
        <v>11970</v>
      </c>
      <c r="AI124" s="453">
        <v>13965</v>
      </c>
      <c r="AJ124" s="453">
        <v>15960</v>
      </c>
      <c r="AK124" s="453">
        <v>19005</v>
      </c>
      <c r="AL124" s="453">
        <v>22050</v>
      </c>
      <c r="AN124" s="533"/>
    </row>
    <row r="125" spans="1:40" x14ac:dyDescent="0.25">
      <c r="F125" s="457">
        <v>2</v>
      </c>
      <c r="G125" s="456" t="s">
        <v>1245</v>
      </c>
      <c r="H125" s="471">
        <v>0.15</v>
      </c>
      <c r="I125" s="458">
        <v>3600</v>
      </c>
      <c r="AC125" s="452">
        <v>117</v>
      </c>
      <c r="AD125" s="465">
        <v>1904</v>
      </c>
      <c r="AE125" s="465">
        <v>2281</v>
      </c>
      <c r="AF125" s="465">
        <v>7980</v>
      </c>
      <c r="AG125" s="453">
        <v>9975</v>
      </c>
      <c r="AH125" s="453">
        <v>11970</v>
      </c>
      <c r="AI125" s="453">
        <v>13965</v>
      </c>
      <c r="AJ125" s="453">
        <v>15960</v>
      </c>
      <c r="AK125" s="453">
        <v>19005</v>
      </c>
      <c r="AL125" s="453">
        <v>22050</v>
      </c>
      <c r="AN125" s="533"/>
    </row>
    <row r="126" spans="1:40" x14ac:dyDescent="0.25">
      <c r="F126" s="457">
        <v>3</v>
      </c>
      <c r="G126" s="456" t="s">
        <v>1246</v>
      </c>
      <c r="H126" s="471">
        <v>0</v>
      </c>
      <c r="I126" s="458">
        <v>0</v>
      </c>
      <c r="AC126" s="452">
        <v>118</v>
      </c>
      <c r="AD126" s="465">
        <v>1904</v>
      </c>
      <c r="AE126" s="465">
        <v>2281</v>
      </c>
      <c r="AF126" s="465">
        <v>7980</v>
      </c>
      <c r="AG126" s="453">
        <v>9975</v>
      </c>
      <c r="AH126" s="453">
        <v>11970</v>
      </c>
      <c r="AI126" s="453">
        <v>13965</v>
      </c>
      <c r="AJ126" s="453">
        <v>15960</v>
      </c>
      <c r="AK126" s="453">
        <v>19005</v>
      </c>
      <c r="AL126" s="453">
        <v>22050</v>
      </c>
      <c r="AN126" s="533"/>
    </row>
    <row r="127" spans="1:40" x14ac:dyDescent="0.25">
      <c r="F127" s="446" t="s">
        <v>1250</v>
      </c>
      <c r="AC127" s="452">
        <v>119</v>
      </c>
      <c r="AD127" s="465">
        <v>1904</v>
      </c>
      <c r="AE127" s="465">
        <v>2281</v>
      </c>
      <c r="AF127" s="465">
        <v>7980</v>
      </c>
      <c r="AG127" s="453">
        <v>9975</v>
      </c>
      <c r="AH127" s="453">
        <v>11970</v>
      </c>
      <c r="AI127" s="453">
        <v>13965</v>
      </c>
      <c r="AJ127" s="453">
        <v>15960</v>
      </c>
      <c r="AK127" s="453">
        <v>19005</v>
      </c>
      <c r="AL127" s="453">
        <v>22050</v>
      </c>
      <c r="AN127" s="531"/>
    </row>
    <row r="128" spans="1:40" x14ac:dyDescent="0.25">
      <c r="F128" s="468" t="s">
        <v>15</v>
      </c>
      <c r="G128" s="470" t="s">
        <v>1249</v>
      </c>
      <c r="H128" s="470" t="s">
        <v>1236</v>
      </c>
      <c r="AC128" s="452">
        <v>120</v>
      </c>
      <c r="AD128" s="465">
        <v>1904</v>
      </c>
      <c r="AE128" s="465">
        <v>2281</v>
      </c>
      <c r="AF128" s="465">
        <v>7980</v>
      </c>
      <c r="AG128" s="453">
        <v>9975</v>
      </c>
      <c r="AH128" s="453">
        <v>11970</v>
      </c>
      <c r="AI128" s="453">
        <v>13965</v>
      </c>
      <c r="AJ128" s="453">
        <v>15960</v>
      </c>
      <c r="AK128" s="453">
        <v>19005</v>
      </c>
      <c r="AL128" s="453">
        <v>22050</v>
      </c>
      <c r="AM128" s="532"/>
      <c r="AN128" s="531"/>
    </row>
    <row r="129" spans="6:40" x14ac:dyDescent="0.25">
      <c r="F129" s="457">
        <v>1</v>
      </c>
      <c r="G129" s="456" t="s">
        <v>1272</v>
      </c>
      <c r="H129" s="471">
        <v>0.2</v>
      </c>
      <c r="AC129" s="452">
        <v>121</v>
      </c>
      <c r="AD129" s="465">
        <v>1904</v>
      </c>
      <c r="AE129" s="465">
        <v>2281</v>
      </c>
      <c r="AF129" s="465">
        <v>7980</v>
      </c>
      <c r="AG129" s="453">
        <v>9975</v>
      </c>
      <c r="AH129" s="453">
        <v>11970</v>
      </c>
      <c r="AI129" s="453">
        <v>13965</v>
      </c>
      <c r="AJ129" s="453">
        <v>15960</v>
      </c>
      <c r="AK129" s="453">
        <v>19005</v>
      </c>
      <c r="AL129" s="453">
        <v>22050</v>
      </c>
      <c r="AN129" s="531"/>
    </row>
    <row r="130" spans="6:40" x14ac:dyDescent="0.25">
      <c r="F130" s="457">
        <v>2</v>
      </c>
      <c r="G130" s="456" t="s">
        <v>1271</v>
      </c>
      <c r="H130" s="471">
        <v>0</v>
      </c>
      <c r="AC130" s="452">
        <v>122</v>
      </c>
      <c r="AD130" s="465">
        <v>1904</v>
      </c>
      <c r="AE130" s="465">
        <v>2281</v>
      </c>
      <c r="AF130" s="465">
        <v>7980</v>
      </c>
      <c r="AG130" s="453">
        <v>9975</v>
      </c>
      <c r="AH130" s="453">
        <v>11970</v>
      </c>
      <c r="AI130" s="453">
        <v>13965</v>
      </c>
      <c r="AJ130" s="453">
        <v>15960</v>
      </c>
      <c r="AK130" s="453">
        <v>19005</v>
      </c>
      <c r="AL130" s="453">
        <v>22050</v>
      </c>
      <c r="AN130" s="531"/>
    </row>
    <row r="131" spans="6:40" x14ac:dyDescent="0.25">
      <c r="AC131" s="452">
        <v>123</v>
      </c>
      <c r="AD131" s="465">
        <v>1904</v>
      </c>
      <c r="AE131" s="465">
        <v>2281</v>
      </c>
      <c r="AF131" s="465">
        <v>7980</v>
      </c>
      <c r="AG131" s="453">
        <v>9975</v>
      </c>
      <c r="AH131" s="453">
        <v>11970</v>
      </c>
      <c r="AI131" s="453">
        <v>13965</v>
      </c>
      <c r="AJ131" s="453">
        <v>15960</v>
      </c>
      <c r="AK131" s="453">
        <v>19005</v>
      </c>
      <c r="AL131" s="453">
        <v>22050</v>
      </c>
    </row>
    <row r="132" spans="6:40" x14ac:dyDescent="0.25">
      <c r="AC132" s="452">
        <v>124</v>
      </c>
      <c r="AD132" s="465">
        <v>1904</v>
      </c>
      <c r="AE132" s="465">
        <v>2281</v>
      </c>
      <c r="AF132" s="465">
        <v>7980</v>
      </c>
      <c r="AG132" s="453">
        <v>9975</v>
      </c>
      <c r="AH132" s="453">
        <v>11970</v>
      </c>
      <c r="AI132" s="453">
        <v>13965</v>
      </c>
      <c r="AJ132" s="453">
        <v>15960</v>
      </c>
      <c r="AK132" s="453">
        <v>19005</v>
      </c>
      <c r="AL132" s="453">
        <v>22050</v>
      </c>
    </row>
    <row r="133" spans="6:40" x14ac:dyDescent="0.25">
      <c r="AC133" s="452">
        <v>125</v>
      </c>
      <c r="AD133" s="465">
        <v>1904</v>
      </c>
      <c r="AE133" s="465">
        <v>2281</v>
      </c>
      <c r="AF133" s="465">
        <v>7980</v>
      </c>
      <c r="AG133" s="453">
        <v>9975</v>
      </c>
      <c r="AH133" s="453">
        <v>11970</v>
      </c>
      <c r="AI133" s="453">
        <v>13965</v>
      </c>
      <c r="AJ133" s="453">
        <v>15960</v>
      </c>
      <c r="AK133" s="453">
        <v>19005</v>
      </c>
      <c r="AL133" s="453">
        <v>22050</v>
      </c>
    </row>
    <row r="134" spans="6:40" x14ac:dyDescent="0.25">
      <c r="AC134" s="452">
        <v>126</v>
      </c>
      <c r="AD134" s="465">
        <v>1904</v>
      </c>
      <c r="AE134" s="465">
        <v>2281</v>
      </c>
      <c r="AF134" s="465">
        <v>7980</v>
      </c>
      <c r="AG134" s="453">
        <v>9975</v>
      </c>
      <c r="AH134" s="453">
        <v>11970</v>
      </c>
      <c r="AI134" s="453">
        <v>13965</v>
      </c>
      <c r="AJ134" s="453">
        <v>15960</v>
      </c>
      <c r="AK134" s="453">
        <v>19005</v>
      </c>
      <c r="AL134" s="453">
        <v>22050</v>
      </c>
    </row>
    <row r="135" spans="6:40" x14ac:dyDescent="0.25">
      <c r="AC135" s="452">
        <v>127</v>
      </c>
      <c r="AD135" s="465">
        <v>1904</v>
      </c>
      <c r="AE135" s="465">
        <v>2281</v>
      </c>
      <c r="AF135" s="465">
        <v>7980</v>
      </c>
      <c r="AG135" s="453">
        <v>9975</v>
      </c>
      <c r="AH135" s="453">
        <v>11970</v>
      </c>
      <c r="AI135" s="453">
        <v>13965</v>
      </c>
      <c r="AJ135" s="453">
        <v>15960</v>
      </c>
      <c r="AK135" s="453">
        <v>19005</v>
      </c>
      <c r="AL135" s="453">
        <v>22050</v>
      </c>
    </row>
    <row r="136" spans="6:40" x14ac:dyDescent="0.25">
      <c r="AC136" s="452">
        <v>128</v>
      </c>
      <c r="AD136" s="465">
        <v>1904</v>
      </c>
      <c r="AE136" s="465">
        <v>2281</v>
      </c>
      <c r="AF136" s="465">
        <v>7980</v>
      </c>
      <c r="AG136" s="453">
        <v>9975</v>
      </c>
      <c r="AH136" s="453">
        <v>11970</v>
      </c>
      <c r="AI136" s="453">
        <v>13965</v>
      </c>
      <c r="AJ136" s="453">
        <v>15960</v>
      </c>
      <c r="AK136" s="453">
        <v>19005</v>
      </c>
      <c r="AL136" s="453">
        <v>22050</v>
      </c>
    </row>
    <row r="137" spans="6:40" x14ac:dyDescent="0.25">
      <c r="AC137" s="452">
        <v>129</v>
      </c>
      <c r="AD137" s="465">
        <v>1904</v>
      </c>
      <c r="AE137" s="465">
        <v>2281</v>
      </c>
      <c r="AF137" s="465">
        <v>7980</v>
      </c>
      <c r="AG137" s="453">
        <v>9975</v>
      </c>
      <c r="AH137" s="453">
        <v>11970</v>
      </c>
      <c r="AI137" s="453">
        <v>13965</v>
      </c>
      <c r="AJ137" s="453">
        <v>15960</v>
      </c>
      <c r="AK137" s="453">
        <v>19005</v>
      </c>
      <c r="AL137" s="453">
        <v>22050</v>
      </c>
    </row>
    <row r="138" spans="6:40" x14ac:dyDescent="0.25">
      <c r="AC138" s="452">
        <v>130</v>
      </c>
      <c r="AD138" s="465">
        <v>1904</v>
      </c>
      <c r="AE138" s="465">
        <v>2281</v>
      </c>
      <c r="AF138" s="465">
        <v>7980</v>
      </c>
      <c r="AG138" s="453">
        <v>9975</v>
      </c>
      <c r="AH138" s="453">
        <v>11970</v>
      </c>
      <c r="AI138" s="453">
        <v>13965</v>
      </c>
      <c r="AJ138" s="453">
        <v>15960</v>
      </c>
      <c r="AK138" s="453">
        <v>19005</v>
      </c>
      <c r="AL138" s="453">
        <v>22050</v>
      </c>
    </row>
    <row r="139" spans="6:40" x14ac:dyDescent="0.25">
      <c r="AC139" s="452">
        <v>131</v>
      </c>
      <c r="AD139" s="465">
        <v>1904</v>
      </c>
      <c r="AE139" s="465">
        <v>2281</v>
      </c>
      <c r="AF139" s="465">
        <v>7980</v>
      </c>
      <c r="AG139" s="453">
        <v>9975</v>
      </c>
      <c r="AH139" s="453">
        <v>11970</v>
      </c>
      <c r="AI139" s="453">
        <v>13965</v>
      </c>
      <c r="AJ139" s="453">
        <v>15960</v>
      </c>
      <c r="AK139" s="453">
        <v>19005</v>
      </c>
      <c r="AL139" s="453">
        <v>22050</v>
      </c>
    </row>
    <row r="140" spans="6:40" x14ac:dyDescent="0.25">
      <c r="AC140" s="452">
        <v>132</v>
      </c>
      <c r="AD140" s="465">
        <v>1904</v>
      </c>
      <c r="AE140" s="465">
        <v>2281</v>
      </c>
      <c r="AF140" s="465">
        <v>7980</v>
      </c>
      <c r="AG140" s="453">
        <v>9975</v>
      </c>
      <c r="AH140" s="453">
        <v>11970</v>
      </c>
      <c r="AI140" s="453">
        <v>13965</v>
      </c>
      <c r="AJ140" s="453">
        <v>15960</v>
      </c>
      <c r="AK140" s="453">
        <v>19005</v>
      </c>
      <c r="AL140" s="453">
        <v>22050</v>
      </c>
    </row>
    <row r="141" spans="6:40" x14ac:dyDescent="0.25">
      <c r="AC141" s="452">
        <v>133</v>
      </c>
      <c r="AD141" s="465">
        <v>1904</v>
      </c>
      <c r="AE141" s="465">
        <v>2281</v>
      </c>
      <c r="AF141" s="465">
        <v>7980</v>
      </c>
      <c r="AG141" s="453">
        <v>9975</v>
      </c>
      <c r="AH141" s="453">
        <v>11970</v>
      </c>
      <c r="AI141" s="453">
        <v>13965</v>
      </c>
      <c r="AJ141" s="453">
        <v>15960</v>
      </c>
      <c r="AK141" s="453">
        <v>19005</v>
      </c>
      <c r="AL141" s="453">
        <v>22050</v>
      </c>
    </row>
    <row r="142" spans="6:40" x14ac:dyDescent="0.25">
      <c r="AC142" s="452">
        <v>134</v>
      </c>
      <c r="AD142" s="465">
        <v>1904</v>
      </c>
      <c r="AE142" s="465">
        <v>2281</v>
      </c>
      <c r="AF142" s="465">
        <v>7980</v>
      </c>
      <c r="AG142" s="453">
        <v>9975</v>
      </c>
      <c r="AH142" s="453">
        <v>11970</v>
      </c>
      <c r="AI142" s="453">
        <v>13965</v>
      </c>
      <c r="AJ142" s="453">
        <v>15960</v>
      </c>
      <c r="AK142" s="453">
        <v>19005</v>
      </c>
      <c r="AL142" s="453">
        <v>22050</v>
      </c>
    </row>
    <row r="143" spans="6:40" x14ac:dyDescent="0.25">
      <c r="AC143" s="452">
        <v>135</v>
      </c>
      <c r="AD143" s="465">
        <v>1904</v>
      </c>
      <c r="AE143" s="465">
        <v>2281</v>
      </c>
      <c r="AF143" s="465">
        <v>7980</v>
      </c>
      <c r="AG143" s="453">
        <v>9975</v>
      </c>
      <c r="AH143" s="453">
        <v>11970</v>
      </c>
      <c r="AI143" s="453">
        <v>13965</v>
      </c>
      <c r="AJ143" s="453">
        <v>15960</v>
      </c>
      <c r="AK143" s="453">
        <v>19005</v>
      </c>
      <c r="AL143" s="453">
        <v>22050</v>
      </c>
    </row>
    <row r="144" spans="6:40" x14ac:dyDescent="0.25">
      <c r="AC144" s="452">
        <v>136</v>
      </c>
      <c r="AD144" s="465">
        <v>1904</v>
      </c>
      <c r="AE144" s="465">
        <v>2281</v>
      </c>
      <c r="AF144" s="465">
        <v>7980</v>
      </c>
      <c r="AG144" s="453">
        <v>9975</v>
      </c>
      <c r="AH144" s="453">
        <v>11970</v>
      </c>
      <c r="AI144" s="453">
        <v>13965</v>
      </c>
      <c r="AJ144" s="453">
        <v>15960</v>
      </c>
      <c r="AK144" s="453">
        <v>19005</v>
      </c>
      <c r="AL144" s="453">
        <v>22050</v>
      </c>
    </row>
    <row r="145" spans="29:38" x14ac:dyDescent="0.25">
      <c r="AC145" s="452">
        <v>137</v>
      </c>
      <c r="AD145" s="465">
        <v>1904</v>
      </c>
      <c r="AE145" s="465">
        <v>2281</v>
      </c>
      <c r="AF145" s="465">
        <v>7980</v>
      </c>
      <c r="AG145" s="453">
        <v>9975</v>
      </c>
      <c r="AH145" s="453">
        <v>11970</v>
      </c>
      <c r="AI145" s="453">
        <v>13965</v>
      </c>
      <c r="AJ145" s="453">
        <v>15960</v>
      </c>
      <c r="AK145" s="453">
        <v>19005</v>
      </c>
      <c r="AL145" s="453">
        <v>22050</v>
      </c>
    </row>
    <row r="146" spans="29:38" x14ac:dyDescent="0.25">
      <c r="AC146" s="452">
        <v>138</v>
      </c>
      <c r="AD146" s="465">
        <v>1904</v>
      </c>
      <c r="AE146" s="465">
        <v>2281</v>
      </c>
      <c r="AF146" s="465">
        <v>7980</v>
      </c>
      <c r="AG146" s="453">
        <v>9975</v>
      </c>
      <c r="AH146" s="453">
        <v>11970</v>
      </c>
      <c r="AI146" s="453">
        <v>13965</v>
      </c>
      <c r="AJ146" s="453">
        <v>15960</v>
      </c>
      <c r="AK146" s="453">
        <v>19005</v>
      </c>
      <c r="AL146" s="453">
        <v>22050</v>
      </c>
    </row>
    <row r="147" spans="29:38" x14ac:dyDescent="0.25">
      <c r="AC147" s="452">
        <v>139</v>
      </c>
      <c r="AD147" s="465">
        <v>1904</v>
      </c>
      <c r="AE147" s="465">
        <v>2281</v>
      </c>
      <c r="AF147" s="465">
        <v>7980</v>
      </c>
      <c r="AG147" s="453">
        <v>9975</v>
      </c>
      <c r="AH147" s="453">
        <v>11970</v>
      </c>
      <c r="AI147" s="453">
        <v>13965</v>
      </c>
      <c r="AJ147" s="453">
        <v>15960</v>
      </c>
      <c r="AK147" s="453">
        <v>19005</v>
      </c>
      <c r="AL147" s="453">
        <v>22050</v>
      </c>
    </row>
    <row r="148" spans="29:38" x14ac:dyDescent="0.25">
      <c r="AC148" s="452">
        <v>140</v>
      </c>
      <c r="AD148" s="465">
        <v>1904</v>
      </c>
      <c r="AE148" s="465">
        <v>2281</v>
      </c>
      <c r="AF148" s="465">
        <v>7980</v>
      </c>
      <c r="AG148" s="453">
        <v>9975</v>
      </c>
      <c r="AH148" s="453">
        <v>11970</v>
      </c>
      <c r="AI148" s="453">
        <v>13965</v>
      </c>
      <c r="AJ148" s="453">
        <v>15960</v>
      </c>
      <c r="AK148" s="453">
        <v>19005</v>
      </c>
      <c r="AL148" s="453">
        <v>22050</v>
      </c>
    </row>
    <row r="149" spans="29:38" x14ac:dyDescent="0.25">
      <c r="AC149" s="452">
        <v>141</v>
      </c>
      <c r="AD149" s="465">
        <v>1904</v>
      </c>
      <c r="AE149" s="465">
        <v>2281</v>
      </c>
      <c r="AF149" s="465">
        <v>7980</v>
      </c>
      <c r="AG149" s="453">
        <v>9975</v>
      </c>
      <c r="AH149" s="453">
        <v>11970</v>
      </c>
      <c r="AI149" s="453">
        <v>13965</v>
      </c>
      <c r="AJ149" s="453">
        <v>15960</v>
      </c>
      <c r="AK149" s="453">
        <v>19005</v>
      </c>
      <c r="AL149" s="453">
        <v>22050</v>
      </c>
    </row>
    <row r="150" spans="29:38" x14ac:dyDescent="0.25">
      <c r="AC150" s="452">
        <v>142</v>
      </c>
      <c r="AD150" s="465">
        <v>1904</v>
      </c>
      <c r="AE150" s="465">
        <v>2281</v>
      </c>
      <c r="AF150" s="465">
        <v>7980</v>
      </c>
      <c r="AG150" s="453">
        <v>9975</v>
      </c>
      <c r="AH150" s="453">
        <v>11970</v>
      </c>
      <c r="AI150" s="453">
        <v>13965</v>
      </c>
      <c r="AJ150" s="453">
        <v>15960</v>
      </c>
      <c r="AK150" s="453">
        <v>19005</v>
      </c>
      <c r="AL150" s="453">
        <v>22050</v>
      </c>
    </row>
    <row r="151" spans="29:38" x14ac:dyDescent="0.25">
      <c r="AC151" s="452">
        <v>143</v>
      </c>
      <c r="AD151" s="465">
        <v>1904</v>
      </c>
      <c r="AE151" s="465">
        <v>2281</v>
      </c>
      <c r="AF151" s="465">
        <v>7980</v>
      </c>
      <c r="AG151" s="453">
        <v>9975</v>
      </c>
      <c r="AH151" s="453">
        <v>11970</v>
      </c>
      <c r="AI151" s="453">
        <v>13965</v>
      </c>
      <c r="AJ151" s="453">
        <v>15960</v>
      </c>
      <c r="AK151" s="453">
        <v>19005</v>
      </c>
      <c r="AL151" s="453">
        <v>22050</v>
      </c>
    </row>
    <row r="152" spans="29:38" x14ac:dyDescent="0.25">
      <c r="AC152" s="452">
        <v>144</v>
      </c>
      <c r="AD152" s="465">
        <v>1904</v>
      </c>
      <c r="AE152" s="465">
        <v>2281</v>
      </c>
      <c r="AF152" s="465">
        <v>7980</v>
      </c>
      <c r="AG152" s="453">
        <v>9975</v>
      </c>
      <c r="AH152" s="453">
        <v>11970</v>
      </c>
      <c r="AI152" s="453">
        <v>13965</v>
      </c>
      <c r="AJ152" s="453">
        <v>15960</v>
      </c>
      <c r="AK152" s="453">
        <v>19005</v>
      </c>
      <c r="AL152" s="453">
        <v>22050</v>
      </c>
    </row>
    <row r="153" spans="29:38" x14ac:dyDescent="0.25">
      <c r="AC153" s="452">
        <v>145</v>
      </c>
      <c r="AD153" s="465">
        <v>1904</v>
      </c>
      <c r="AE153" s="465">
        <v>2281</v>
      </c>
      <c r="AF153" s="465">
        <v>7980</v>
      </c>
      <c r="AG153" s="453">
        <v>9975</v>
      </c>
      <c r="AH153" s="453">
        <v>11970</v>
      </c>
      <c r="AI153" s="453">
        <v>13965</v>
      </c>
      <c r="AJ153" s="453">
        <v>15960</v>
      </c>
      <c r="AK153" s="453">
        <v>19005</v>
      </c>
      <c r="AL153" s="453">
        <v>22050</v>
      </c>
    </row>
    <row r="154" spans="29:38" x14ac:dyDescent="0.25">
      <c r="AC154" s="452">
        <v>146</v>
      </c>
      <c r="AD154" s="465">
        <v>1904</v>
      </c>
      <c r="AE154" s="465">
        <v>2281</v>
      </c>
      <c r="AF154" s="465">
        <v>7980</v>
      </c>
      <c r="AG154" s="453">
        <v>9975</v>
      </c>
      <c r="AH154" s="453">
        <v>11970</v>
      </c>
      <c r="AI154" s="453">
        <v>13965</v>
      </c>
      <c r="AJ154" s="453">
        <v>15960</v>
      </c>
      <c r="AK154" s="453">
        <v>19005</v>
      </c>
      <c r="AL154" s="453">
        <v>22050</v>
      </c>
    </row>
    <row r="155" spans="29:38" x14ac:dyDescent="0.25">
      <c r="AC155" s="452">
        <v>147</v>
      </c>
      <c r="AD155" s="465">
        <v>1904</v>
      </c>
      <c r="AE155" s="465">
        <v>2281</v>
      </c>
      <c r="AF155" s="465">
        <v>7980</v>
      </c>
      <c r="AG155" s="453">
        <v>9975</v>
      </c>
      <c r="AH155" s="453">
        <v>11970</v>
      </c>
      <c r="AI155" s="453">
        <v>13965</v>
      </c>
      <c r="AJ155" s="453">
        <v>15960</v>
      </c>
      <c r="AK155" s="453">
        <v>19005</v>
      </c>
      <c r="AL155" s="453">
        <v>22050</v>
      </c>
    </row>
    <row r="156" spans="29:38" x14ac:dyDescent="0.25">
      <c r="AC156" s="452">
        <v>148</v>
      </c>
      <c r="AD156" s="465">
        <v>1904</v>
      </c>
      <c r="AE156" s="465">
        <v>2281</v>
      </c>
      <c r="AF156" s="465">
        <v>7980</v>
      </c>
      <c r="AG156" s="453">
        <v>9975</v>
      </c>
      <c r="AH156" s="453">
        <v>11970</v>
      </c>
      <c r="AI156" s="453">
        <v>13965</v>
      </c>
      <c r="AJ156" s="453">
        <v>15960</v>
      </c>
      <c r="AK156" s="453">
        <v>19005</v>
      </c>
      <c r="AL156" s="453">
        <v>22050</v>
      </c>
    </row>
    <row r="157" spans="29:38" x14ac:dyDescent="0.25">
      <c r="AC157" s="452">
        <v>149</v>
      </c>
      <c r="AD157" s="465">
        <v>1904</v>
      </c>
      <c r="AE157" s="465">
        <v>2281</v>
      </c>
      <c r="AF157" s="465">
        <v>7980</v>
      </c>
      <c r="AG157" s="453">
        <v>9975</v>
      </c>
      <c r="AH157" s="453">
        <v>11970</v>
      </c>
      <c r="AI157" s="453">
        <v>13965</v>
      </c>
      <c r="AJ157" s="453">
        <v>15960</v>
      </c>
      <c r="AK157" s="453">
        <v>19005</v>
      </c>
      <c r="AL157" s="453">
        <v>22050</v>
      </c>
    </row>
    <row r="158" spans="29:38" x14ac:dyDescent="0.25">
      <c r="AC158" s="452">
        <v>150</v>
      </c>
      <c r="AD158" s="465">
        <v>1904</v>
      </c>
      <c r="AE158" s="465">
        <v>2281</v>
      </c>
      <c r="AF158" s="465">
        <v>7980</v>
      </c>
      <c r="AG158" s="453">
        <v>9975</v>
      </c>
      <c r="AH158" s="453">
        <v>11970</v>
      </c>
      <c r="AI158" s="453">
        <v>13965</v>
      </c>
      <c r="AJ158" s="453">
        <v>15960</v>
      </c>
      <c r="AK158" s="453">
        <v>19005</v>
      </c>
      <c r="AL158" s="453">
        <v>22050</v>
      </c>
    </row>
    <row r="159" spans="29:38" x14ac:dyDescent="0.25">
      <c r="AC159" s="452">
        <v>151</v>
      </c>
      <c r="AD159" s="465">
        <v>1904</v>
      </c>
      <c r="AE159" s="465">
        <v>2281</v>
      </c>
      <c r="AF159" s="456">
        <v>7875</v>
      </c>
      <c r="AG159" s="456">
        <v>9765</v>
      </c>
      <c r="AH159" s="456">
        <v>11760</v>
      </c>
      <c r="AI159" s="456">
        <v>13650</v>
      </c>
      <c r="AJ159" s="456">
        <v>15645</v>
      </c>
      <c r="AK159" s="456">
        <v>18585</v>
      </c>
      <c r="AL159" s="456">
        <v>21525</v>
      </c>
    </row>
  </sheetData>
  <mergeCells count="12">
    <mergeCell ref="AC6:AC7"/>
    <mergeCell ref="AN6:AN7"/>
    <mergeCell ref="V6:X6"/>
    <mergeCell ref="Y6:AA6"/>
    <mergeCell ref="I6:I7"/>
    <mergeCell ref="A111:C111"/>
    <mergeCell ref="U6:U7"/>
    <mergeCell ref="Q6:Q7"/>
    <mergeCell ref="S6:S7"/>
    <mergeCell ref="R6:R7"/>
    <mergeCell ref="T6:T7"/>
    <mergeCell ref="A6:A7"/>
  </mergeCells>
  <phoneticPr fontId="2" type="noConversion"/>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L54"/>
  <sheetViews>
    <sheetView showGridLines="0" workbookViewId="0"/>
  </sheetViews>
  <sheetFormatPr defaultRowHeight="15" x14ac:dyDescent="0.25"/>
  <cols>
    <col min="1" max="1" width="4.28515625" style="2" customWidth="1"/>
    <col min="2" max="2" width="21.28515625" style="2" customWidth="1"/>
    <col min="3" max="3" width="10.5703125" style="120" customWidth="1"/>
    <col min="4" max="4" width="13.85546875" style="120" customWidth="1"/>
    <col min="5" max="5" width="12.140625" style="120" customWidth="1"/>
    <col min="6" max="6" width="13.28515625" style="2" customWidth="1"/>
    <col min="7" max="7" width="7.85546875" style="2" bestFit="1" customWidth="1"/>
    <col min="8" max="8" width="15.140625" style="508" bestFit="1" customWidth="1"/>
    <col min="9" max="9" width="14.28515625" style="2" customWidth="1"/>
    <col min="10" max="10" width="9.140625" style="2"/>
    <col min="11" max="11" width="15.42578125" style="2" bestFit="1" customWidth="1"/>
    <col min="12" max="12" width="23.28515625" style="2" bestFit="1" customWidth="1"/>
    <col min="13" max="16384" width="9.140625" style="2"/>
  </cols>
  <sheetData>
    <row r="1" spans="1:8" ht="20.25" x14ac:dyDescent="0.25">
      <c r="A1" s="488" t="s">
        <v>1278</v>
      </c>
      <c r="B1" s="488"/>
      <c r="C1" s="489"/>
      <c r="D1" s="489"/>
      <c r="E1" s="489"/>
      <c r="F1" s="489"/>
      <c r="G1" s="489"/>
      <c r="H1" s="490"/>
    </row>
    <row r="2" spans="1:8" s="101" customFormat="1" ht="14.25" x14ac:dyDescent="0.2">
      <c r="A2" s="105" t="str">
        <f>"CÔNG TRÌNH : "&amp;'Bia du toan'!$G$12</f>
        <v>CÔNG TRÌNH : TRƯỜNG CAO ĐẲNG LÝ TỰ TRỌNG</v>
      </c>
      <c r="B2" s="105"/>
      <c r="C2" s="491"/>
      <c r="D2" s="491"/>
      <c r="E2" s="491"/>
      <c r="F2" s="105"/>
      <c r="G2" s="105"/>
      <c r="H2" s="492"/>
    </row>
    <row r="3" spans="1:8" s="101" customFormat="1" ht="14.25" x14ac:dyDescent="0.2">
      <c r="A3" s="105" t="str">
        <f>"HẠNG MỤC : "&amp; 'Bia du toan'!$G$13</f>
        <v>HẠNG MỤC : CẢI TẠO THƯ VIỆN GIAI ĐOẠN 2 - NĂM 2019</v>
      </c>
      <c r="B3" s="105"/>
      <c r="C3" s="491"/>
      <c r="D3" s="491"/>
      <c r="E3" s="491"/>
      <c r="F3" s="105"/>
      <c r="G3" s="105"/>
      <c r="H3" s="492"/>
    </row>
    <row r="4" spans="1:8" x14ac:dyDescent="0.25">
      <c r="A4" s="40"/>
      <c r="B4" s="40"/>
      <c r="C4" s="493"/>
      <c r="D4" s="493"/>
      <c r="E4" s="493"/>
      <c r="F4" s="40"/>
      <c r="G4" s="40"/>
      <c r="H4" s="490"/>
    </row>
    <row r="5" spans="1:8" s="106" customFormat="1" ht="36" customHeight="1" x14ac:dyDescent="0.2">
      <c r="A5" s="494" t="s">
        <v>15</v>
      </c>
      <c r="B5" s="494" t="s">
        <v>1279</v>
      </c>
      <c r="C5" s="495" t="s">
        <v>1280</v>
      </c>
      <c r="D5" s="495" t="s">
        <v>1281</v>
      </c>
      <c r="E5" s="495" t="s">
        <v>1282</v>
      </c>
      <c r="F5" s="495" t="s">
        <v>1283</v>
      </c>
      <c r="G5" s="495" t="s">
        <v>1284</v>
      </c>
      <c r="H5" s="496" t="s">
        <v>1285</v>
      </c>
    </row>
    <row r="6" spans="1:8" x14ac:dyDescent="0.25">
      <c r="A6" s="285"/>
      <c r="B6" s="285"/>
      <c r="C6" s="497"/>
      <c r="D6" s="498">
        <f xml:space="preserve"> IF(C6&lt;3,0,C6-3)</f>
        <v>0</v>
      </c>
      <c r="E6" s="497"/>
      <c r="F6" s="285"/>
      <c r="G6" s="285">
        <f>CuocVC!$B$109*hsdc_CuocVC</f>
        <v>457</v>
      </c>
      <c r="H6" s="498">
        <f xml:space="preserve"> (D6*2-E6*2)*G6*F6</f>
        <v>0</v>
      </c>
    </row>
    <row r="7" spans="1:8" x14ac:dyDescent="0.25">
      <c r="A7" s="82"/>
      <c r="B7" s="82"/>
      <c r="C7" s="499"/>
      <c r="D7" s="500">
        <f t="shared" ref="D7:D16" si="0" xml:space="preserve"> IF(C7&lt;3,0,C7-3)</f>
        <v>0</v>
      </c>
      <c r="E7" s="499"/>
      <c r="F7" s="82"/>
      <c r="G7" s="82">
        <f>CuocVC!$B$109*hsdc_CuocVC</f>
        <v>457</v>
      </c>
      <c r="H7" s="500">
        <f t="shared" ref="H7:H16" si="1" xml:space="preserve"> (D7*2-E7*2)*G7*F7</f>
        <v>0</v>
      </c>
    </row>
    <row r="8" spans="1:8" x14ac:dyDescent="0.25">
      <c r="A8" s="82"/>
      <c r="B8" s="82"/>
      <c r="C8" s="499"/>
      <c r="D8" s="500">
        <f t="shared" si="0"/>
        <v>0</v>
      </c>
      <c r="E8" s="499"/>
      <c r="F8" s="82"/>
      <c r="G8" s="82">
        <f>CuocVC!$B$109*hsdc_CuocVC</f>
        <v>457</v>
      </c>
      <c r="H8" s="500">
        <f t="shared" si="1"/>
        <v>0</v>
      </c>
    </row>
    <row r="9" spans="1:8" x14ac:dyDescent="0.25">
      <c r="A9" s="82"/>
      <c r="B9" s="82"/>
      <c r="C9" s="499"/>
      <c r="D9" s="500">
        <f t="shared" si="0"/>
        <v>0</v>
      </c>
      <c r="E9" s="499"/>
      <c r="F9" s="82"/>
      <c r="G9" s="82">
        <f>CuocVC!$B$109*hsdc_CuocVC</f>
        <v>457</v>
      </c>
      <c r="H9" s="500">
        <f t="shared" si="1"/>
        <v>0</v>
      </c>
    </row>
    <row r="10" spans="1:8" x14ac:dyDescent="0.25">
      <c r="A10" s="82"/>
      <c r="B10" s="82"/>
      <c r="C10" s="499"/>
      <c r="D10" s="500">
        <f t="shared" si="0"/>
        <v>0</v>
      </c>
      <c r="E10" s="499"/>
      <c r="F10" s="82"/>
      <c r="G10" s="82">
        <f>CuocVC!$B$109*hsdc_CuocVC</f>
        <v>457</v>
      </c>
      <c r="H10" s="500">
        <f t="shared" si="1"/>
        <v>0</v>
      </c>
    </row>
    <row r="11" spans="1:8" x14ac:dyDescent="0.25">
      <c r="A11" s="82"/>
      <c r="B11" s="82"/>
      <c r="C11" s="499"/>
      <c r="D11" s="500">
        <f t="shared" si="0"/>
        <v>0</v>
      </c>
      <c r="E11" s="499"/>
      <c r="F11" s="82"/>
      <c r="G11" s="82">
        <f>CuocVC!$B$109*hsdc_CuocVC</f>
        <v>457</v>
      </c>
      <c r="H11" s="500">
        <f t="shared" si="1"/>
        <v>0</v>
      </c>
    </row>
    <row r="12" spans="1:8" x14ac:dyDescent="0.25">
      <c r="A12" s="82"/>
      <c r="B12" s="82"/>
      <c r="C12" s="499"/>
      <c r="D12" s="500">
        <f t="shared" si="0"/>
        <v>0</v>
      </c>
      <c r="E12" s="499"/>
      <c r="F12" s="82"/>
      <c r="G12" s="82">
        <f>CuocVC!$B$109*hsdc_CuocVC</f>
        <v>457</v>
      </c>
      <c r="H12" s="500">
        <f t="shared" si="1"/>
        <v>0</v>
      </c>
    </row>
    <row r="13" spans="1:8" x14ac:dyDescent="0.25">
      <c r="A13" s="82"/>
      <c r="B13" s="82"/>
      <c r="C13" s="499"/>
      <c r="D13" s="500">
        <f t="shared" si="0"/>
        <v>0</v>
      </c>
      <c r="E13" s="499"/>
      <c r="F13" s="82"/>
      <c r="G13" s="82">
        <f>CuocVC!$B$109*hsdc_CuocVC</f>
        <v>457</v>
      </c>
      <c r="H13" s="500">
        <f t="shared" si="1"/>
        <v>0</v>
      </c>
    </row>
    <row r="14" spans="1:8" x14ac:dyDescent="0.25">
      <c r="A14" s="82"/>
      <c r="B14" s="82"/>
      <c r="C14" s="499"/>
      <c r="D14" s="500">
        <f t="shared" si="0"/>
        <v>0</v>
      </c>
      <c r="E14" s="499"/>
      <c r="F14" s="82"/>
      <c r="G14" s="82">
        <f>CuocVC!$B$109*hsdc_CuocVC</f>
        <v>457</v>
      </c>
      <c r="H14" s="500">
        <f t="shared" si="1"/>
        <v>0</v>
      </c>
    </row>
    <row r="15" spans="1:8" x14ac:dyDescent="0.25">
      <c r="A15" s="82"/>
      <c r="B15" s="82"/>
      <c r="C15" s="499"/>
      <c r="D15" s="500">
        <f t="shared" si="0"/>
        <v>0</v>
      </c>
      <c r="E15" s="499"/>
      <c r="F15" s="82"/>
      <c r="G15" s="82">
        <f>CuocVC!$B$109*hsdc_CuocVC</f>
        <v>457</v>
      </c>
      <c r="H15" s="500">
        <f t="shared" si="1"/>
        <v>0</v>
      </c>
    </row>
    <row r="16" spans="1:8" x14ac:dyDescent="0.25">
      <c r="A16" s="501"/>
      <c r="B16" s="501"/>
      <c r="C16" s="502"/>
      <c r="D16" s="503">
        <f t="shared" si="0"/>
        <v>0</v>
      </c>
      <c r="E16" s="502"/>
      <c r="F16" s="501"/>
      <c r="G16" s="501">
        <f>CuocVC!$B$109*hsdc_CuocVC</f>
        <v>457</v>
      </c>
      <c r="H16" s="503">
        <f t="shared" si="1"/>
        <v>0</v>
      </c>
    </row>
    <row r="17" spans="1:12" s="101" customFormat="1" ht="14.25" x14ac:dyDescent="0.2">
      <c r="A17" s="504" t="s">
        <v>1286</v>
      </c>
      <c r="B17" s="505" t="s">
        <v>105</v>
      </c>
      <c r="C17" s="504"/>
      <c r="D17" s="505"/>
      <c r="E17" s="505"/>
      <c r="F17" s="504"/>
      <c r="G17" s="504"/>
      <c r="H17" s="506">
        <f>SUM(H6:H16)</f>
        <v>0</v>
      </c>
    </row>
    <row r="19" spans="1:12" x14ac:dyDescent="0.25">
      <c r="A19" s="507" t="s">
        <v>574</v>
      </c>
    </row>
    <row r="20" spans="1:12" x14ac:dyDescent="0.25">
      <c r="B20" s="402" t="s">
        <v>1287</v>
      </c>
    </row>
    <row r="21" spans="1:12" x14ac:dyDescent="0.25">
      <c r="B21" s="402" t="s">
        <v>1300</v>
      </c>
    </row>
    <row r="23" spans="1:12" ht="20.25" x14ac:dyDescent="0.25">
      <c r="A23" s="488" t="s">
        <v>1288</v>
      </c>
      <c r="B23" s="488"/>
      <c r="C23" s="489"/>
      <c r="D23" s="489"/>
      <c r="E23" s="489"/>
      <c r="F23" s="489"/>
      <c r="G23" s="489"/>
      <c r="H23" s="490"/>
    </row>
    <row r="24" spans="1:12" s="101" customFormat="1" ht="14.25" x14ac:dyDescent="0.2">
      <c r="A24" s="105" t="str">
        <f>"CÔNG TRÌNH : "&amp;'Bia du toan'!$G$12</f>
        <v>CÔNG TRÌNH : TRƯỜNG CAO ĐẲNG LÝ TỰ TRỌNG</v>
      </c>
      <c r="B24" s="105"/>
      <c r="C24" s="491"/>
      <c r="D24" s="491"/>
      <c r="E24" s="491"/>
      <c r="F24" s="105"/>
      <c r="G24" s="105"/>
      <c r="H24" s="492"/>
    </row>
    <row r="25" spans="1:12" s="101" customFormat="1" ht="14.25" x14ac:dyDescent="0.2">
      <c r="A25" s="105" t="str">
        <f>"HẠNG MỤC : "&amp; 'Bia du toan'!$G$13</f>
        <v>HẠNG MỤC : CẢI TẠO THƯ VIỆN GIAI ĐOẠN 2 - NĂM 2019</v>
      </c>
      <c r="B25" s="105"/>
      <c r="C25" s="491"/>
      <c r="D25" s="491"/>
      <c r="E25" s="491"/>
      <c r="F25" s="105"/>
      <c r="G25" s="105"/>
      <c r="H25" s="492"/>
    </row>
    <row r="26" spans="1:12" x14ac:dyDescent="0.25">
      <c r="A26" s="40"/>
      <c r="B26" s="40"/>
      <c r="C26" s="493"/>
      <c r="D26" s="493"/>
      <c r="E26" s="493"/>
      <c r="F26" s="40"/>
      <c r="G26" s="40"/>
      <c r="H26" s="490"/>
    </row>
    <row r="27" spans="1:12" s="106" customFormat="1" ht="36" customHeight="1" x14ac:dyDescent="0.2">
      <c r="A27" s="509" t="s">
        <v>15</v>
      </c>
      <c r="B27" s="509" t="s">
        <v>1279</v>
      </c>
      <c r="C27" s="509" t="s">
        <v>1279</v>
      </c>
      <c r="D27" s="510" t="s">
        <v>1289</v>
      </c>
      <c r="E27" s="511" t="s">
        <v>1290</v>
      </c>
      <c r="F27" s="511" t="s">
        <v>1291</v>
      </c>
      <c r="G27" s="511" t="s">
        <v>1292</v>
      </c>
      <c r="H27" s="511" t="s">
        <v>485</v>
      </c>
      <c r="J27" s="1824" t="s">
        <v>1293</v>
      </c>
      <c r="K27" s="1824"/>
      <c r="L27" s="1824"/>
    </row>
    <row r="28" spans="1:12" x14ac:dyDescent="0.25">
      <c r="A28" s="512"/>
      <c r="B28" s="512"/>
      <c r="C28" s="82"/>
      <c r="D28" s="513"/>
      <c r="E28" s="513"/>
      <c r="F28" s="82"/>
      <c r="G28" s="500">
        <f t="shared" ref="G28:G36" si="2">IF(C28&lt;&gt;"",VLOOKUP(C28,K29:L32,2,),0)*hsdc_CuocVC</f>
        <v>0</v>
      </c>
      <c r="H28" s="514">
        <f>D28*E28*F28*G28</f>
        <v>0</v>
      </c>
      <c r="J28" s="515" t="s">
        <v>15</v>
      </c>
      <c r="K28" s="516" t="s">
        <v>1294</v>
      </c>
      <c r="L28" s="516" t="s">
        <v>1295</v>
      </c>
    </row>
    <row r="29" spans="1:12" x14ac:dyDescent="0.25">
      <c r="A29" s="512"/>
      <c r="B29" s="512"/>
      <c r="C29" s="82"/>
      <c r="D29" s="513"/>
      <c r="E29" s="513"/>
      <c r="F29" s="82"/>
      <c r="G29" s="500">
        <f t="shared" si="2"/>
        <v>0</v>
      </c>
      <c r="H29" s="514">
        <f t="shared" ref="H29:H38" si="3">D29*E29*F29*G29</f>
        <v>0</v>
      </c>
      <c r="J29" s="295">
        <v>1</v>
      </c>
      <c r="K29" s="517" t="s">
        <v>1296</v>
      </c>
      <c r="L29" s="517">
        <v>15000</v>
      </c>
    </row>
    <row r="30" spans="1:12" x14ac:dyDescent="0.25">
      <c r="A30" s="512"/>
      <c r="B30" s="512"/>
      <c r="C30" s="82"/>
      <c r="D30" s="513"/>
      <c r="E30" s="513"/>
      <c r="F30" s="82"/>
      <c r="G30" s="500">
        <f t="shared" si="2"/>
        <v>0</v>
      </c>
      <c r="H30" s="514">
        <f t="shared" si="3"/>
        <v>0</v>
      </c>
      <c r="J30" s="295">
        <v>2</v>
      </c>
      <c r="K30" s="517" t="s">
        <v>1297</v>
      </c>
      <c r="L30" s="517">
        <v>6000</v>
      </c>
    </row>
    <row r="31" spans="1:12" x14ac:dyDescent="0.25">
      <c r="A31" s="512"/>
      <c r="B31" s="512"/>
      <c r="C31" s="82"/>
      <c r="D31" s="513"/>
      <c r="E31" s="513"/>
      <c r="F31" s="82"/>
      <c r="G31" s="500">
        <f t="shared" si="2"/>
        <v>0</v>
      </c>
      <c r="H31" s="514">
        <f t="shared" si="3"/>
        <v>0</v>
      </c>
      <c r="J31" s="295"/>
      <c r="K31" s="517"/>
      <c r="L31" s="293"/>
    </row>
    <row r="32" spans="1:12" x14ac:dyDescent="0.25">
      <c r="A32" s="512"/>
      <c r="B32" s="512"/>
      <c r="C32" s="82"/>
      <c r="D32" s="513"/>
      <c r="E32" s="513"/>
      <c r="F32" s="82"/>
      <c r="G32" s="500">
        <f t="shared" si="2"/>
        <v>0</v>
      </c>
      <c r="H32" s="514">
        <f t="shared" si="3"/>
        <v>0</v>
      </c>
      <c r="J32" s="295"/>
      <c r="K32" s="517"/>
      <c r="L32" s="293"/>
    </row>
    <row r="33" spans="1:10" x14ac:dyDescent="0.25">
      <c r="A33" s="512"/>
      <c r="B33" s="512"/>
      <c r="C33" s="82"/>
      <c r="D33" s="513"/>
      <c r="E33" s="513"/>
      <c r="F33" s="82"/>
      <c r="G33" s="500">
        <f t="shared" si="2"/>
        <v>0</v>
      </c>
      <c r="H33" s="514">
        <f t="shared" si="3"/>
        <v>0</v>
      </c>
    </row>
    <row r="34" spans="1:10" x14ac:dyDescent="0.25">
      <c r="A34" s="512"/>
      <c r="B34" s="512"/>
      <c r="C34" s="82"/>
      <c r="D34" s="513"/>
      <c r="E34" s="513"/>
      <c r="F34" s="82"/>
      <c r="G34" s="500">
        <f t="shared" si="2"/>
        <v>0</v>
      </c>
      <c r="H34" s="514">
        <f t="shared" si="3"/>
        <v>0</v>
      </c>
      <c r="J34" s="507" t="s">
        <v>574</v>
      </c>
    </row>
    <row r="35" spans="1:10" x14ac:dyDescent="0.25">
      <c r="A35" s="512"/>
      <c r="B35" s="512"/>
      <c r="C35" s="82"/>
      <c r="D35" s="513"/>
      <c r="E35" s="513"/>
      <c r="F35" s="82"/>
      <c r="G35" s="500">
        <f t="shared" si="2"/>
        <v>0</v>
      </c>
      <c r="H35" s="514">
        <f t="shared" si="3"/>
        <v>0</v>
      </c>
      <c r="J35" s="402" t="s">
        <v>1298</v>
      </c>
    </row>
    <row r="36" spans="1:10" x14ac:dyDescent="0.25">
      <c r="A36" s="512"/>
      <c r="B36" s="512"/>
      <c r="C36" s="82"/>
      <c r="D36" s="513"/>
      <c r="E36" s="513"/>
      <c r="F36" s="82"/>
      <c r="G36" s="500">
        <f t="shared" si="2"/>
        <v>0</v>
      </c>
      <c r="H36" s="514">
        <f t="shared" si="3"/>
        <v>0</v>
      </c>
      <c r="J36" s="402" t="s">
        <v>1299</v>
      </c>
    </row>
    <row r="37" spans="1:10" x14ac:dyDescent="0.25">
      <c r="A37" s="512"/>
      <c r="B37" s="512"/>
      <c r="C37" s="82"/>
      <c r="D37" s="513"/>
      <c r="E37" s="513"/>
      <c r="F37" s="82"/>
      <c r="G37" s="500">
        <f>IF(C37&lt;&gt;"",VLOOKUP(C37,K38:L40,2,),0)*hsdc_CuocVC</f>
        <v>0</v>
      </c>
      <c r="H37" s="514">
        <f t="shared" si="3"/>
        <v>0</v>
      </c>
    </row>
    <row r="38" spans="1:10" x14ac:dyDescent="0.25">
      <c r="A38" s="512"/>
      <c r="B38" s="512"/>
      <c r="C38" s="82"/>
      <c r="D38" s="513"/>
      <c r="E38" s="513"/>
      <c r="F38" s="82"/>
      <c r="G38" s="500">
        <f>IF(C38&lt;&gt;"",VLOOKUP(C38,K39:L43,2,),0)*hsdc_CuocVC</f>
        <v>0</v>
      </c>
      <c r="H38" s="514">
        <f t="shared" si="3"/>
        <v>0</v>
      </c>
    </row>
    <row r="39" spans="1:10" s="101" customFormat="1" ht="14.25" x14ac:dyDescent="0.2">
      <c r="A39" s="518" t="s">
        <v>106</v>
      </c>
      <c r="B39" s="519" t="s">
        <v>105</v>
      </c>
      <c r="C39" s="518"/>
      <c r="D39" s="519"/>
      <c r="E39" s="519"/>
      <c r="F39" s="519"/>
      <c r="G39" s="519"/>
      <c r="H39" s="520">
        <f>SUM(H28:H38)</f>
        <v>0</v>
      </c>
    </row>
    <row r="43" spans="1:10" ht="20.25" x14ac:dyDescent="0.25">
      <c r="A43" s="488" t="s">
        <v>1354</v>
      </c>
      <c r="B43" s="488"/>
      <c r="C43" s="489"/>
      <c r="D43" s="489"/>
      <c r="E43" s="489"/>
      <c r="F43" s="489"/>
      <c r="G43" s="489"/>
      <c r="H43" s="490"/>
    </row>
    <row r="44" spans="1:10" x14ac:dyDescent="0.25">
      <c r="A44" s="105" t="str">
        <f>"CÔNG TRÌNH : "&amp;'Bia du toan'!$G$12</f>
        <v>CÔNG TRÌNH : TRƯỜNG CAO ĐẲNG LÝ TỰ TRỌNG</v>
      </c>
      <c r="B44" s="105"/>
      <c r="C44" s="491"/>
      <c r="D44" s="491"/>
      <c r="E44" s="491"/>
      <c r="F44" s="105"/>
      <c r="G44" s="105"/>
      <c r="H44" s="547"/>
    </row>
    <row r="45" spans="1:10" x14ac:dyDescent="0.25">
      <c r="A45" s="105" t="str">
        <f>"HẠNG MỤC : "&amp; 'Bia du toan'!$G$13</f>
        <v>HẠNG MỤC : CẢI TẠO THƯ VIỆN GIAI ĐOẠN 2 - NĂM 2019</v>
      </c>
      <c r="B45" s="105"/>
      <c r="C45" s="491"/>
      <c r="D45" s="491"/>
      <c r="E45" s="491"/>
      <c r="F45" s="105"/>
      <c r="G45" s="105"/>
      <c r="H45" s="492"/>
    </row>
    <row r="46" spans="1:10" x14ac:dyDescent="0.25">
      <c r="A46" s="105" t="s">
        <v>1355</v>
      </c>
      <c r="B46" s="105"/>
      <c r="C46" s="491"/>
      <c r="D46" s="491"/>
      <c r="E46" s="491"/>
      <c r="F46" s="105"/>
      <c r="G46" s="105"/>
      <c r="H46" s="492"/>
    </row>
    <row r="47" spans="1:10" x14ac:dyDescent="0.25">
      <c r="A47" s="402" t="s">
        <v>1356</v>
      </c>
    </row>
    <row r="48" spans="1:10" x14ac:dyDescent="0.25">
      <c r="B48" s="402" t="s">
        <v>1357</v>
      </c>
      <c r="C48" s="546">
        <v>0.1</v>
      </c>
    </row>
    <row r="49" spans="1:3" x14ac:dyDescent="0.25">
      <c r="B49" s="402" t="s">
        <v>1358</v>
      </c>
      <c r="C49" s="546">
        <v>0.2</v>
      </c>
    </row>
    <row r="50" spans="1:3" x14ac:dyDescent="0.25">
      <c r="A50" s="402" t="s">
        <v>1359</v>
      </c>
    </row>
    <row r="51" spans="1:3" x14ac:dyDescent="0.25">
      <c r="B51" s="402" t="s">
        <v>1360</v>
      </c>
      <c r="C51" s="548">
        <v>1</v>
      </c>
    </row>
    <row r="52" spans="1:3" x14ac:dyDescent="0.25">
      <c r="B52" s="402" t="s">
        <v>1361</v>
      </c>
      <c r="C52" s="548">
        <v>1</v>
      </c>
    </row>
    <row r="53" spans="1:3" x14ac:dyDescent="0.25">
      <c r="A53" s="402" t="s">
        <v>1362</v>
      </c>
    </row>
    <row r="54" spans="1:3" x14ac:dyDescent="0.25">
      <c r="B54" s="402" t="s">
        <v>1363</v>
      </c>
      <c r="C54" s="549">
        <f>1+($C$48*($C$51-1)+$C$49*($C$52-1))</f>
        <v>1</v>
      </c>
    </row>
  </sheetData>
  <mergeCells count="1">
    <mergeCell ref="J27:L27"/>
  </mergeCells>
  <dataValidations count="5">
    <dataValidation type="list" allowBlank="1" showInputMessage="1" showErrorMessage="1" sqref="C28:C38">
      <formula1>$K$29:$K$30</formula1>
    </dataValidation>
    <dataValidation allowBlank="1" showInputMessage="1" showErrorMessage="1" promptTitle="Hướng dẫn" prompt="Nhập vào trọng tải đăng ký" sqref="F6:F16"/>
    <dataValidation allowBlank="1" showInputMessage="1" showErrorMessage="1" promptTitle="Hướng dẫn" prompt="Nhập vào số Km xe chạy có hàng" sqref="E6:E16"/>
    <dataValidation allowBlank="1" showInputMessage="1" showErrorMessage="1" promptTitle="Hướng dẫn" prompt="Nhập vào tên của loại phương tiện cần tính chi phí huy động phương tiện" sqref="B6:B16 B28:B38"/>
    <dataValidation allowBlank="1" showInputMessage="1" showErrorMessage="1" promptTitle="Hướng dẫn" prompt="Nhập vào số km xe chạy" sqref="C6:C16"/>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CPVC_STST"/>
  <dimension ref="A1:AE21"/>
  <sheetViews>
    <sheetView workbookViewId="0"/>
  </sheetViews>
  <sheetFormatPr defaultRowHeight="15" outlineLevelCol="1" x14ac:dyDescent="0.25"/>
  <cols>
    <col min="1" max="1" width="3.7109375" style="2" customWidth="1"/>
    <col min="2" max="2" width="11.7109375" style="2" hidden="1" customWidth="1" outlineLevel="1"/>
    <col min="3" max="3" width="16.28515625" style="2" customWidth="1" collapsed="1"/>
    <col min="4" max="4" width="4.28515625" style="144" bestFit="1" customWidth="1"/>
    <col min="5" max="5" width="5.7109375" style="2" bestFit="1" customWidth="1"/>
    <col min="6" max="6" width="8" style="2" bestFit="1" customWidth="1"/>
    <col min="7" max="7" width="7.5703125" style="2" bestFit="1" customWidth="1"/>
    <col min="8" max="8" width="5" style="2" bestFit="1" customWidth="1"/>
    <col min="9" max="9" width="10.5703125" style="2" hidden="1" customWidth="1" outlineLevel="1"/>
    <col min="10" max="10" width="9.5703125" style="2" hidden="1" customWidth="1" outlineLevel="1"/>
    <col min="11" max="11" width="6.28515625" style="2" customWidth="1" collapsed="1"/>
    <col min="12" max="12" width="7.140625" style="2" customWidth="1"/>
    <col min="13" max="13" width="6.28515625" style="2" bestFit="1" customWidth="1"/>
    <col min="14" max="14" width="6.28515625" style="2" customWidth="1"/>
    <col min="15" max="15" width="12.42578125" style="2" customWidth="1"/>
    <col min="16" max="16" width="10.85546875" style="2" bestFit="1" customWidth="1"/>
    <col min="17" max="17" width="12.42578125" style="118" bestFit="1" customWidth="1"/>
    <col min="18" max="18" width="12.85546875" style="118" bestFit="1" customWidth="1"/>
    <col min="19" max="19" width="6.42578125" style="118" bestFit="1" customWidth="1"/>
    <col min="20" max="20" width="11.5703125" style="118" bestFit="1" customWidth="1"/>
    <col min="21" max="21" width="11.140625" style="118" bestFit="1" customWidth="1"/>
    <col min="22" max="22" width="9.85546875" style="118" bestFit="1" customWidth="1"/>
    <col min="23" max="23" width="10.28515625" style="118" bestFit="1" customWidth="1"/>
    <col min="24" max="24" width="7" style="118" customWidth="1"/>
    <col min="25" max="25" width="7.28515625" style="118" bestFit="1" customWidth="1"/>
    <col min="26" max="26" width="5.85546875" style="118" bestFit="1" customWidth="1"/>
    <col min="27" max="27" width="7.28515625" style="118" customWidth="1"/>
    <col min="28" max="28" width="10" style="118" customWidth="1"/>
    <col min="29" max="29" width="12" style="118" customWidth="1"/>
    <col min="30" max="16384" width="9.140625" style="2"/>
  </cols>
  <sheetData>
    <row r="1" spans="1:31" ht="20.25" x14ac:dyDescent="0.25">
      <c r="A1" s="523" t="s">
        <v>1301</v>
      </c>
      <c r="B1" s="40"/>
      <c r="C1" s="40"/>
      <c r="D1" s="40"/>
      <c r="E1" s="40"/>
      <c r="F1" s="40"/>
      <c r="G1" s="40"/>
      <c r="H1" s="40"/>
      <c r="I1" s="40"/>
      <c r="J1" s="40"/>
      <c r="K1" s="40"/>
      <c r="L1" s="40"/>
      <c r="M1" s="40"/>
      <c r="N1" s="40"/>
      <c r="O1" s="40"/>
      <c r="P1" s="40"/>
      <c r="Q1" s="117"/>
      <c r="R1" s="117"/>
      <c r="S1" s="117"/>
      <c r="T1" s="117"/>
      <c r="U1" s="117"/>
      <c r="V1" s="117"/>
      <c r="W1" s="117"/>
      <c r="X1" s="117"/>
      <c r="Y1" s="117"/>
      <c r="Z1" s="117"/>
      <c r="AA1" s="117"/>
      <c r="AB1" s="117"/>
      <c r="AC1" s="117"/>
      <c r="AD1" s="40"/>
      <c r="AE1" s="40"/>
    </row>
    <row r="2" spans="1:31" s="101" customFormat="1" ht="14.25" x14ac:dyDescent="0.2">
      <c r="A2" s="105" t="str">
        <f>"CÔNG TRÌNH : "&amp;'Bia du toan'!$G$12</f>
        <v>CÔNG TRÌNH : TRƯỜNG CAO ĐẲNG LÝ TỰ TRỌNG</v>
      </c>
      <c r="B2" s="105"/>
      <c r="C2" s="105"/>
      <c r="D2" s="105"/>
      <c r="E2" s="105"/>
      <c r="F2" s="105"/>
      <c r="G2" s="105"/>
      <c r="H2" s="105"/>
      <c r="I2" s="105"/>
      <c r="J2" s="105"/>
      <c r="K2" s="105"/>
      <c r="L2" s="105"/>
      <c r="M2" s="105"/>
      <c r="N2" s="105"/>
      <c r="O2" s="105"/>
      <c r="P2" s="105"/>
      <c r="Q2" s="125"/>
      <c r="R2" s="125"/>
      <c r="S2" s="125"/>
      <c r="T2" s="125"/>
      <c r="U2" s="125"/>
      <c r="V2" s="125"/>
      <c r="W2" s="125"/>
      <c r="X2" s="125"/>
      <c r="Y2" s="125"/>
      <c r="Z2" s="125"/>
      <c r="AA2" s="125"/>
      <c r="AB2" s="125"/>
      <c r="AC2" s="125"/>
    </row>
    <row r="3" spans="1:31" s="101" customFormat="1" ht="14.25" x14ac:dyDescent="0.2">
      <c r="A3" s="105" t="str">
        <f>"HẠNG MỤC : "&amp; 'Bia du toan'!$G$13</f>
        <v>HẠNG MỤC : CẢI TẠO THƯ VIỆN GIAI ĐOẠN 2 - NĂM 2019</v>
      </c>
      <c r="B3" s="105"/>
      <c r="C3" s="105"/>
      <c r="D3" s="105"/>
      <c r="E3" s="105"/>
      <c r="F3" s="105"/>
      <c r="G3" s="105"/>
      <c r="H3" s="105"/>
      <c r="I3" s="105"/>
      <c r="J3" s="105"/>
      <c r="K3" s="105"/>
      <c r="L3" s="105"/>
      <c r="M3" s="105"/>
      <c r="N3" s="105"/>
      <c r="O3" s="105"/>
      <c r="P3" s="105"/>
      <c r="Q3" s="125"/>
      <c r="R3" s="125"/>
      <c r="S3" s="125"/>
      <c r="T3" s="125"/>
      <c r="U3" s="125"/>
      <c r="V3" s="125"/>
      <c r="W3" s="125"/>
      <c r="X3" s="125"/>
      <c r="Y3" s="125"/>
      <c r="Z3" s="125"/>
      <c r="AA3" s="125"/>
      <c r="AB3" s="125"/>
      <c r="AC3" s="125"/>
    </row>
    <row r="4" spans="1:31" x14ac:dyDescent="0.25">
      <c r="A4" s="40"/>
      <c r="B4" s="40"/>
      <c r="C4" s="40"/>
      <c r="D4" s="40"/>
      <c r="E4" s="40"/>
      <c r="F4" s="40"/>
      <c r="G4" s="40"/>
      <c r="H4" s="40"/>
      <c r="I4" s="40"/>
      <c r="J4" s="40"/>
      <c r="K4" s="40"/>
      <c r="L4" s="40"/>
      <c r="M4" s="40"/>
      <c r="N4" s="40"/>
      <c r="O4" s="40"/>
      <c r="P4" s="40"/>
      <c r="Q4" s="117"/>
      <c r="R4" s="117"/>
      <c r="S4" s="117"/>
      <c r="T4" s="117"/>
      <c r="U4" s="117"/>
      <c r="V4" s="117"/>
      <c r="W4" s="117"/>
      <c r="X4" s="117"/>
      <c r="Y4" s="117"/>
      <c r="Z4" s="117"/>
      <c r="AA4" s="117"/>
      <c r="AB4" s="117"/>
      <c r="AC4" s="117"/>
    </row>
    <row r="5" spans="1:31" s="106" customFormat="1" ht="15" customHeight="1" x14ac:dyDescent="0.2">
      <c r="A5" s="1806" t="s">
        <v>15</v>
      </c>
      <c r="B5" s="1806" t="s">
        <v>335</v>
      </c>
      <c r="C5" s="1806" t="s">
        <v>336</v>
      </c>
      <c r="D5" s="1806" t="s">
        <v>68</v>
      </c>
      <c r="E5" s="1805" t="s">
        <v>3041</v>
      </c>
      <c r="F5" s="1805" t="s">
        <v>316</v>
      </c>
      <c r="G5" s="1805" t="s">
        <v>317</v>
      </c>
      <c r="H5" s="1805" t="s">
        <v>561</v>
      </c>
      <c r="I5" s="1806" t="s">
        <v>319</v>
      </c>
      <c r="J5" s="1806"/>
      <c r="K5" s="1806" t="s">
        <v>320</v>
      </c>
      <c r="L5" s="1806"/>
      <c r="M5" s="1806"/>
      <c r="N5" s="1806" t="s">
        <v>1335</v>
      </c>
      <c r="O5" s="1805" t="s">
        <v>1331</v>
      </c>
      <c r="P5" s="1805"/>
      <c r="Q5" s="1806" t="s">
        <v>1332</v>
      </c>
      <c r="R5" s="1806"/>
      <c r="S5" s="1807" t="s">
        <v>1275</v>
      </c>
      <c r="T5" s="1807"/>
      <c r="U5" s="1807"/>
      <c r="V5" s="1807" t="s">
        <v>323</v>
      </c>
      <c r="W5" s="1807" t="s">
        <v>3330</v>
      </c>
      <c r="X5" s="1807" t="s">
        <v>3334</v>
      </c>
      <c r="Y5" s="1807" t="s">
        <v>328</v>
      </c>
      <c r="Z5" s="1808" t="s">
        <v>3333</v>
      </c>
    </row>
    <row r="6" spans="1:31" s="106" customFormat="1" ht="28.5" customHeight="1" x14ac:dyDescent="0.2">
      <c r="A6" s="1806"/>
      <c r="B6" s="1806"/>
      <c r="C6" s="1806"/>
      <c r="D6" s="1806"/>
      <c r="E6" s="1805"/>
      <c r="F6" s="1805"/>
      <c r="G6" s="1805"/>
      <c r="H6" s="1805"/>
      <c r="I6" s="535" t="s">
        <v>329</v>
      </c>
      <c r="J6" s="535" t="s">
        <v>330</v>
      </c>
      <c r="K6" s="535" t="s">
        <v>331</v>
      </c>
      <c r="L6" s="535" t="s">
        <v>321</v>
      </c>
      <c r="M6" s="535" t="s">
        <v>322</v>
      </c>
      <c r="N6" s="1806"/>
      <c r="O6" s="534" t="s">
        <v>1333</v>
      </c>
      <c r="P6" s="535" t="s">
        <v>1334</v>
      </c>
      <c r="Q6" s="534" t="s">
        <v>1333</v>
      </c>
      <c r="R6" s="535" t="s">
        <v>1334</v>
      </c>
      <c r="S6" s="535" t="s">
        <v>3332</v>
      </c>
      <c r="T6" s="535" t="s">
        <v>1276</v>
      </c>
      <c r="U6" s="535" t="s">
        <v>1277</v>
      </c>
      <c r="V6" s="1807"/>
      <c r="W6" s="1807"/>
      <c r="X6" s="1807"/>
      <c r="Y6" s="1807"/>
      <c r="Z6" s="1808"/>
    </row>
    <row r="21" spans="2:2" x14ac:dyDescent="0.25">
      <c r="B21" s="402" t="s">
        <v>1300</v>
      </c>
    </row>
  </sheetData>
  <mergeCells count="19">
    <mergeCell ref="Z5:Z6"/>
    <mergeCell ref="O5:P5"/>
    <mergeCell ref="Q5:R5"/>
    <mergeCell ref="S5:U5"/>
    <mergeCell ref="V5:V6"/>
    <mergeCell ref="W5:W6"/>
    <mergeCell ref="X5:X6"/>
    <mergeCell ref="G5:G6"/>
    <mergeCell ref="H5:H6"/>
    <mergeCell ref="I5:J5"/>
    <mergeCell ref="Y5:Y6"/>
    <mergeCell ref="K5:M5"/>
    <mergeCell ref="N5:N6"/>
    <mergeCell ref="F5:F6"/>
    <mergeCell ref="A5:A6"/>
    <mergeCell ref="B5:B6"/>
    <mergeCell ref="C5:C6"/>
    <mergeCell ref="D5:D6"/>
    <mergeCell ref="E5:E6"/>
  </mergeCells>
  <pageMargins left="0.16" right="0.09" top="0.43307086614173201" bottom="0.59055118110236204" header="0.15748031496063" footer="0.23622047244094499"/>
  <pageSetup paperSize="9" scale="75" orientation="landscape" r:id="rId1"/>
  <headerFooter alignWithMargins="0">
    <oddHeader>&amp;L&amp;"Times New Roman,Bold Italic"&amp;9Dự toán Bắc Nam  - ÐT: 0966.966.455</oddHeader>
    <oddFooter>&amp;R&amp;9Trang &amp;P/&amp;N</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CuocBS"/>
  <dimension ref="A1:R6"/>
  <sheetViews>
    <sheetView showGridLines="0" zoomScaleNormal="100" workbookViewId="0"/>
  </sheetViews>
  <sheetFormatPr defaultRowHeight="12.75" outlineLevelCol="1" x14ac:dyDescent="0.2"/>
  <cols>
    <col min="1" max="1" width="4" style="443" bestFit="1" customWidth="1"/>
    <col min="2" max="2" width="7.140625" style="443" hidden="1" customWidth="1" outlineLevel="1"/>
    <col min="3" max="3" width="22.5703125" style="443" customWidth="1" collapsed="1"/>
    <col min="4" max="4" width="4.28515625" style="443" bestFit="1" customWidth="1"/>
    <col min="5" max="5" width="7.28515625" style="443" bestFit="1" customWidth="1"/>
    <col min="6" max="6" width="6.28515625" style="443" bestFit="1" customWidth="1"/>
    <col min="7" max="8" width="7.5703125" style="443" bestFit="1" customWidth="1"/>
    <col min="9" max="9" width="17.140625" style="443" customWidth="1"/>
    <col min="10" max="10" width="12" style="443" customWidth="1"/>
    <col min="11" max="11" width="7.42578125" style="443" bestFit="1" customWidth="1"/>
    <col min="12" max="12" width="8" style="443" customWidth="1"/>
    <col min="13" max="13" width="7.5703125" style="443" bestFit="1" customWidth="1"/>
    <col min="14" max="14" width="17.7109375" style="443" customWidth="1"/>
    <col min="15" max="15" width="11.85546875" style="443" customWidth="1"/>
    <col min="16" max="16" width="8" style="443" customWidth="1"/>
    <col min="17" max="17" width="9.140625" style="443"/>
    <col min="18" max="18" width="7.5703125" style="443" customWidth="1"/>
    <col min="19" max="16384" width="9.140625" style="443"/>
  </cols>
  <sheetData>
    <row r="1" spans="1:18" s="2" customFormat="1" ht="20.25" x14ac:dyDescent="0.25">
      <c r="A1" s="104" t="s">
        <v>1266</v>
      </c>
      <c r="B1" s="40"/>
      <c r="C1" s="40"/>
      <c r="D1" s="40"/>
      <c r="E1" s="40"/>
      <c r="F1" s="40"/>
      <c r="G1" s="40"/>
      <c r="H1" s="40"/>
      <c r="I1" s="40"/>
      <c r="J1" s="40"/>
      <c r="K1" s="40"/>
      <c r="L1" s="40"/>
      <c r="M1" s="40"/>
      <c r="N1" s="40"/>
      <c r="O1" s="40"/>
      <c r="P1" s="40"/>
    </row>
    <row r="2" spans="1:18" s="101" customFormat="1" ht="15.75" x14ac:dyDescent="0.25">
      <c r="A2" s="245" t="str">
        <f>"CÔNG TRÌNH : "&amp;'Bia du toan'!$G$12</f>
        <v>CÔNG TRÌNH : TRƯỜNG CAO ĐẲNG LÝ TỰ TRỌNG</v>
      </c>
      <c r="B2" s="105"/>
      <c r="C2" s="105"/>
      <c r="D2" s="105"/>
      <c r="E2" s="105"/>
      <c r="F2" s="105"/>
      <c r="G2" s="105"/>
      <c r="H2" s="105"/>
      <c r="I2" s="105"/>
      <c r="J2" s="105"/>
      <c r="K2" s="105"/>
      <c r="L2" s="105"/>
      <c r="M2" s="105"/>
      <c r="N2" s="105"/>
      <c r="O2" s="105"/>
      <c r="P2" s="105"/>
    </row>
    <row r="3" spans="1:18" s="101" customFormat="1" ht="15.75" x14ac:dyDescent="0.25">
      <c r="A3" s="245" t="str">
        <f>"HẠNG MỤC : "&amp; 'Bia du toan'!$G$13</f>
        <v>HẠNG MỤC : CẢI TẠO THƯ VIỆN GIAI ĐOẠN 2 - NĂM 2019</v>
      </c>
      <c r="B3" s="105"/>
      <c r="C3" s="105"/>
      <c r="D3" s="105"/>
      <c r="E3" s="105"/>
      <c r="F3" s="105"/>
      <c r="G3" s="105"/>
      <c r="H3" s="105"/>
      <c r="I3" s="105"/>
      <c r="J3" s="105"/>
      <c r="K3" s="105"/>
      <c r="L3" s="105"/>
      <c r="M3" s="105"/>
      <c r="N3" s="105"/>
      <c r="O3" s="105"/>
      <c r="P3" s="105"/>
    </row>
    <row r="4" spans="1:18" s="2" customFormat="1" ht="15" x14ac:dyDescent="0.25">
      <c r="A4" s="40"/>
      <c r="B4" s="40"/>
      <c r="C4" s="40"/>
      <c r="D4" s="40"/>
      <c r="E4" s="40"/>
      <c r="F4" s="40"/>
      <c r="G4" s="40"/>
    </row>
    <row r="5" spans="1:18" s="106" customFormat="1" ht="12" customHeight="1" x14ac:dyDescent="0.2">
      <c r="A5" s="1806" t="s">
        <v>15</v>
      </c>
      <c r="B5" s="1806" t="s">
        <v>335</v>
      </c>
      <c r="C5" s="1806" t="s">
        <v>336</v>
      </c>
      <c r="D5" s="1806" t="s">
        <v>68</v>
      </c>
      <c r="E5" s="1805" t="s">
        <v>327</v>
      </c>
      <c r="F5" s="1805" t="s">
        <v>3337</v>
      </c>
      <c r="G5" s="1805" t="s">
        <v>1251</v>
      </c>
      <c r="H5" s="1805"/>
      <c r="I5" s="1805"/>
      <c r="J5" s="1805"/>
      <c r="K5" s="1805"/>
      <c r="L5" s="1805" t="s">
        <v>1232</v>
      </c>
      <c r="M5" s="1805"/>
      <c r="N5" s="1805"/>
      <c r="O5" s="1805"/>
      <c r="P5" s="1805"/>
      <c r="Q5" s="1805" t="s">
        <v>1252</v>
      </c>
      <c r="R5" s="1805" t="s">
        <v>1253</v>
      </c>
    </row>
    <row r="6" spans="1:18" ht="33.75" x14ac:dyDescent="0.2">
      <c r="A6" s="1806"/>
      <c r="B6" s="1806"/>
      <c r="C6" s="1806"/>
      <c r="D6" s="1806"/>
      <c r="E6" s="1805"/>
      <c r="F6" s="1805"/>
      <c r="G6" s="439" t="s">
        <v>3336</v>
      </c>
      <c r="H6" s="440" t="s">
        <v>3335</v>
      </c>
      <c r="I6" s="440" t="s">
        <v>1228</v>
      </c>
      <c r="J6" s="440" t="s">
        <v>1247</v>
      </c>
      <c r="K6" s="440" t="s">
        <v>3338</v>
      </c>
      <c r="L6" s="439" t="s">
        <v>1230</v>
      </c>
      <c r="M6" s="440" t="s">
        <v>1227</v>
      </c>
      <c r="N6" s="440" t="s">
        <v>1228</v>
      </c>
      <c r="O6" s="440" t="s">
        <v>1247</v>
      </c>
      <c r="P6" s="440" t="s">
        <v>1229</v>
      </c>
      <c r="Q6" s="1805"/>
      <c r="R6" s="1805"/>
    </row>
  </sheetData>
  <mergeCells count="10">
    <mergeCell ref="L5:P5"/>
    <mergeCell ref="Q5:Q6"/>
    <mergeCell ref="R5:R6"/>
    <mergeCell ref="G5:K5"/>
    <mergeCell ref="A5:A6"/>
    <mergeCell ref="B5:B6"/>
    <mergeCell ref="C5:C6"/>
    <mergeCell ref="D5:D6"/>
    <mergeCell ref="E5:E6"/>
    <mergeCell ref="F5:F6"/>
  </mergeCells>
  <pageMargins left="0.24" right="0.196850393700787" top="0.43307086614173201" bottom="0.59055118110236204" header="0.15748031496063" footer="0.23622047244094499"/>
  <pageSetup paperSize="9" scale="86" orientation="landscape" r:id="rId1"/>
  <headerFooter alignWithMargins="0">
    <oddHeader>&amp;L&amp;"Times New Roman,Bold Italic"&amp;9Dự toán Bắc Nam  - ÐT: 0966.966.455</oddHeader>
    <oddFooter>&amp;R&amp;9Trang &amp;P/&amp;N</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CPTC"/>
  <dimension ref="A1:M6"/>
  <sheetViews>
    <sheetView showGridLines="0" workbookViewId="0"/>
  </sheetViews>
  <sheetFormatPr defaultRowHeight="12.75" outlineLevelCol="1" x14ac:dyDescent="0.2"/>
  <cols>
    <col min="1" max="1" width="4" style="443" bestFit="1" customWidth="1"/>
    <col min="2" max="2" width="7.140625" style="443" hidden="1" customWidth="1" outlineLevel="1"/>
    <col min="3" max="3" width="30.28515625" style="443" customWidth="1" collapsed="1"/>
    <col min="4" max="4" width="4.28515625" style="443" bestFit="1" customWidth="1"/>
    <col min="5" max="5" width="14.7109375" style="443" customWidth="1"/>
    <col min="6" max="6" width="9.5703125" style="485" customWidth="1"/>
    <col min="7" max="7" width="13" style="443" customWidth="1"/>
    <col min="8" max="8" width="13.85546875" style="443" bestFit="1" customWidth="1"/>
    <col min="9" max="9" width="11.42578125" style="443" customWidth="1"/>
    <col min="10" max="10" width="7" style="443" bestFit="1" customWidth="1"/>
    <col min="11" max="11" width="11.42578125" style="443" customWidth="1"/>
    <col min="12" max="12" width="7" style="443" bestFit="1" customWidth="1"/>
    <col min="13" max="16384" width="9.140625" style="443"/>
  </cols>
  <sheetData>
    <row r="1" spans="1:13" s="2" customFormat="1" ht="20.25" x14ac:dyDescent="0.25">
      <c r="A1" s="104" t="s">
        <v>3339</v>
      </c>
      <c r="B1" s="40"/>
      <c r="C1" s="40"/>
      <c r="D1" s="40"/>
      <c r="E1" s="40"/>
      <c r="F1" s="40"/>
      <c r="G1" s="40"/>
      <c r="H1" s="40"/>
      <c r="I1" s="40"/>
      <c r="J1" s="40"/>
      <c r="K1" s="40"/>
      <c r="L1" s="40"/>
    </row>
    <row r="2" spans="1:13" s="101" customFormat="1" ht="15.75" x14ac:dyDescent="0.25">
      <c r="A2" s="245" t="str">
        <f>"CÔNG TRÌNH : "&amp;'Bia du toan'!$G$12</f>
        <v>CÔNG TRÌNH : TRƯỜNG CAO ĐẲNG LÝ TỰ TRỌNG</v>
      </c>
      <c r="B2" s="105"/>
      <c r="C2" s="105"/>
      <c r="D2" s="105"/>
      <c r="E2" s="105"/>
      <c r="F2" s="105"/>
      <c r="G2" s="105"/>
      <c r="H2" s="105"/>
      <c r="I2" s="105"/>
      <c r="J2" s="105"/>
      <c r="K2" s="105"/>
      <c r="L2" s="105"/>
    </row>
    <row r="3" spans="1:13" s="101" customFormat="1" ht="15.75" x14ac:dyDescent="0.25">
      <c r="A3" s="245" t="str">
        <f>"HẠNG MỤC : "&amp; 'Bia du toan'!$G$13</f>
        <v>HẠNG MỤC : CẢI TẠO THƯ VIỆN GIAI ĐOẠN 2 - NĂM 2019</v>
      </c>
      <c r="B3" s="105"/>
      <c r="C3" s="105"/>
      <c r="D3" s="105"/>
      <c r="E3" s="105"/>
      <c r="F3" s="105"/>
      <c r="G3" s="105"/>
      <c r="H3" s="105"/>
      <c r="I3" s="105"/>
      <c r="J3" s="105"/>
      <c r="K3" s="105"/>
      <c r="L3" s="105"/>
    </row>
    <row r="4" spans="1:13" s="2" customFormat="1" ht="15" x14ac:dyDescent="0.25">
      <c r="A4" s="40"/>
      <c r="B4" s="40"/>
      <c r="C4" s="40"/>
      <c r="D4" s="40"/>
      <c r="E4" s="40"/>
      <c r="F4" s="40"/>
      <c r="G4" s="40"/>
      <c r="H4" s="40"/>
      <c r="I4" s="40"/>
      <c r="K4" s="40"/>
    </row>
    <row r="5" spans="1:13" s="106" customFormat="1" ht="12" customHeight="1" x14ac:dyDescent="0.2">
      <c r="A5" s="1806" t="s">
        <v>15</v>
      </c>
      <c r="B5" s="1806" t="s">
        <v>335</v>
      </c>
      <c r="C5" s="1806" t="s">
        <v>336</v>
      </c>
      <c r="D5" s="1806" t="s">
        <v>68</v>
      </c>
      <c r="E5" s="1805" t="s">
        <v>1256</v>
      </c>
      <c r="F5" s="1805"/>
      <c r="G5" s="1805" t="s">
        <v>1260</v>
      </c>
      <c r="H5" s="1805" t="s">
        <v>1273</v>
      </c>
      <c r="I5" s="1805" t="s">
        <v>1257</v>
      </c>
      <c r="J5" s="1805"/>
      <c r="K5" s="1805" t="s">
        <v>1258</v>
      </c>
      <c r="L5" s="1805"/>
      <c r="M5" s="1805" t="s">
        <v>105</v>
      </c>
    </row>
    <row r="6" spans="1:13" ht="12.75" customHeight="1" x14ac:dyDescent="0.2">
      <c r="A6" s="1806"/>
      <c r="B6" s="1806"/>
      <c r="C6" s="1806"/>
      <c r="D6" s="1806"/>
      <c r="E6" s="472" t="s">
        <v>1259</v>
      </c>
      <c r="F6" s="472" t="s">
        <v>68</v>
      </c>
      <c r="G6" s="1805"/>
      <c r="H6" s="1805"/>
      <c r="I6" s="472" t="s">
        <v>1274</v>
      </c>
      <c r="J6" s="473" t="s">
        <v>1255</v>
      </c>
      <c r="K6" s="472" t="s">
        <v>1274</v>
      </c>
      <c r="L6" s="473" t="s">
        <v>1255</v>
      </c>
      <c r="M6" s="1805"/>
    </row>
  </sheetData>
  <mergeCells count="10">
    <mergeCell ref="M5:M6"/>
    <mergeCell ref="K5:L5"/>
    <mergeCell ref="I5:J5"/>
    <mergeCell ref="E5:F5"/>
    <mergeCell ref="G5:G6"/>
    <mergeCell ref="A5:A6"/>
    <mergeCell ref="B5:B6"/>
    <mergeCell ref="C5:C6"/>
    <mergeCell ref="D5:D6"/>
    <mergeCell ref="H5:H6"/>
  </mergeCells>
  <pageMargins left="0.55118110236220497" right="0.196850393700787" top="0.43307086614173201" bottom="0.59055118110236204" header="0.15748031496063" footer="0.23622047244094499"/>
  <pageSetup paperSize="9" orientation="landscape" r:id="rId1"/>
  <headerFooter alignWithMargins="0">
    <oddHeader>&amp;L&amp;"Times New Roman,Bold Italic"&amp;9Dự toán Bắc Nam  - ÐT: 0966.966.455</oddHeader>
    <oddFooter>&amp;R&amp;9Trang &amp;P/&amp;N</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CPDCCT"/>
  <dimension ref="A1:J6"/>
  <sheetViews>
    <sheetView showGridLines="0" showZeros="0" workbookViewId="0"/>
  </sheetViews>
  <sheetFormatPr defaultRowHeight="15" outlineLevelCol="1" x14ac:dyDescent="0.25"/>
  <cols>
    <col min="1" max="1" width="3.7109375" style="2" customWidth="1"/>
    <col min="2" max="2" width="11.7109375" style="2" hidden="1" customWidth="1" outlineLevel="1"/>
    <col min="3" max="3" width="17.7109375" style="2" customWidth="1" collapsed="1"/>
    <col min="4" max="4" width="4.28515625" style="144" bestFit="1" customWidth="1"/>
    <col min="5" max="5" width="11" style="2" customWidth="1"/>
    <col min="6" max="6" width="13" style="2" customWidth="1"/>
    <col min="7" max="7" width="9.85546875" style="2" customWidth="1"/>
    <col min="8" max="8" width="17.85546875" style="2" customWidth="1"/>
    <col min="9" max="9" width="17.28515625" style="2" bestFit="1" customWidth="1"/>
    <col min="10" max="10" width="13.7109375" style="2" bestFit="1" customWidth="1"/>
    <col min="11" max="16384" width="9.140625" style="2"/>
  </cols>
  <sheetData>
    <row r="1" spans="1:10" ht="20.25" x14ac:dyDescent="0.25">
      <c r="A1" s="104" t="s">
        <v>1263</v>
      </c>
      <c r="B1" s="40"/>
      <c r="C1" s="40"/>
      <c r="D1" s="40"/>
      <c r="E1" s="40"/>
      <c r="F1" s="40"/>
      <c r="G1" s="40"/>
      <c r="H1" s="40"/>
      <c r="I1" s="40"/>
      <c r="J1" s="40"/>
    </row>
    <row r="2" spans="1:10" s="101" customFormat="1" ht="15.75" x14ac:dyDescent="0.25">
      <c r="A2" s="245" t="str">
        <f>"CÔNG TRÌNH : "&amp;'Bia du toan'!$G$12</f>
        <v>CÔNG TRÌNH : TRƯỜNG CAO ĐẲNG LÝ TỰ TRỌNG</v>
      </c>
      <c r="B2" s="105"/>
      <c r="C2" s="105"/>
      <c r="D2" s="105"/>
      <c r="E2" s="105"/>
      <c r="F2" s="105"/>
      <c r="G2" s="105"/>
      <c r="H2" s="105"/>
      <c r="I2" s="105"/>
      <c r="J2" s="105"/>
    </row>
    <row r="3" spans="1:10" s="101" customFormat="1" ht="15.75" x14ac:dyDescent="0.25">
      <c r="A3" s="245" t="str">
        <f>"HẠNG MỤC : "&amp; 'Bia du toan'!$G$13</f>
        <v>HẠNG MỤC : CẢI TẠO THƯ VIỆN GIAI ĐOẠN 2 - NĂM 2019</v>
      </c>
      <c r="B3" s="105"/>
      <c r="C3" s="105"/>
      <c r="D3" s="105"/>
      <c r="E3" s="105"/>
      <c r="F3" s="105"/>
      <c r="G3" s="105"/>
      <c r="H3" s="105"/>
      <c r="I3" s="105"/>
      <c r="J3" s="105"/>
    </row>
    <row r="4" spans="1:10" x14ac:dyDescent="0.25">
      <c r="A4" s="40"/>
      <c r="B4" s="40"/>
      <c r="C4" s="40"/>
      <c r="D4" s="40"/>
      <c r="E4" s="40"/>
      <c r="F4" s="40"/>
      <c r="G4" s="40"/>
      <c r="H4" s="40"/>
      <c r="I4" s="40"/>
      <c r="J4" s="40"/>
    </row>
    <row r="5" spans="1:10" s="106" customFormat="1" ht="15" customHeight="1" x14ac:dyDescent="0.2">
      <c r="A5" s="1806" t="s">
        <v>15</v>
      </c>
      <c r="B5" s="1806" t="s">
        <v>335</v>
      </c>
      <c r="C5" s="1806" t="s">
        <v>336</v>
      </c>
      <c r="D5" s="1806" t="s">
        <v>68</v>
      </c>
      <c r="E5" s="1805" t="s">
        <v>1264</v>
      </c>
      <c r="F5" s="1805" t="s">
        <v>1265</v>
      </c>
      <c r="G5" s="1805" t="s">
        <v>3341</v>
      </c>
      <c r="H5" s="1805" t="s">
        <v>1267</v>
      </c>
      <c r="I5" s="1805" t="s">
        <v>3340</v>
      </c>
      <c r="J5" s="1805" t="s">
        <v>3342</v>
      </c>
    </row>
    <row r="6" spans="1:10" s="106" customFormat="1" ht="28.5" customHeight="1" x14ac:dyDescent="0.2">
      <c r="A6" s="1806"/>
      <c r="B6" s="1806"/>
      <c r="C6" s="1806"/>
      <c r="D6" s="1806"/>
      <c r="E6" s="1805"/>
      <c r="F6" s="1805"/>
      <c r="G6" s="1805"/>
      <c r="H6" s="1805"/>
      <c r="I6" s="1805"/>
      <c r="J6" s="1805"/>
    </row>
  </sheetData>
  <mergeCells count="10">
    <mergeCell ref="G5:G6"/>
    <mergeCell ref="I5:I6"/>
    <mergeCell ref="J5:J6"/>
    <mergeCell ref="H5:H6"/>
    <mergeCell ref="A5:A6"/>
    <mergeCell ref="B5:B6"/>
    <mergeCell ref="C5:C6"/>
    <mergeCell ref="D5:D6"/>
    <mergeCell ref="E5:E6"/>
    <mergeCell ref="F5:F6"/>
  </mergeCells>
  <pageMargins left="0.4" right="0.196850393700787" top="0.43307086614173201" bottom="0.59055118110236204" header="0.15748031496063" footer="0.23622047244094499"/>
  <pageSetup paperSize="9" scale="90" orientation="portrait" r:id="rId1"/>
  <headerFooter alignWithMargins="0">
    <oddHeader>&amp;L&amp;"Times New Roman,Bold Italic"&amp;9Dự toán Bắc Nam  - ÐT: 0966.966.455</oddHeader>
    <oddFooter>&amp;R&amp;9Trang &amp;P/&amp;N</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CPVC588"/>
  <dimension ref="A1:AP6"/>
  <sheetViews>
    <sheetView showGridLines="0" showZeros="0" zoomScaleNormal="100" workbookViewId="0">
      <selection activeCell="G15" sqref="G15"/>
    </sheetView>
  </sheetViews>
  <sheetFormatPr defaultRowHeight="15" outlineLevelCol="1" x14ac:dyDescent="0.25"/>
  <cols>
    <col min="1" max="1" width="3.7109375" style="2" customWidth="1"/>
    <col min="2" max="2" width="11.140625" style="2" hidden="1" customWidth="1" outlineLevel="1"/>
    <col min="3" max="3" width="16.5703125" style="2" customWidth="1" collapsed="1"/>
    <col min="4" max="4" width="4.28515625" style="144" bestFit="1" customWidth="1"/>
    <col min="5" max="5" width="5.85546875" style="612" bestFit="1" customWidth="1"/>
    <col min="6" max="6" width="5.7109375" style="120" bestFit="1" customWidth="1"/>
    <col min="7" max="7" width="11.28515625" style="611" customWidth="1"/>
    <col min="8" max="8" width="6.5703125" style="120" customWidth="1"/>
    <col min="9" max="9" width="6" style="2" bestFit="1" customWidth="1"/>
    <col min="10" max="10" width="11" style="636" customWidth="1"/>
    <col min="11" max="12" width="11.7109375" style="2" hidden="1" customWidth="1" outlineLevel="1"/>
    <col min="13" max="13" width="5.140625" style="2" customWidth="1" collapsed="1"/>
    <col min="14" max="14" width="6.28515625" style="2" customWidth="1"/>
    <col min="15" max="16" width="9.7109375" style="120" customWidth="1"/>
    <col min="17" max="17" width="7.85546875" style="610" customWidth="1"/>
    <col min="18" max="19" width="8.85546875" style="118" customWidth="1"/>
    <col min="20" max="20" width="6.85546875" style="118" customWidth="1"/>
    <col min="21" max="21" width="9" style="118" customWidth="1"/>
    <col min="22" max="22" width="13.5703125" style="120" customWidth="1"/>
    <col min="23" max="23" width="11.7109375" style="120" customWidth="1"/>
    <col min="24" max="24" width="7.7109375" style="118" bestFit="1" customWidth="1"/>
    <col min="25" max="25" width="7.5703125" style="118" customWidth="1"/>
    <col min="26" max="26" width="22.140625" style="120" hidden="1" customWidth="1" outlineLevel="1"/>
    <col min="27" max="27" width="9.7109375" style="118" hidden="1" customWidth="1" outlineLevel="1"/>
    <col min="28" max="28" width="9.28515625" style="118" hidden="1" customWidth="1" outlineLevel="1"/>
    <col min="29" max="30" width="7.5703125" style="118" hidden="1" customWidth="1" outlineLevel="1"/>
    <col min="31" max="31" width="10.140625" style="118" hidden="1" customWidth="1" outlineLevel="1"/>
    <col min="32" max="32" width="7.85546875" style="118" hidden="1" customWidth="1" outlineLevel="1"/>
    <col min="33" max="33" width="7" style="118" hidden="1" customWidth="1" collapsed="1"/>
    <col min="34" max="34" width="6.85546875" style="118" hidden="1" customWidth="1"/>
    <col min="35" max="35" width="9.5703125" style="118" hidden="1" customWidth="1"/>
    <col min="36" max="41" width="9.140625" style="118" hidden="1" customWidth="1"/>
    <col min="42" max="42" width="3.42578125" style="118" customWidth="1"/>
    <col min="43" max="51" width="9.140625" style="2" customWidth="1"/>
    <col min="52" max="16384" width="9.140625" style="2"/>
  </cols>
  <sheetData>
    <row r="1" spans="1:42" ht="20.25" x14ac:dyDescent="0.25">
      <c r="A1" s="488" t="s">
        <v>482</v>
      </c>
      <c r="B1" s="489"/>
      <c r="C1" s="489"/>
      <c r="D1" s="489"/>
      <c r="E1" s="489"/>
      <c r="F1" s="493"/>
      <c r="G1" s="489"/>
      <c r="H1" s="493"/>
      <c r="I1" s="489"/>
      <c r="J1" s="489"/>
      <c r="K1" s="489"/>
      <c r="L1" s="489"/>
      <c r="M1" s="489"/>
      <c r="N1" s="489"/>
      <c r="O1" s="493"/>
      <c r="P1" s="493"/>
      <c r="Q1" s="613"/>
      <c r="R1" s="117"/>
      <c r="S1" s="117"/>
      <c r="T1" s="117"/>
      <c r="U1" s="117"/>
      <c r="V1" s="493"/>
      <c r="W1" s="493"/>
      <c r="X1" s="117"/>
      <c r="Y1" s="117"/>
      <c r="Z1" s="493"/>
      <c r="AA1" s="117"/>
      <c r="AB1" s="117"/>
      <c r="AC1" s="117"/>
      <c r="AD1" s="117"/>
      <c r="AE1" s="117"/>
    </row>
    <row r="2" spans="1:42" s="101" customFormat="1" ht="14.25" x14ac:dyDescent="0.2">
      <c r="A2" s="105" t="str">
        <f>"CÔNG TRÌNH : "&amp;'Bia du toan'!$G$12</f>
        <v>CÔNG TRÌNH : TRƯỜNG CAO ĐẲNG LÝ TỰ TRỌNG</v>
      </c>
      <c r="B2" s="105"/>
      <c r="C2" s="105"/>
      <c r="D2" s="105"/>
      <c r="E2" s="615"/>
      <c r="F2" s="491"/>
      <c r="G2" s="615"/>
      <c r="H2" s="491"/>
      <c r="I2" s="105"/>
      <c r="J2" s="105"/>
      <c r="K2" s="105"/>
      <c r="L2" s="105"/>
      <c r="M2" s="105"/>
      <c r="N2" s="105"/>
      <c r="O2" s="491"/>
      <c r="P2" s="491"/>
      <c r="Q2" s="614"/>
      <c r="R2" s="125"/>
      <c r="S2" s="125"/>
      <c r="T2" s="125"/>
      <c r="U2" s="125"/>
      <c r="V2" s="491"/>
      <c r="W2" s="491"/>
      <c r="X2" s="125"/>
      <c r="Y2" s="125"/>
      <c r="Z2" s="491"/>
      <c r="AA2" s="125"/>
      <c r="AB2" s="125"/>
      <c r="AC2" s="125"/>
      <c r="AD2" s="125"/>
      <c r="AE2" s="125"/>
      <c r="AF2" s="192"/>
      <c r="AG2" s="192"/>
      <c r="AH2" s="192"/>
      <c r="AI2" s="192"/>
      <c r="AJ2" s="192"/>
      <c r="AK2" s="192"/>
      <c r="AL2" s="192"/>
      <c r="AM2" s="192"/>
      <c r="AN2" s="192"/>
      <c r="AO2" s="192"/>
      <c r="AP2" s="192"/>
    </row>
    <row r="3" spans="1:42" s="101" customFormat="1" ht="14.25" x14ac:dyDescent="0.2">
      <c r="A3" s="105" t="str">
        <f>"HẠNG MỤC : "&amp; 'Bia du toan'!$G$13</f>
        <v>HẠNG MỤC : CẢI TẠO THƯ VIỆN GIAI ĐOẠN 2 - NĂM 2019</v>
      </c>
      <c r="B3" s="105"/>
      <c r="C3" s="105"/>
      <c r="D3" s="105"/>
      <c r="E3" s="615"/>
      <c r="F3" s="491"/>
      <c r="G3" s="615"/>
      <c r="H3" s="491"/>
      <c r="I3" s="105"/>
      <c r="J3" s="105"/>
      <c r="K3" s="105"/>
      <c r="L3" s="105"/>
      <c r="M3" s="105"/>
      <c r="N3" s="105"/>
      <c r="O3" s="491"/>
      <c r="P3" s="491"/>
      <c r="Q3" s="614"/>
      <c r="R3" s="125"/>
      <c r="S3" s="125"/>
      <c r="T3" s="125"/>
      <c r="U3" s="125"/>
      <c r="V3" s="491"/>
      <c r="W3" s="491"/>
      <c r="X3" s="125"/>
      <c r="Y3" s="125"/>
      <c r="Z3" s="491"/>
      <c r="AA3" s="125"/>
      <c r="AB3" s="125"/>
      <c r="AC3" s="125"/>
      <c r="AD3" s="125"/>
      <c r="AE3" s="125"/>
      <c r="AF3" s="192"/>
      <c r="AG3" s="192"/>
      <c r="AH3" s="192"/>
      <c r="AI3" s="192"/>
      <c r="AJ3" s="192"/>
      <c r="AK3" s="192"/>
      <c r="AL3" s="192"/>
      <c r="AM3" s="192"/>
      <c r="AN3" s="192"/>
      <c r="AO3" s="192"/>
      <c r="AP3" s="192"/>
    </row>
    <row r="4" spans="1:42" x14ac:dyDescent="0.25">
      <c r="A4" s="40"/>
      <c r="B4" s="40"/>
      <c r="C4" s="40"/>
      <c r="D4" s="40"/>
      <c r="E4" s="489"/>
      <c r="F4" s="493"/>
      <c r="G4" s="489"/>
      <c r="H4" s="493"/>
      <c r="I4" s="40"/>
      <c r="J4" s="40"/>
      <c r="K4" s="40"/>
      <c r="L4" s="40"/>
      <c r="M4" s="40"/>
      <c r="N4" s="40"/>
      <c r="O4" s="493"/>
      <c r="P4" s="493"/>
      <c r="Q4" s="613"/>
      <c r="R4" s="117"/>
      <c r="S4" s="117"/>
      <c r="T4" s="117"/>
      <c r="U4" s="117"/>
      <c r="V4" s="493"/>
      <c r="W4" s="493"/>
      <c r="X4" s="117"/>
      <c r="Y4" s="117"/>
      <c r="Z4" s="493"/>
      <c r="AA4" s="117"/>
      <c r="AB4" s="117"/>
      <c r="AC4" s="117"/>
      <c r="AD4" s="117"/>
      <c r="AE4" s="117"/>
    </row>
    <row r="5" spans="1:42" s="106" customFormat="1" ht="12" customHeight="1" x14ac:dyDescent="0.2">
      <c r="A5" s="1806" t="s">
        <v>15</v>
      </c>
      <c r="B5" s="698" t="s">
        <v>335</v>
      </c>
      <c r="C5" s="1806" t="s">
        <v>336</v>
      </c>
      <c r="D5" s="1806" t="s">
        <v>68</v>
      </c>
      <c r="E5" s="1828" t="s">
        <v>3263</v>
      </c>
      <c r="F5" s="1805" t="s">
        <v>3041</v>
      </c>
      <c r="G5" s="1828" t="s">
        <v>3057</v>
      </c>
      <c r="H5" s="1805" t="s">
        <v>3264</v>
      </c>
      <c r="I5" s="1806" t="s">
        <v>318</v>
      </c>
      <c r="J5" s="1806" t="s">
        <v>3344</v>
      </c>
      <c r="K5" s="1806" t="s">
        <v>3129</v>
      </c>
      <c r="L5" s="1806" t="s">
        <v>3130</v>
      </c>
      <c r="M5" s="1831" t="s">
        <v>331</v>
      </c>
      <c r="N5" s="1806" t="s">
        <v>3056</v>
      </c>
      <c r="O5" s="1805" t="s">
        <v>3055</v>
      </c>
      <c r="P5" s="1805" t="s">
        <v>3054</v>
      </c>
      <c r="Q5" s="1834" t="s">
        <v>3040</v>
      </c>
      <c r="R5" s="1807" t="s">
        <v>1406</v>
      </c>
      <c r="S5" s="1807" t="s">
        <v>3039</v>
      </c>
      <c r="T5" s="1807" t="s">
        <v>3042</v>
      </c>
      <c r="U5" s="1807" t="s">
        <v>560</v>
      </c>
      <c r="V5" s="1805" t="s">
        <v>3253</v>
      </c>
      <c r="W5" s="1805" t="s">
        <v>3038</v>
      </c>
      <c r="X5" s="1807" t="s">
        <v>3343</v>
      </c>
      <c r="Y5" s="1808" t="s">
        <v>3333</v>
      </c>
      <c r="Z5" s="1834" t="s">
        <v>3053</v>
      </c>
      <c r="AA5" s="1808" t="s">
        <v>3095</v>
      </c>
      <c r="AB5" s="1808"/>
      <c r="AC5" s="1808"/>
      <c r="AD5" s="1807" t="s">
        <v>328</v>
      </c>
      <c r="AE5" s="1807" t="s">
        <v>485</v>
      </c>
      <c r="AF5" s="1807" t="s">
        <v>3243</v>
      </c>
      <c r="AG5" s="1825" t="s">
        <v>3249</v>
      </c>
      <c r="AH5" s="1825" t="s">
        <v>3250</v>
      </c>
      <c r="AI5" s="1825" t="s">
        <v>3251</v>
      </c>
      <c r="AJ5" s="709"/>
      <c r="AK5" s="709"/>
      <c r="AL5" s="709"/>
      <c r="AM5" s="709"/>
      <c r="AN5" s="709"/>
      <c r="AO5" s="709"/>
      <c r="AP5" s="709"/>
    </row>
    <row r="6" spans="1:42" s="144" customFormat="1" ht="24.75" customHeight="1" x14ac:dyDescent="0.25">
      <c r="A6" s="1831"/>
      <c r="B6" s="697"/>
      <c r="C6" s="1831"/>
      <c r="D6" s="1831"/>
      <c r="E6" s="1829"/>
      <c r="F6" s="1827"/>
      <c r="G6" s="1829"/>
      <c r="H6" s="1827"/>
      <c r="I6" s="1831"/>
      <c r="J6" s="1836"/>
      <c r="K6" s="1831"/>
      <c r="L6" s="1831"/>
      <c r="M6" s="1832"/>
      <c r="N6" s="1831"/>
      <c r="O6" s="1827"/>
      <c r="P6" s="1827"/>
      <c r="Q6" s="1835"/>
      <c r="R6" s="1830"/>
      <c r="S6" s="1830"/>
      <c r="T6" s="1830"/>
      <c r="U6" s="1830"/>
      <c r="V6" s="1827"/>
      <c r="W6" s="1827"/>
      <c r="X6" s="1830"/>
      <c r="Y6" s="1833"/>
      <c r="Z6" s="1835"/>
      <c r="AA6" s="681" t="s">
        <v>3096</v>
      </c>
      <c r="AB6" s="681" t="s">
        <v>3097</v>
      </c>
      <c r="AC6" s="681" t="s">
        <v>1145</v>
      </c>
      <c r="AD6" s="1830"/>
      <c r="AE6" s="1830"/>
      <c r="AF6" s="1830"/>
      <c r="AG6" s="1826"/>
      <c r="AH6" s="1826"/>
      <c r="AI6" s="1826"/>
      <c r="AJ6" s="708"/>
      <c r="AK6" s="708"/>
      <c r="AL6" s="708"/>
      <c r="AM6" s="708"/>
      <c r="AN6" s="708"/>
      <c r="AO6" s="708"/>
      <c r="AP6" s="708"/>
    </row>
  </sheetData>
  <mergeCells count="32">
    <mergeCell ref="A5:A6"/>
    <mergeCell ref="H5:H6"/>
    <mergeCell ref="I5:I6"/>
    <mergeCell ref="J5:J6"/>
    <mergeCell ref="C5:C6"/>
    <mergeCell ref="D5:D6"/>
    <mergeCell ref="E5:E6"/>
    <mergeCell ref="V5:V6"/>
    <mergeCell ref="K5:K6"/>
    <mergeCell ref="S5:S6"/>
    <mergeCell ref="L5:L6"/>
    <mergeCell ref="Q5:Q6"/>
    <mergeCell ref="R5:R6"/>
    <mergeCell ref="O5:O6"/>
    <mergeCell ref="P5:P6"/>
    <mergeCell ref="T5:T6"/>
    <mergeCell ref="AI5:AI6"/>
    <mergeCell ref="F5:F6"/>
    <mergeCell ref="G5:G6"/>
    <mergeCell ref="U5:U6"/>
    <mergeCell ref="M5:M6"/>
    <mergeCell ref="N5:N6"/>
    <mergeCell ref="AF5:AF6"/>
    <mergeCell ref="AG5:AG6"/>
    <mergeCell ref="W5:W6"/>
    <mergeCell ref="X5:X6"/>
    <mergeCell ref="AH5:AH6"/>
    <mergeCell ref="Y5:Y6"/>
    <mergeCell ref="Z5:Z6"/>
    <mergeCell ref="AA5:AC5"/>
    <mergeCell ref="AE5:AE6"/>
    <mergeCell ref="AD5:AD6"/>
  </mergeCells>
  <pageMargins left="0.22" right="7.0000000000000007E-2" top="0.43307086614173201" bottom="0.59055118110236204" header="0.15748031496063" footer="0.23622047244094499"/>
  <pageSetup paperSize="9" scale="79" orientation="landscape" r:id="rId1"/>
  <headerFooter alignWithMargins="0">
    <oddHeader>&amp;L&amp;"Times New Roman,Bold Italic"&amp;9Dự toán Bắc Nam  - ÐT: 0966.966.455</oddHeader>
    <oddFooter>&amp;R&amp;9Trang &amp;P/&amp;N</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CVC588"/>
  <dimension ref="A1:AF5604"/>
  <sheetViews>
    <sheetView showGridLines="0" workbookViewId="0">
      <selection activeCell="D11" sqref="D11"/>
    </sheetView>
  </sheetViews>
  <sheetFormatPr defaultRowHeight="15.75" x14ac:dyDescent="0.25"/>
  <cols>
    <col min="1" max="1" width="28.5703125" style="351" customWidth="1"/>
    <col min="2" max="2" width="8.42578125" style="351" customWidth="1"/>
    <col min="3" max="3" width="8.42578125" style="351" hidden="1" customWidth="1"/>
    <col min="4" max="4" width="15" style="351" bestFit="1" customWidth="1"/>
    <col min="5" max="5" width="17" style="351" customWidth="1"/>
    <col min="6" max="6" width="17.42578125" style="351" customWidth="1"/>
    <col min="7" max="7" width="22" style="351" customWidth="1"/>
    <col min="8" max="8" width="9.140625" style="351"/>
    <col min="9" max="9" width="18.140625" style="351" customWidth="1"/>
    <col min="10" max="10" width="22.7109375" style="351" bestFit="1" customWidth="1"/>
    <col min="11" max="11" width="9.140625" style="351"/>
    <col min="12" max="12" width="20.140625" style="351" customWidth="1"/>
    <col min="13" max="20" width="9.140625" style="351"/>
    <col min="21" max="21" width="19.5703125" style="351" customWidth="1"/>
    <col min="22" max="22" width="9.140625" style="351"/>
    <col min="23" max="23" width="17.85546875" style="351" customWidth="1"/>
    <col min="24" max="16384" width="9.140625" style="351"/>
  </cols>
  <sheetData>
    <row r="1" spans="1:32" ht="20.25" x14ac:dyDescent="0.3">
      <c r="A1" s="1838" t="s">
        <v>3094</v>
      </c>
      <c r="B1" s="1838"/>
      <c r="C1" s="1838"/>
      <c r="D1" s="1838"/>
      <c r="E1" s="1838"/>
      <c r="F1" s="1838"/>
      <c r="G1" s="1838"/>
      <c r="H1" s="1840" t="s">
        <v>3093</v>
      </c>
      <c r="I1" s="1840"/>
      <c r="J1" s="1840"/>
      <c r="L1" s="348" t="s">
        <v>3092</v>
      </c>
      <c r="U1" s="682" t="s">
        <v>3139</v>
      </c>
      <c r="V1" s="682"/>
      <c r="W1" s="682"/>
      <c r="X1" s="682"/>
      <c r="Y1" s="682"/>
      <c r="Z1" s="682"/>
      <c r="AA1" s="682"/>
      <c r="AB1" s="682"/>
      <c r="AC1" s="682"/>
      <c r="AD1" s="683"/>
      <c r="AE1" s="1839" t="s">
        <v>3255</v>
      </c>
      <c r="AF1" s="1839"/>
    </row>
    <row r="2" spans="1:32" ht="16.5" x14ac:dyDescent="0.25">
      <c r="A2" s="1837" t="s">
        <v>3037</v>
      </c>
      <c r="B2" s="1837" t="s">
        <v>3029</v>
      </c>
      <c r="C2" s="621"/>
      <c r="D2" s="1837" t="s">
        <v>3030</v>
      </c>
      <c r="E2" s="1837"/>
      <c r="F2" s="1837"/>
      <c r="G2" s="1837"/>
      <c r="H2" s="351" t="s">
        <v>3091</v>
      </c>
      <c r="L2" s="351" t="s">
        <v>3090</v>
      </c>
      <c r="U2" s="684" t="s">
        <v>15</v>
      </c>
      <c r="V2" s="684" t="s">
        <v>3140</v>
      </c>
      <c r="W2" s="684" t="s">
        <v>3141</v>
      </c>
      <c r="X2" s="685" t="s">
        <v>68</v>
      </c>
      <c r="Y2" s="684" t="s">
        <v>3142</v>
      </c>
      <c r="Z2" s="684" t="s">
        <v>3133</v>
      </c>
      <c r="AA2" s="684" t="s">
        <v>3134</v>
      </c>
      <c r="AB2" s="684" t="s">
        <v>3143</v>
      </c>
      <c r="AC2" s="684"/>
      <c r="AD2" s="684" t="s">
        <v>350</v>
      </c>
      <c r="AE2" s="399" t="s">
        <v>3256</v>
      </c>
      <c r="AF2" s="710" t="s">
        <v>3257</v>
      </c>
    </row>
    <row r="3" spans="1:32" ht="16.5" x14ac:dyDescent="0.25">
      <c r="A3" s="1837"/>
      <c r="B3" s="1837"/>
      <c r="C3" s="621"/>
      <c r="D3" s="621" t="s">
        <v>3031</v>
      </c>
      <c r="E3" s="621" t="s">
        <v>3032</v>
      </c>
      <c r="F3" s="621" t="s">
        <v>3033</v>
      </c>
      <c r="G3" s="621" t="s">
        <v>3034</v>
      </c>
      <c r="H3" s="624">
        <v>2</v>
      </c>
      <c r="I3" s="616" t="str">
        <f>VLOOKUP(H3,H5:J20,3,)</f>
        <v>Ô tô tự đổ 7 tấn</v>
      </c>
      <c r="L3" s="623" t="s">
        <v>3086</v>
      </c>
      <c r="U3" s="686">
        <v>1</v>
      </c>
      <c r="V3" s="686" t="s">
        <v>3144</v>
      </c>
      <c r="W3" s="686" t="s">
        <v>3031</v>
      </c>
      <c r="X3" s="687" t="s">
        <v>647</v>
      </c>
      <c r="Y3" s="686">
        <v>1</v>
      </c>
      <c r="Z3" s="686">
        <v>0.13600000000000001</v>
      </c>
      <c r="AA3" s="686">
        <v>0.13600000000000001</v>
      </c>
      <c r="AB3" s="687" t="s">
        <v>647</v>
      </c>
      <c r="AC3" s="687" t="str">
        <f t="shared" ref="AC3:AC14" si="0">AB3&amp;X3</f>
        <v>m3m3</v>
      </c>
      <c r="AD3" s="686">
        <v>1</v>
      </c>
      <c r="AE3" s="398">
        <v>8.5999999999999993E-2</v>
      </c>
      <c r="AF3" s="398">
        <v>6.0000000000000001E-3</v>
      </c>
    </row>
    <row r="4" spans="1:32" ht="16.5" x14ac:dyDescent="0.25">
      <c r="A4" s="1837"/>
      <c r="B4" s="1837"/>
      <c r="C4" s="621"/>
      <c r="D4" s="1837" t="s">
        <v>3035</v>
      </c>
      <c r="E4" s="1837"/>
      <c r="F4" s="1837" t="s">
        <v>3036</v>
      </c>
      <c r="G4" s="1837"/>
      <c r="H4" s="622" t="s">
        <v>15</v>
      </c>
      <c r="I4" s="399" t="s">
        <v>3089</v>
      </c>
      <c r="J4" s="399" t="s">
        <v>1279</v>
      </c>
      <c r="L4" s="621" t="s">
        <v>321</v>
      </c>
      <c r="M4" s="621" t="s">
        <v>3088</v>
      </c>
      <c r="N4" s="621" t="s">
        <v>3087</v>
      </c>
      <c r="O4" s="621" t="s">
        <v>3086</v>
      </c>
      <c r="P4" s="621" t="s">
        <v>3085</v>
      </c>
      <c r="Q4" s="621" t="s">
        <v>3084</v>
      </c>
      <c r="R4" s="621" t="s">
        <v>3083</v>
      </c>
      <c r="U4" s="686">
        <v>2</v>
      </c>
      <c r="V4" s="686" t="s">
        <v>3145</v>
      </c>
      <c r="W4" s="686" t="s">
        <v>3146</v>
      </c>
      <c r="X4" s="687" t="s">
        <v>647</v>
      </c>
      <c r="Y4" s="686">
        <v>1</v>
      </c>
      <c r="Z4" s="686">
        <v>0.22900000000000001</v>
      </c>
      <c r="AA4" s="686">
        <v>0.22900000000000001</v>
      </c>
      <c r="AB4" s="687" t="s">
        <v>647</v>
      </c>
      <c r="AC4" s="687" t="str">
        <f t="shared" si="0"/>
        <v>m3m3</v>
      </c>
      <c r="AD4" s="686">
        <v>1</v>
      </c>
      <c r="AE4" s="398">
        <v>8.7999999999999995E-2</v>
      </c>
      <c r="AF4" s="398">
        <v>7.0000000000000001E-3</v>
      </c>
    </row>
    <row r="5" spans="1:32" ht="36" x14ac:dyDescent="0.25">
      <c r="A5" s="632" t="s">
        <v>3058</v>
      </c>
      <c r="B5" s="627">
        <v>1</v>
      </c>
      <c r="C5" s="628" t="str">
        <f t="shared" ref="C5:C36" si="1">A5&amp;B5</f>
        <v>Ô tô tự đổ 7 tấn1</v>
      </c>
      <c r="D5" s="627">
        <v>0.75</v>
      </c>
      <c r="E5" s="627">
        <v>0.77</v>
      </c>
      <c r="F5" s="627">
        <v>0.48</v>
      </c>
      <c r="G5" s="627">
        <v>0.45</v>
      </c>
      <c r="H5" s="617">
        <v>1</v>
      </c>
      <c r="I5" s="618" t="s">
        <v>3082</v>
      </c>
      <c r="J5" s="398" t="s">
        <v>3081</v>
      </c>
      <c r="L5" s="620" t="s">
        <v>3080</v>
      </c>
      <c r="M5" s="619">
        <v>0.56999999999999995</v>
      </c>
      <c r="N5" s="619">
        <v>0.68</v>
      </c>
      <c r="O5" s="619">
        <v>1</v>
      </c>
      <c r="P5" s="619">
        <v>1.35</v>
      </c>
      <c r="Q5" s="619">
        <v>1.5</v>
      </c>
      <c r="R5" s="619">
        <f>1.7</f>
        <v>1.7</v>
      </c>
      <c r="U5" s="686">
        <v>3</v>
      </c>
      <c r="V5" s="686" t="s">
        <v>3147</v>
      </c>
      <c r="W5" s="686" t="s">
        <v>630</v>
      </c>
      <c r="X5" s="687" t="s">
        <v>647</v>
      </c>
      <c r="Y5" s="686">
        <v>1</v>
      </c>
      <c r="Z5" s="686">
        <v>0.20799999999999999</v>
      </c>
      <c r="AA5" s="686">
        <v>0.20799999999999999</v>
      </c>
      <c r="AB5" s="687" t="s">
        <v>647</v>
      </c>
      <c r="AC5" s="687" t="str">
        <f t="shared" si="0"/>
        <v>m3m3</v>
      </c>
      <c r="AD5" s="686">
        <v>1</v>
      </c>
      <c r="AE5" s="398">
        <v>8.6999999999999994E-2</v>
      </c>
      <c r="AF5" s="398">
        <v>7.0000000000000001E-3</v>
      </c>
    </row>
    <row r="6" spans="1:32" ht="18.75" x14ac:dyDescent="0.25">
      <c r="A6" s="632" t="s">
        <v>3058</v>
      </c>
      <c r="B6" s="627">
        <v>2</v>
      </c>
      <c r="C6" s="628" t="str">
        <f t="shared" si="1"/>
        <v>Ô tô tự đổ 7 tấn2</v>
      </c>
      <c r="D6" s="627">
        <v>0.65300000000000002</v>
      </c>
      <c r="E6" s="627">
        <v>0.67300000000000004</v>
      </c>
      <c r="F6" s="627">
        <v>0.41799999999999998</v>
      </c>
      <c r="G6" s="627">
        <v>0.39300000000000002</v>
      </c>
      <c r="H6" s="617">
        <v>2</v>
      </c>
      <c r="I6" s="618" t="s">
        <v>3079</v>
      </c>
      <c r="J6" s="398" t="s">
        <v>3058</v>
      </c>
      <c r="U6" s="686">
        <v>4</v>
      </c>
      <c r="V6" s="686" t="s">
        <v>3148</v>
      </c>
      <c r="W6" s="686" t="s">
        <v>3149</v>
      </c>
      <c r="X6" s="687" t="s">
        <v>647</v>
      </c>
      <c r="Y6" s="686">
        <v>1</v>
      </c>
      <c r="Z6" s="686">
        <v>0.28000000000000003</v>
      </c>
      <c r="AA6" s="686">
        <v>0.28000000000000003</v>
      </c>
      <c r="AB6" s="687" t="s">
        <v>647</v>
      </c>
      <c r="AC6" s="687" t="str">
        <f t="shared" si="0"/>
        <v>m3m3</v>
      </c>
      <c r="AD6" s="686">
        <v>1</v>
      </c>
      <c r="AE6" s="398">
        <v>8.7999999999999995E-2</v>
      </c>
      <c r="AF6" s="398">
        <v>7.0000000000000001E-3</v>
      </c>
    </row>
    <row r="7" spans="1:32" ht="18.75" x14ac:dyDescent="0.25">
      <c r="A7" s="632" t="s">
        <v>3058</v>
      </c>
      <c r="B7" s="627">
        <v>3</v>
      </c>
      <c r="C7" s="628" t="str">
        <f t="shared" si="1"/>
        <v>Ô tô tự đổ 7 tấn3</v>
      </c>
      <c r="D7" s="627">
        <v>0.55500000000000005</v>
      </c>
      <c r="E7" s="627">
        <v>0.57499999999999996</v>
      </c>
      <c r="F7" s="627">
        <v>0.35499999999999998</v>
      </c>
      <c r="G7" s="627">
        <v>0.33500000000000002</v>
      </c>
      <c r="H7" s="617">
        <v>3</v>
      </c>
      <c r="I7" s="618" t="s">
        <v>3078</v>
      </c>
      <c r="J7" s="398" t="s">
        <v>3077</v>
      </c>
      <c r="U7" s="686">
        <v>5</v>
      </c>
      <c r="V7" s="686" t="s">
        <v>3150</v>
      </c>
      <c r="W7" s="686" t="s">
        <v>3033</v>
      </c>
      <c r="X7" s="687" t="s">
        <v>644</v>
      </c>
      <c r="Y7" s="686">
        <v>2</v>
      </c>
      <c r="Z7" s="686">
        <v>0.10100000000000001</v>
      </c>
      <c r="AA7" s="686">
        <v>6.7000000000000004E-2</v>
      </c>
      <c r="AB7" s="688" t="s">
        <v>3025</v>
      </c>
      <c r="AC7" s="687" t="str">
        <f t="shared" si="0"/>
        <v>kgtấn</v>
      </c>
      <c r="AD7" s="686">
        <v>1E-3</v>
      </c>
      <c r="AE7" s="398">
        <v>7.4999999999999997E-2</v>
      </c>
      <c r="AF7" s="398">
        <v>6.0000000000000001E-3</v>
      </c>
    </row>
    <row r="8" spans="1:32" ht="18.75" x14ac:dyDescent="0.25">
      <c r="A8" s="632" t="s">
        <v>3058</v>
      </c>
      <c r="B8" s="627">
        <v>4</v>
      </c>
      <c r="C8" s="628" t="str">
        <f t="shared" si="1"/>
        <v>Ô tô tự đổ 7 tấn4</v>
      </c>
      <c r="D8" s="627">
        <v>0.45800000000000002</v>
      </c>
      <c r="E8" s="627">
        <v>0.47799999999999998</v>
      </c>
      <c r="F8" s="627">
        <v>0.29299999999999998</v>
      </c>
      <c r="G8" s="627">
        <v>0.27800000000000002</v>
      </c>
      <c r="H8" s="617">
        <v>4</v>
      </c>
      <c r="I8" s="618" t="s">
        <v>3076</v>
      </c>
      <c r="J8" s="398" t="s">
        <v>3075</v>
      </c>
      <c r="U8" s="686">
        <v>6</v>
      </c>
      <c r="V8" s="686" t="s">
        <v>3151</v>
      </c>
      <c r="W8" s="686" t="s">
        <v>3152</v>
      </c>
      <c r="X8" s="687" t="s">
        <v>654</v>
      </c>
      <c r="Y8" s="686">
        <v>2</v>
      </c>
      <c r="Z8" s="686">
        <v>0.216</v>
      </c>
      <c r="AA8" s="686">
        <v>0.14399999999999999</v>
      </c>
      <c r="AB8" s="688" t="s">
        <v>3153</v>
      </c>
      <c r="AC8" s="687" t="str">
        <f t="shared" si="0"/>
        <v>viên1000v</v>
      </c>
      <c r="AD8" s="686">
        <v>1E-3</v>
      </c>
      <c r="AE8" s="398">
        <v>7.4999999999999997E-2</v>
      </c>
      <c r="AF8" s="398">
        <v>6.0000000000000001E-3</v>
      </c>
    </row>
    <row r="9" spans="1:32" ht="18.75" x14ac:dyDescent="0.25">
      <c r="A9" s="632" t="s">
        <v>3058</v>
      </c>
      <c r="B9" s="627">
        <v>5</v>
      </c>
      <c r="C9" s="628" t="str">
        <f t="shared" si="1"/>
        <v>Ô tô tự đổ 7 tấn5</v>
      </c>
      <c r="D9" s="627">
        <v>0.36</v>
      </c>
      <c r="E9" s="627">
        <v>0.38</v>
      </c>
      <c r="F9" s="627">
        <v>0.23</v>
      </c>
      <c r="G9" s="627">
        <v>0.22</v>
      </c>
      <c r="H9" s="617">
        <v>5</v>
      </c>
      <c r="I9" s="398" t="s">
        <v>3074</v>
      </c>
      <c r="J9" s="398" t="s">
        <v>3073</v>
      </c>
      <c r="U9" s="686">
        <v>7</v>
      </c>
      <c r="V9" s="686" t="s">
        <v>3154</v>
      </c>
      <c r="W9" s="686" t="s">
        <v>3155</v>
      </c>
      <c r="X9" s="687" t="s">
        <v>655</v>
      </c>
      <c r="Y9" s="686">
        <v>2</v>
      </c>
      <c r="Z9" s="686">
        <v>0.312</v>
      </c>
      <c r="AA9" s="686">
        <v>0.20799999999999999</v>
      </c>
      <c r="AB9" s="688" t="s">
        <v>651</v>
      </c>
      <c r="AC9" s="687" t="str">
        <f t="shared" si="0"/>
        <v>m2100m2</v>
      </c>
      <c r="AD9" s="686">
        <v>0.01</v>
      </c>
      <c r="AE9" s="398">
        <v>5.5E-2</v>
      </c>
      <c r="AF9" s="398">
        <v>3.0000000000000001E-3</v>
      </c>
    </row>
    <row r="10" spans="1:32" ht="18.75" x14ac:dyDescent="0.25">
      <c r="A10" s="632" t="s">
        <v>3058</v>
      </c>
      <c r="B10" s="627">
        <v>6</v>
      </c>
      <c r="C10" s="628" t="str">
        <f t="shared" si="1"/>
        <v>Ô tô tự đổ 7 tấn6</v>
      </c>
      <c r="D10" s="627">
        <v>0.34399999999999997</v>
      </c>
      <c r="E10" s="627">
        <v>0.36199999999999999</v>
      </c>
      <c r="F10" s="627">
        <v>0.22</v>
      </c>
      <c r="G10" s="627">
        <v>0.21</v>
      </c>
      <c r="H10" s="617">
        <v>6</v>
      </c>
      <c r="I10" s="398" t="s">
        <v>3072</v>
      </c>
      <c r="J10" s="398" t="s">
        <v>3071</v>
      </c>
      <c r="U10" s="686">
        <v>8</v>
      </c>
      <c r="V10" s="686" t="s">
        <v>3156</v>
      </c>
      <c r="W10" s="686" t="s">
        <v>640</v>
      </c>
      <c r="X10" s="687" t="s">
        <v>654</v>
      </c>
      <c r="Y10" s="686">
        <v>2</v>
      </c>
      <c r="Z10" s="686">
        <v>0.24</v>
      </c>
      <c r="AA10" s="686">
        <v>0.16</v>
      </c>
      <c r="AB10" s="688" t="s">
        <v>3153</v>
      </c>
      <c r="AC10" s="687" t="str">
        <f t="shared" si="0"/>
        <v>viên1000v</v>
      </c>
      <c r="AD10" s="686">
        <v>1E-3</v>
      </c>
      <c r="AE10" s="398">
        <v>0.09</v>
      </c>
      <c r="AF10" s="398">
        <v>7.0000000000000001E-3</v>
      </c>
    </row>
    <row r="11" spans="1:32" ht="18.75" x14ac:dyDescent="0.25">
      <c r="A11" s="632" t="s">
        <v>3058</v>
      </c>
      <c r="B11" s="627">
        <v>7</v>
      </c>
      <c r="C11" s="628" t="str">
        <f t="shared" si="1"/>
        <v>Ô tô tự đổ 7 tấn7</v>
      </c>
      <c r="D11" s="627">
        <v>0.32800000000000001</v>
      </c>
      <c r="E11" s="627">
        <v>0.34399999999999997</v>
      </c>
      <c r="F11" s="627">
        <v>0.21</v>
      </c>
      <c r="G11" s="627">
        <v>0.2</v>
      </c>
      <c r="H11" s="617">
        <v>7</v>
      </c>
      <c r="I11" s="398" t="s">
        <v>3070</v>
      </c>
      <c r="J11" s="398" t="s">
        <v>3069</v>
      </c>
      <c r="U11" s="686">
        <v>9</v>
      </c>
      <c r="V11" s="686" t="s">
        <v>3157</v>
      </c>
      <c r="W11" s="686" t="s">
        <v>3158</v>
      </c>
      <c r="X11" s="687" t="s">
        <v>655</v>
      </c>
      <c r="Y11" s="686">
        <v>2</v>
      </c>
      <c r="Z11" s="686">
        <v>0.33600000000000002</v>
      </c>
      <c r="AA11" s="686">
        <v>0.224</v>
      </c>
      <c r="AB11" s="688" t="s">
        <v>651</v>
      </c>
      <c r="AC11" s="687" t="str">
        <f t="shared" si="0"/>
        <v>m2100m2</v>
      </c>
      <c r="AD11" s="686">
        <v>0.01</v>
      </c>
      <c r="AE11" s="398">
        <v>6.0999999999999999E-2</v>
      </c>
      <c r="AF11" s="398">
        <v>3.0000000000000001E-3</v>
      </c>
    </row>
    <row r="12" spans="1:32" ht="18.75" x14ac:dyDescent="0.25">
      <c r="A12" s="632" t="s">
        <v>3058</v>
      </c>
      <c r="B12" s="627">
        <v>8</v>
      </c>
      <c r="C12" s="628" t="str">
        <f t="shared" si="1"/>
        <v>Ô tô tự đổ 7 tấn8</v>
      </c>
      <c r="D12" s="627">
        <v>0.312</v>
      </c>
      <c r="E12" s="627">
        <v>0.32600000000000001</v>
      </c>
      <c r="F12" s="627">
        <v>0.2</v>
      </c>
      <c r="G12" s="627">
        <v>0.19</v>
      </c>
      <c r="H12" s="617">
        <v>8</v>
      </c>
      <c r="I12" s="398" t="s">
        <v>3068</v>
      </c>
      <c r="J12" s="398" t="s">
        <v>3067</v>
      </c>
      <c r="U12" s="686">
        <v>10</v>
      </c>
      <c r="V12" s="686" t="s">
        <v>3159</v>
      </c>
      <c r="W12" s="686" t="s">
        <v>645</v>
      </c>
      <c r="X12" s="687" t="s">
        <v>644</v>
      </c>
      <c r="Y12" s="686">
        <v>2</v>
      </c>
      <c r="Z12" s="686">
        <v>0.19700000000000001</v>
      </c>
      <c r="AA12" s="686">
        <v>0.13100000000000001</v>
      </c>
      <c r="AB12" s="688" t="s">
        <v>3025</v>
      </c>
      <c r="AC12" s="687" t="str">
        <f t="shared" si="0"/>
        <v>kgtấn</v>
      </c>
      <c r="AD12" s="686">
        <v>1E-3</v>
      </c>
      <c r="AE12" s="398">
        <v>0.08</v>
      </c>
      <c r="AF12" s="398">
        <v>7.0000000000000001E-3</v>
      </c>
    </row>
    <row r="13" spans="1:32" ht="18.75" x14ac:dyDescent="0.25">
      <c r="A13" s="632" t="s">
        <v>3058</v>
      </c>
      <c r="B13" s="627">
        <v>9</v>
      </c>
      <c r="C13" s="628" t="str">
        <f t="shared" si="1"/>
        <v>Ô tô tự đổ 7 tấn9</v>
      </c>
      <c r="D13" s="627">
        <v>0.29599999999999999</v>
      </c>
      <c r="E13" s="627">
        <v>0.308</v>
      </c>
      <c r="F13" s="627">
        <v>0.19</v>
      </c>
      <c r="G13" s="627">
        <v>0.18</v>
      </c>
      <c r="H13" s="617">
        <v>9</v>
      </c>
      <c r="I13" s="398" t="s">
        <v>3066</v>
      </c>
      <c r="J13" s="398" t="s">
        <v>3065</v>
      </c>
      <c r="U13" s="686">
        <v>11</v>
      </c>
      <c r="V13" s="686" t="s">
        <v>3160</v>
      </c>
      <c r="W13" s="686" t="s">
        <v>646</v>
      </c>
      <c r="X13" s="687" t="s">
        <v>647</v>
      </c>
      <c r="Y13" s="686">
        <v>2</v>
      </c>
      <c r="Z13" s="686">
        <v>0.11</v>
      </c>
      <c r="AA13" s="686">
        <v>7.3999999999999996E-2</v>
      </c>
      <c r="AB13" s="687" t="s">
        <v>647</v>
      </c>
      <c r="AC13" s="687" t="str">
        <f t="shared" si="0"/>
        <v>m3m3</v>
      </c>
      <c r="AD13" s="686">
        <v>1</v>
      </c>
      <c r="AE13" s="398">
        <v>5.6000000000000001E-2</v>
      </c>
      <c r="AF13" s="398">
        <v>5.0000000000000001E-3</v>
      </c>
    </row>
    <row r="14" spans="1:32" ht="18.75" x14ac:dyDescent="0.25">
      <c r="A14" s="632" t="s">
        <v>3058</v>
      </c>
      <c r="B14" s="627">
        <v>10</v>
      </c>
      <c r="C14" s="628" t="str">
        <f t="shared" si="1"/>
        <v>Ô tô tự đổ 7 tấn10</v>
      </c>
      <c r="D14" s="627">
        <v>0.28000000000000003</v>
      </c>
      <c r="E14" s="627">
        <v>0.28999999999999998</v>
      </c>
      <c r="F14" s="627">
        <v>0.18</v>
      </c>
      <c r="G14" s="627">
        <v>0.17</v>
      </c>
      <c r="H14" s="617">
        <v>10</v>
      </c>
      <c r="I14" s="398" t="s">
        <v>3064</v>
      </c>
      <c r="J14" s="398" t="s">
        <v>3063</v>
      </c>
      <c r="U14" s="686">
        <v>12</v>
      </c>
      <c r="V14" s="686" t="s">
        <v>3161</v>
      </c>
      <c r="W14" s="686" t="s">
        <v>3162</v>
      </c>
      <c r="X14" s="687" t="s">
        <v>3163</v>
      </c>
      <c r="Y14" s="686">
        <v>2</v>
      </c>
      <c r="Z14" s="686">
        <v>0.32700000000000001</v>
      </c>
      <c r="AA14" s="686">
        <v>0.218</v>
      </c>
      <c r="AB14" s="688" t="s">
        <v>3164</v>
      </c>
      <c r="AC14" s="687" t="str">
        <f t="shared" si="0"/>
        <v>cây100cây</v>
      </c>
      <c r="AD14" s="686">
        <v>0.01</v>
      </c>
      <c r="AE14" s="398">
        <v>0.06</v>
      </c>
      <c r="AF14" s="398">
        <v>6.0000000000000001E-3</v>
      </c>
    </row>
    <row r="15" spans="1:32" ht="18.75" x14ac:dyDescent="0.25">
      <c r="A15" s="632" t="s">
        <v>3058</v>
      </c>
      <c r="B15" s="627">
        <v>11</v>
      </c>
      <c r="C15" s="628" t="str">
        <f t="shared" si="1"/>
        <v>Ô tô tự đổ 7 tấn11</v>
      </c>
      <c r="D15" s="627">
        <v>0.27200000000000002</v>
      </c>
      <c r="E15" s="627">
        <v>0.28199999999999997</v>
      </c>
      <c r="F15" s="627">
        <v>0.17599999999999999</v>
      </c>
      <c r="G15" s="627">
        <v>0.16600000000000001</v>
      </c>
      <c r="H15" s="617">
        <v>11</v>
      </c>
      <c r="I15" s="398" t="s">
        <v>3062</v>
      </c>
      <c r="J15" s="398" t="s">
        <v>3061</v>
      </c>
      <c r="U15"/>
      <c r="V15"/>
      <c r="W15"/>
      <c r="X15" s="141"/>
      <c r="Y15"/>
      <c r="Z15"/>
      <c r="AA15"/>
      <c r="AB15"/>
      <c r="AC15"/>
      <c r="AD15"/>
    </row>
    <row r="16" spans="1:32" ht="18.75" x14ac:dyDescent="0.25">
      <c r="A16" s="632" t="s">
        <v>3058</v>
      </c>
      <c r="B16" s="627">
        <v>12</v>
      </c>
      <c r="C16" s="628" t="str">
        <f t="shared" si="1"/>
        <v>Ô tô tự đổ 7 tấn12</v>
      </c>
      <c r="D16" s="627">
        <v>0.26400000000000001</v>
      </c>
      <c r="E16" s="627">
        <v>0.27400000000000002</v>
      </c>
      <c r="F16" s="627">
        <v>0.17199999999999999</v>
      </c>
      <c r="G16" s="627">
        <v>0.16200000000000001</v>
      </c>
      <c r="H16" s="617">
        <v>12</v>
      </c>
      <c r="I16" s="398" t="s">
        <v>3060</v>
      </c>
      <c r="J16" s="398" t="s">
        <v>3059</v>
      </c>
      <c r="U16"/>
      <c r="V16"/>
      <c r="W16"/>
      <c r="X16" s="141"/>
      <c r="Y16"/>
      <c r="Z16"/>
      <c r="AA16"/>
      <c r="AB16"/>
      <c r="AC16"/>
      <c r="AD16"/>
    </row>
    <row r="17" spans="1:30" ht="18.75" x14ac:dyDescent="0.25">
      <c r="A17" s="632" t="s">
        <v>3058</v>
      </c>
      <c r="B17" s="627">
        <v>13</v>
      </c>
      <c r="C17" s="628" t="str">
        <f t="shared" si="1"/>
        <v>Ô tô tự đổ 7 tấn13</v>
      </c>
      <c r="D17" s="627">
        <v>0.25600000000000001</v>
      </c>
      <c r="E17" s="627">
        <v>0.26600000000000001</v>
      </c>
      <c r="F17" s="627">
        <v>0.16800000000000001</v>
      </c>
      <c r="G17" s="627">
        <v>0.158</v>
      </c>
      <c r="U17" s="682" t="s">
        <v>3165</v>
      </c>
      <c r="V17" s="682"/>
      <c r="W17" s="682"/>
      <c r="X17" s="682"/>
      <c r="Y17"/>
      <c r="Z17"/>
      <c r="AA17"/>
      <c r="AB17"/>
      <c r="AC17"/>
      <c r="AD17"/>
    </row>
    <row r="18" spans="1:30" ht="18.75" x14ac:dyDescent="0.25">
      <c r="A18" s="632" t="s">
        <v>3058</v>
      </c>
      <c r="B18" s="627">
        <v>14</v>
      </c>
      <c r="C18" s="628" t="str">
        <f t="shared" si="1"/>
        <v>Ô tô tự đổ 7 tấn14</v>
      </c>
      <c r="D18" s="627">
        <v>0.248</v>
      </c>
      <c r="E18" s="627">
        <v>0.25800000000000001</v>
      </c>
      <c r="F18" s="627">
        <v>0.16400000000000001</v>
      </c>
      <c r="G18" s="627">
        <v>0.154</v>
      </c>
      <c r="U18" s="684" t="s">
        <v>15</v>
      </c>
      <c r="V18" s="684" t="s">
        <v>3166</v>
      </c>
      <c r="W18" s="684" t="s">
        <v>1531</v>
      </c>
      <c r="X18" s="685" t="s">
        <v>68</v>
      </c>
      <c r="Y18" s="683"/>
      <c r="Z18" s="683"/>
      <c r="AA18" s="683"/>
      <c r="AB18" s="683"/>
      <c r="AC18" s="683"/>
      <c r="AD18" s="683"/>
    </row>
    <row r="19" spans="1:30" ht="18.75" x14ac:dyDescent="0.25">
      <c r="A19" s="632" t="s">
        <v>3058</v>
      </c>
      <c r="B19" s="627">
        <v>15</v>
      </c>
      <c r="C19" s="628" t="str">
        <f t="shared" si="1"/>
        <v>Ô tô tự đổ 7 tấn15</v>
      </c>
      <c r="D19" s="627">
        <v>0.24</v>
      </c>
      <c r="E19" s="627">
        <v>0.25</v>
      </c>
      <c r="F19" s="627">
        <v>0.16</v>
      </c>
      <c r="G19" s="627">
        <v>0.15</v>
      </c>
      <c r="U19" s="689" t="s">
        <v>59</v>
      </c>
      <c r="V19" s="690"/>
      <c r="W19" s="690" t="s">
        <v>3167</v>
      </c>
      <c r="X19" s="691"/>
      <c r="Y19" s="683"/>
      <c r="Z19" s="683"/>
      <c r="AA19" s="683"/>
      <c r="AB19" s="683"/>
      <c r="AC19" s="683"/>
      <c r="AD19" s="683"/>
    </row>
    <row r="20" spans="1:30" ht="18.75" x14ac:dyDescent="0.25">
      <c r="A20" s="632" t="s">
        <v>3058</v>
      </c>
      <c r="B20" s="627">
        <v>16</v>
      </c>
      <c r="C20" s="628" t="str">
        <f t="shared" si="1"/>
        <v>Ô tô tự đổ 7 tấn16</v>
      </c>
      <c r="D20" s="627">
        <v>0.23599999999999999</v>
      </c>
      <c r="E20" s="627">
        <v>0.246</v>
      </c>
      <c r="F20" s="627">
        <v>0.156</v>
      </c>
      <c r="G20" s="627">
        <v>0.14599999999999999</v>
      </c>
      <c r="U20" s="692" t="s">
        <v>3168</v>
      </c>
      <c r="V20" s="693">
        <v>5</v>
      </c>
      <c r="W20" s="694" t="str">
        <f>VLOOKUP(V20,$U$24:$W$59,3,)</f>
        <v>NC nhóm I, bậc 3,0/7</v>
      </c>
      <c r="X20" s="687" t="s">
        <v>2259</v>
      </c>
      <c r="Y20"/>
      <c r="Z20"/>
      <c r="AA20"/>
      <c r="AB20"/>
      <c r="AC20"/>
      <c r="AD20"/>
    </row>
    <row r="21" spans="1:30" ht="18.75" x14ac:dyDescent="0.25">
      <c r="A21" s="632" t="s">
        <v>3058</v>
      </c>
      <c r="B21" s="627">
        <v>17</v>
      </c>
      <c r="C21" s="628" t="str">
        <f t="shared" si="1"/>
        <v>Ô tô tự đổ 7 tấn17</v>
      </c>
      <c r="D21" s="627">
        <v>0.23200000000000001</v>
      </c>
      <c r="E21" s="627">
        <v>0.24199999999999999</v>
      </c>
      <c r="F21" s="627">
        <v>0.152</v>
      </c>
      <c r="G21" s="627">
        <v>0.14199999999999999</v>
      </c>
      <c r="U21" s="692" t="s">
        <v>3169</v>
      </c>
      <c r="V21" s="693">
        <v>5</v>
      </c>
      <c r="W21" s="694" t="str">
        <f>VLOOKUP(V21,$U$24:$W$59,3,)</f>
        <v>NC nhóm I, bậc 3,0/7</v>
      </c>
      <c r="X21" s="687" t="s">
        <v>2259</v>
      </c>
      <c r="Y21"/>
      <c r="Z21"/>
      <c r="AA21"/>
      <c r="AB21"/>
      <c r="AC21"/>
      <c r="AD21"/>
    </row>
    <row r="22" spans="1:30" ht="18.75" x14ac:dyDescent="0.25">
      <c r="A22" s="632" t="s">
        <v>3058</v>
      </c>
      <c r="B22" s="627">
        <v>18</v>
      </c>
      <c r="C22" s="628" t="str">
        <f t="shared" si="1"/>
        <v>Ô tô tự đổ 7 tấn18</v>
      </c>
      <c r="D22" s="627">
        <v>0.22800000000000001</v>
      </c>
      <c r="E22" s="627">
        <v>0.23799999999999999</v>
      </c>
      <c r="F22" s="627">
        <v>0.14799999999999999</v>
      </c>
      <c r="G22" s="627">
        <v>0.13800000000000001</v>
      </c>
      <c r="U22" s="692" t="s">
        <v>3254</v>
      </c>
      <c r="V22" s="693">
        <v>5</v>
      </c>
      <c r="W22" s="694" t="str">
        <f>VLOOKUP(V22,$U$24:$W$59,3,)</f>
        <v>NC nhóm I, bậc 3,0/7</v>
      </c>
      <c r="X22" s="687" t="s">
        <v>2259</v>
      </c>
      <c r="Y22"/>
      <c r="Z22"/>
      <c r="AA22"/>
      <c r="AB22"/>
      <c r="AC22"/>
      <c r="AD22"/>
    </row>
    <row r="23" spans="1:30" ht="18.75" x14ac:dyDescent="0.25">
      <c r="A23" s="632" t="s">
        <v>3058</v>
      </c>
      <c r="B23" s="627">
        <v>19</v>
      </c>
      <c r="C23" s="628" t="str">
        <f t="shared" si="1"/>
        <v>Ô tô tự đổ 7 tấn19</v>
      </c>
      <c r="D23" s="627">
        <v>0.224</v>
      </c>
      <c r="E23" s="627">
        <v>0.23400000000000001</v>
      </c>
      <c r="F23" s="627">
        <v>0.14399999999999999</v>
      </c>
      <c r="G23" s="627">
        <v>0.13400000000000001</v>
      </c>
      <c r="U23" s="690" t="s">
        <v>64</v>
      </c>
      <c r="V23" s="695"/>
      <c r="W23" s="690" t="s">
        <v>3170</v>
      </c>
      <c r="X23" s="696"/>
      <c r="Y23"/>
      <c r="Z23"/>
      <c r="AA23"/>
      <c r="AB23"/>
      <c r="AC23"/>
      <c r="AD23"/>
    </row>
    <row r="24" spans="1:30" ht="18.75" x14ac:dyDescent="0.25">
      <c r="A24" s="632" t="s">
        <v>3058</v>
      </c>
      <c r="B24" s="627">
        <v>20</v>
      </c>
      <c r="C24" s="628" t="str">
        <f t="shared" si="1"/>
        <v>Ô tô tự đổ 7 tấn20</v>
      </c>
      <c r="D24" s="627">
        <v>0.22</v>
      </c>
      <c r="E24" s="627">
        <v>0.23</v>
      </c>
      <c r="F24" s="627">
        <v>0.14000000000000001</v>
      </c>
      <c r="G24" s="627">
        <v>0.13</v>
      </c>
      <c r="U24" s="686">
        <v>1</v>
      </c>
      <c r="V24" s="692" t="s">
        <v>3171</v>
      </c>
      <c r="W24" s="686" t="s">
        <v>3172</v>
      </c>
      <c r="X24" s="687" t="s">
        <v>2259</v>
      </c>
      <c r="Y24"/>
      <c r="Z24"/>
      <c r="AA24"/>
      <c r="AB24"/>
      <c r="AC24"/>
      <c r="AD24"/>
    </row>
    <row r="25" spans="1:30" ht="18.75" x14ac:dyDescent="0.25">
      <c r="A25" s="632" t="s">
        <v>3058</v>
      </c>
      <c r="B25" s="627">
        <v>21</v>
      </c>
      <c r="C25" s="628" t="str">
        <f t="shared" si="1"/>
        <v>Ô tô tự đổ 7 tấn21</v>
      </c>
      <c r="D25" s="627">
        <v>0.21099999999999999</v>
      </c>
      <c r="E25" s="627">
        <v>0.221</v>
      </c>
      <c r="F25" s="627">
        <v>0.13400000000000001</v>
      </c>
      <c r="G25" s="627">
        <v>0.125</v>
      </c>
      <c r="U25" s="686">
        <v>2</v>
      </c>
      <c r="V25" s="692" t="s">
        <v>3173</v>
      </c>
      <c r="W25" s="686" t="s">
        <v>3174</v>
      </c>
      <c r="X25" s="687" t="s">
        <v>2259</v>
      </c>
      <c r="Y25"/>
      <c r="Z25"/>
      <c r="AA25"/>
      <c r="AB25"/>
      <c r="AC25"/>
      <c r="AD25"/>
    </row>
    <row r="26" spans="1:30" ht="18.75" x14ac:dyDescent="0.25">
      <c r="A26" s="632" t="s">
        <v>3058</v>
      </c>
      <c r="B26" s="627">
        <v>22</v>
      </c>
      <c r="C26" s="628" t="str">
        <f t="shared" si="1"/>
        <v>Ô tô tự đổ 7 tấn22</v>
      </c>
      <c r="D26" s="627">
        <v>0.21099999999999999</v>
      </c>
      <c r="E26" s="627">
        <v>0.221</v>
      </c>
      <c r="F26" s="627">
        <v>0.13400000000000001</v>
      </c>
      <c r="G26" s="627">
        <v>0.125</v>
      </c>
      <c r="U26" s="686">
        <v>3</v>
      </c>
      <c r="V26" s="692" t="s">
        <v>3175</v>
      </c>
      <c r="W26" s="686" t="s">
        <v>3176</v>
      </c>
      <c r="X26" s="687" t="s">
        <v>2259</v>
      </c>
      <c r="Y26"/>
      <c r="Z26"/>
      <c r="AA26"/>
      <c r="AB26"/>
      <c r="AC26"/>
      <c r="AD26"/>
    </row>
    <row r="27" spans="1:30" ht="18.75" x14ac:dyDescent="0.25">
      <c r="A27" s="632" t="s">
        <v>3058</v>
      </c>
      <c r="B27" s="627">
        <v>23</v>
      </c>
      <c r="C27" s="628" t="str">
        <f t="shared" si="1"/>
        <v>Ô tô tự đổ 7 tấn23</v>
      </c>
      <c r="D27" s="627">
        <v>0.21099999999999999</v>
      </c>
      <c r="E27" s="627">
        <v>0.221</v>
      </c>
      <c r="F27" s="627">
        <v>0.13400000000000001</v>
      </c>
      <c r="G27" s="627">
        <v>0.125</v>
      </c>
      <c r="U27" s="686">
        <v>4</v>
      </c>
      <c r="V27" s="692" t="s">
        <v>3177</v>
      </c>
      <c r="W27" s="686" t="s">
        <v>3178</v>
      </c>
      <c r="X27" s="687" t="s">
        <v>2259</v>
      </c>
      <c r="Y27"/>
      <c r="Z27"/>
      <c r="AA27"/>
      <c r="AB27"/>
      <c r="AC27"/>
      <c r="AD27"/>
    </row>
    <row r="28" spans="1:30" ht="18.75" x14ac:dyDescent="0.25">
      <c r="A28" s="632" t="s">
        <v>3058</v>
      </c>
      <c r="B28" s="627">
        <v>24</v>
      </c>
      <c r="C28" s="628" t="str">
        <f t="shared" si="1"/>
        <v>Ô tô tự đổ 7 tấn24</v>
      </c>
      <c r="D28" s="627">
        <v>0.21099999999999999</v>
      </c>
      <c r="E28" s="627">
        <v>0.221</v>
      </c>
      <c r="F28" s="627">
        <v>0.13400000000000001</v>
      </c>
      <c r="G28" s="627">
        <v>0.125</v>
      </c>
      <c r="U28" s="686">
        <v>5</v>
      </c>
      <c r="V28" s="692" t="s">
        <v>3179</v>
      </c>
      <c r="W28" s="686" t="s">
        <v>3180</v>
      </c>
      <c r="X28" s="687" t="s">
        <v>2259</v>
      </c>
      <c r="Y28"/>
      <c r="Z28"/>
      <c r="AA28"/>
      <c r="AB28"/>
      <c r="AC28"/>
      <c r="AD28"/>
    </row>
    <row r="29" spans="1:30" ht="18.75" x14ac:dyDescent="0.25">
      <c r="A29" s="632" t="s">
        <v>3058</v>
      </c>
      <c r="B29" s="627">
        <v>25</v>
      </c>
      <c r="C29" s="628" t="str">
        <f t="shared" si="1"/>
        <v>Ô tô tự đổ 7 tấn25</v>
      </c>
      <c r="D29" s="627">
        <v>0.21099999999999999</v>
      </c>
      <c r="E29" s="627">
        <v>0.221</v>
      </c>
      <c r="F29" s="627">
        <v>0.13400000000000001</v>
      </c>
      <c r="G29" s="627">
        <v>0.125</v>
      </c>
      <c r="U29" s="686">
        <v>6</v>
      </c>
      <c r="V29" s="692" t="s">
        <v>3181</v>
      </c>
      <c r="W29" s="686" t="s">
        <v>3182</v>
      </c>
      <c r="X29" s="687" t="s">
        <v>2259</v>
      </c>
      <c r="Y29"/>
      <c r="Z29"/>
      <c r="AA29"/>
      <c r="AB29"/>
      <c r="AC29"/>
      <c r="AD29"/>
    </row>
    <row r="30" spans="1:30" ht="18.75" x14ac:dyDescent="0.25">
      <c r="A30" s="632" t="s">
        <v>3058</v>
      </c>
      <c r="B30" s="627">
        <v>26</v>
      </c>
      <c r="C30" s="628" t="str">
        <f t="shared" si="1"/>
        <v>Ô tô tự đổ 7 tấn26</v>
      </c>
      <c r="D30" s="627">
        <v>0.21099999999999999</v>
      </c>
      <c r="E30" s="627">
        <v>0.221</v>
      </c>
      <c r="F30" s="627">
        <v>0.13400000000000001</v>
      </c>
      <c r="G30" s="627">
        <v>0.125</v>
      </c>
      <c r="U30" s="686">
        <v>7</v>
      </c>
      <c r="V30" s="692" t="s">
        <v>3183</v>
      </c>
      <c r="W30" s="686" t="s">
        <v>3184</v>
      </c>
      <c r="X30" s="687" t="s">
        <v>2259</v>
      </c>
      <c r="Y30"/>
      <c r="Z30"/>
      <c r="AA30"/>
      <c r="AB30"/>
      <c r="AC30"/>
      <c r="AD30"/>
    </row>
    <row r="31" spans="1:30" ht="18.75" x14ac:dyDescent="0.25">
      <c r="A31" s="632" t="s">
        <v>3058</v>
      </c>
      <c r="B31" s="627">
        <v>27</v>
      </c>
      <c r="C31" s="628" t="str">
        <f t="shared" si="1"/>
        <v>Ô tô tự đổ 7 tấn27</v>
      </c>
      <c r="D31" s="627">
        <v>0.21099999999999999</v>
      </c>
      <c r="E31" s="627">
        <v>0.221</v>
      </c>
      <c r="F31" s="627">
        <v>0.13400000000000001</v>
      </c>
      <c r="G31" s="627">
        <v>0.125</v>
      </c>
      <c r="U31" s="686">
        <v>8</v>
      </c>
      <c r="V31" s="692" t="s">
        <v>3185</v>
      </c>
      <c r="W31" s="686" t="s">
        <v>3186</v>
      </c>
      <c r="X31" s="687" t="s">
        <v>2259</v>
      </c>
      <c r="Y31"/>
      <c r="Z31"/>
      <c r="AA31"/>
      <c r="AB31"/>
      <c r="AC31"/>
      <c r="AD31"/>
    </row>
    <row r="32" spans="1:30" ht="18.75" x14ac:dyDescent="0.25">
      <c r="A32" s="632" t="s">
        <v>3058</v>
      </c>
      <c r="B32" s="627">
        <v>28</v>
      </c>
      <c r="C32" s="628" t="str">
        <f t="shared" si="1"/>
        <v>Ô tô tự đổ 7 tấn28</v>
      </c>
      <c r="D32" s="627">
        <v>0.21099999999999999</v>
      </c>
      <c r="E32" s="627">
        <v>0.221</v>
      </c>
      <c r="F32" s="627">
        <v>0.13400000000000001</v>
      </c>
      <c r="G32" s="627">
        <v>0.125</v>
      </c>
      <c r="U32" s="686">
        <v>9</v>
      </c>
      <c r="V32" s="692" t="s">
        <v>3187</v>
      </c>
      <c r="W32" s="686" t="s">
        <v>3188</v>
      </c>
      <c r="X32" s="687" t="s">
        <v>2259</v>
      </c>
      <c r="Y32"/>
      <c r="Z32"/>
      <c r="AA32"/>
      <c r="AB32"/>
      <c r="AC32"/>
      <c r="AD32"/>
    </row>
    <row r="33" spans="1:30" ht="18.75" x14ac:dyDescent="0.25">
      <c r="A33" s="632" t="s">
        <v>3058</v>
      </c>
      <c r="B33" s="627">
        <v>29</v>
      </c>
      <c r="C33" s="628" t="str">
        <f t="shared" si="1"/>
        <v>Ô tô tự đổ 7 tấn29</v>
      </c>
      <c r="D33" s="627">
        <v>0.21099999999999999</v>
      </c>
      <c r="E33" s="627">
        <v>0.221</v>
      </c>
      <c r="F33" s="627">
        <v>0.13400000000000001</v>
      </c>
      <c r="G33" s="627">
        <v>0.125</v>
      </c>
      <c r="U33" s="686">
        <v>10</v>
      </c>
      <c r="V33" s="692" t="s">
        <v>3189</v>
      </c>
      <c r="W33" s="686" t="s">
        <v>3190</v>
      </c>
      <c r="X33" s="687" t="s">
        <v>2259</v>
      </c>
      <c r="Y33"/>
      <c r="Z33"/>
      <c r="AA33"/>
      <c r="AB33"/>
      <c r="AC33"/>
      <c r="AD33"/>
    </row>
    <row r="34" spans="1:30" ht="18.75" x14ac:dyDescent="0.25">
      <c r="A34" s="632" t="s">
        <v>3058</v>
      </c>
      <c r="B34" s="627">
        <v>30</v>
      </c>
      <c r="C34" s="628" t="str">
        <f t="shared" si="1"/>
        <v>Ô tô tự đổ 7 tấn30</v>
      </c>
      <c r="D34" s="627">
        <v>0.21099999999999999</v>
      </c>
      <c r="E34" s="627">
        <v>0.221</v>
      </c>
      <c r="F34" s="627">
        <v>0.13400000000000001</v>
      </c>
      <c r="G34" s="627">
        <v>0.125</v>
      </c>
      <c r="U34" s="686">
        <v>11</v>
      </c>
      <c r="V34" s="692" t="s">
        <v>3191</v>
      </c>
      <c r="W34" s="686" t="s">
        <v>3192</v>
      </c>
      <c r="X34" s="687" t="s">
        <v>2259</v>
      </c>
      <c r="Y34"/>
      <c r="Z34"/>
      <c r="AA34"/>
      <c r="AB34"/>
      <c r="AC34"/>
      <c r="AD34"/>
    </row>
    <row r="35" spans="1:30" ht="18.75" x14ac:dyDescent="0.25">
      <c r="A35" s="632" t="s">
        <v>3058</v>
      </c>
      <c r="B35" s="627">
        <v>31</v>
      </c>
      <c r="C35" s="628" t="str">
        <f t="shared" si="1"/>
        <v>Ô tô tự đổ 7 tấn31</v>
      </c>
      <c r="D35" s="627">
        <v>0.20499999999999999</v>
      </c>
      <c r="E35" s="627">
        <v>0.214</v>
      </c>
      <c r="F35" s="627">
        <v>0.13</v>
      </c>
      <c r="G35" s="627">
        <v>0.121</v>
      </c>
      <c r="U35" s="686">
        <v>12</v>
      </c>
      <c r="V35" s="692" t="s">
        <v>3193</v>
      </c>
      <c r="W35" s="686" t="s">
        <v>3194</v>
      </c>
      <c r="X35" s="687" t="s">
        <v>2259</v>
      </c>
      <c r="Y35"/>
      <c r="Z35"/>
      <c r="AA35"/>
      <c r="AB35"/>
      <c r="AC35"/>
      <c r="AD35"/>
    </row>
    <row r="36" spans="1:30" ht="18.75" x14ac:dyDescent="0.25">
      <c r="A36" s="632" t="s">
        <v>3058</v>
      </c>
      <c r="B36" s="627">
        <v>32</v>
      </c>
      <c r="C36" s="628" t="str">
        <f t="shared" si="1"/>
        <v>Ô tô tự đổ 7 tấn32</v>
      </c>
      <c r="D36" s="627">
        <v>0.20499999999999999</v>
      </c>
      <c r="E36" s="627">
        <v>0.214</v>
      </c>
      <c r="F36" s="627">
        <v>0.13</v>
      </c>
      <c r="G36" s="627">
        <v>0.121</v>
      </c>
      <c r="U36" s="686">
        <v>13</v>
      </c>
      <c r="V36" s="692" t="s">
        <v>3195</v>
      </c>
      <c r="W36" s="686" t="s">
        <v>3196</v>
      </c>
      <c r="X36" s="687" t="s">
        <v>2259</v>
      </c>
      <c r="Y36"/>
      <c r="Z36"/>
      <c r="AA36"/>
      <c r="AB36"/>
      <c r="AC36"/>
      <c r="AD36"/>
    </row>
    <row r="37" spans="1:30" ht="18.75" x14ac:dyDescent="0.25">
      <c r="A37" s="632" t="s">
        <v>3058</v>
      </c>
      <c r="B37" s="627">
        <v>33</v>
      </c>
      <c r="C37" s="628" t="str">
        <f t="shared" ref="C37:C68" si="2">A37&amp;B37</f>
        <v>Ô tô tự đổ 7 tấn33</v>
      </c>
      <c r="D37" s="627">
        <v>0.20499999999999999</v>
      </c>
      <c r="E37" s="627">
        <v>0.214</v>
      </c>
      <c r="F37" s="627">
        <v>0.13</v>
      </c>
      <c r="G37" s="627">
        <v>0.121</v>
      </c>
      <c r="U37" s="686">
        <v>14</v>
      </c>
      <c r="V37" s="692" t="s">
        <v>3197</v>
      </c>
      <c r="W37" s="686" t="s">
        <v>3198</v>
      </c>
      <c r="X37" s="687" t="s">
        <v>2259</v>
      </c>
      <c r="Y37"/>
      <c r="Z37"/>
      <c r="AA37"/>
      <c r="AB37"/>
      <c r="AC37"/>
      <c r="AD37"/>
    </row>
    <row r="38" spans="1:30" ht="18.75" x14ac:dyDescent="0.25">
      <c r="A38" s="632" t="s">
        <v>3058</v>
      </c>
      <c r="B38" s="627">
        <v>34</v>
      </c>
      <c r="C38" s="628" t="str">
        <f t="shared" si="2"/>
        <v>Ô tô tự đổ 7 tấn34</v>
      </c>
      <c r="D38" s="627">
        <v>0.20499999999999999</v>
      </c>
      <c r="E38" s="627">
        <v>0.214</v>
      </c>
      <c r="F38" s="627">
        <v>0.13</v>
      </c>
      <c r="G38" s="627">
        <v>0.121</v>
      </c>
      <c r="U38" s="686">
        <v>15</v>
      </c>
      <c r="V38" s="692" t="s">
        <v>3199</v>
      </c>
      <c r="W38" s="686" t="s">
        <v>3200</v>
      </c>
      <c r="X38" s="687" t="s">
        <v>2259</v>
      </c>
      <c r="Y38"/>
      <c r="Z38"/>
      <c r="AA38"/>
      <c r="AB38"/>
      <c r="AC38"/>
      <c r="AD38"/>
    </row>
    <row r="39" spans="1:30" ht="18.75" x14ac:dyDescent="0.25">
      <c r="A39" s="632" t="s">
        <v>3058</v>
      </c>
      <c r="B39" s="627">
        <v>35</v>
      </c>
      <c r="C39" s="628" t="str">
        <f t="shared" si="2"/>
        <v>Ô tô tự đổ 7 tấn35</v>
      </c>
      <c r="D39" s="627">
        <v>0.20499999999999999</v>
      </c>
      <c r="E39" s="627">
        <v>0.214</v>
      </c>
      <c r="F39" s="627">
        <v>0.13</v>
      </c>
      <c r="G39" s="627">
        <v>0.121</v>
      </c>
      <c r="U39" s="686">
        <v>16</v>
      </c>
      <c r="V39" s="692" t="s">
        <v>3201</v>
      </c>
      <c r="W39" s="686" t="s">
        <v>3202</v>
      </c>
      <c r="X39" s="687" t="s">
        <v>2259</v>
      </c>
      <c r="Y39"/>
      <c r="Z39"/>
      <c r="AA39"/>
      <c r="AB39"/>
      <c r="AC39"/>
      <c r="AD39"/>
    </row>
    <row r="40" spans="1:30" ht="18.75" x14ac:dyDescent="0.25">
      <c r="A40" s="632" t="s">
        <v>3058</v>
      </c>
      <c r="B40" s="627">
        <v>36</v>
      </c>
      <c r="C40" s="628" t="str">
        <f t="shared" si="2"/>
        <v>Ô tô tự đổ 7 tấn36</v>
      </c>
      <c r="D40" s="627">
        <v>0.20499999999999999</v>
      </c>
      <c r="E40" s="627">
        <v>0.214</v>
      </c>
      <c r="F40" s="627">
        <v>0.13</v>
      </c>
      <c r="G40" s="627">
        <v>0.121</v>
      </c>
      <c r="U40" s="686">
        <v>17</v>
      </c>
      <c r="V40" s="692" t="s">
        <v>3203</v>
      </c>
      <c r="W40" s="686" t="s">
        <v>3204</v>
      </c>
      <c r="X40" s="687" t="s">
        <v>2259</v>
      </c>
      <c r="Y40"/>
      <c r="Z40"/>
      <c r="AA40"/>
      <c r="AB40"/>
      <c r="AC40"/>
      <c r="AD40"/>
    </row>
    <row r="41" spans="1:30" ht="18.75" x14ac:dyDescent="0.25">
      <c r="A41" s="632" t="s">
        <v>3058</v>
      </c>
      <c r="B41" s="627">
        <v>37</v>
      </c>
      <c r="C41" s="628" t="str">
        <f t="shared" si="2"/>
        <v>Ô tô tự đổ 7 tấn37</v>
      </c>
      <c r="D41" s="627">
        <v>0.20499999999999999</v>
      </c>
      <c r="E41" s="627">
        <v>0.214</v>
      </c>
      <c r="F41" s="627">
        <v>0.13</v>
      </c>
      <c r="G41" s="627">
        <v>0.121</v>
      </c>
      <c r="U41" s="686">
        <v>18</v>
      </c>
      <c r="V41" s="692" t="s">
        <v>3205</v>
      </c>
      <c r="W41" s="686" t="s">
        <v>3206</v>
      </c>
      <c r="X41" s="687" t="s">
        <v>2259</v>
      </c>
      <c r="Y41"/>
      <c r="Z41"/>
      <c r="AA41"/>
      <c r="AB41"/>
      <c r="AC41"/>
      <c r="AD41"/>
    </row>
    <row r="42" spans="1:30" ht="18.75" x14ac:dyDescent="0.25">
      <c r="A42" s="632" t="s">
        <v>3058</v>
      </c>
      <c r="B42" s="627">
        <v>38</v>
      </c>
      <c r="C42" s="628" t="str">
        <f t="shared" si="2"/>
        <v>Ô tô tự đổ 7 tấn38</v>
      </c>
      <c r="D42" s="627">
        <v>0.20499999999999999</v>
      </c>
      <c r="E42" s="627">
        <v>0.214</v>
      </c>
      <c r="F42" s="627">
        <v>0.13</v>
      </c>
      <c r="G42" s="627">
        <v>0.121</v>
      </c>
      <c r="U42" s="686">
        <v>19</v>
      </c>
      <c r="V42" s="692" t="s">
        <v>3207</v>
      </c>
      <c r="W42" s="686" t="s">
        <v>3208</v>
      </c>
      <c r="X42" s="687" t="s">
        <v>2259</v>
      </c>
      <c r="Y42"/>
      <c r="Z42"/>
      <c r="AA42"/>
      <c r="AB42"/>
      <c r="AC42"/>
      <c r="AD42"/>
    </row>
    <row r="43" spans="1:30" ht="18.75" x14ac:dyDescent="0.25">
      <c r="A43" s="632" t="s">
        <v>3058</v>
      </c>
      <c r="B43" s="627">
        <v>39</v>
      </c>
      <c r="C43" s="628" t="str">
        <f t="shared" si="2"/>
        <v>Ô tô tự đổ 7 tấn39</v>
      </c>
      <c r="D43" s="627">
        <v>0.20499999999999999</v>
      </c>
      <c r="E43" s="627">
        <v>0.214</v>
      </c>
      <c r="F43" s="627">
        <v>0.13</v>
      </c>
      <c r="G43" s="627">
        <v>0.121</v>
      </c>
      <c r="U43" s="686">
        <v>20</v>
      </c>
      <c r="V43" s="692" t="s">
        <v>3209</v>
      </c>
      <c r="W43" s="686" t="s">
        <v>3210</v>
      </c>
      <c r="X43" s="687" t="s">
        <v>2259</v>
      </c>
      <c r="Y43"/>
      <c r="Z43"/>
      <c r="AA43"/>
      <c r="AB43"/>
      <c r="AC43"/>
      <c r="AD43"/>
    </row>
    <row r="44" spans="1:30" ht="18.75" x14ac:dyDescent="0.25">
      <c r="A44" s="632" t="s">
        <v>3058</v>
      </c>
      <c r="B44" s="627">
        <v>40</v>
      </c>
      <c r="C44" s="628" t="str">
        <f t="shared" si="2"/>
        <v>Ô tô tự đổ 7 tấn40</v>
      </c>
      <c r="D44" s="627">
        <v>0.20499999999999999</v>
      </c>
      <c r="E44" s="627">
        <v>0.214</v>
      </c>
      <c r="F44" s="627">
        <v>0.13</v>
      </c>
      <c r="G44" s="627">
        <v>0.121</v>
      </c>
      <c r="U44" s="686">
        <v>21</v>
      </c>
      <c r="V44" s="692" t="s">
        <v>3211</v>
      </c>
      <c r="W44" s="686" t="s">
        <v>3212</v>
      </c>
      <c r="X44" s="687" t="s">
        <v>2259</v>
      </c>
      <c r="Y44"/>
      <c r="Z44"/>
      <c r="AA44"/>
      <c r="AB44"/>
      <c r="AC44"/>
      <c r="AD44"/>
    </row>
    <row r="45" spans="1:30" ht="18.75" x14ac:dyDescent="0.25">
      <c r="A45" s="632" t="s">
        <v>3058</v>
      </c>
      <c r="B45" s="627">
        <v>41</v>
      </c>
      <c r="C45" s="628" t="str">
        <f t="shared" si="2"/>
        <v>Ô tô tự đổ 7 tấn41</v>
      </c>
      <c r="D45" s="627">
        <v>0.20100000000000001</v>
      </c>
      <c r="E45" s="627">
        <v>0.21</v>
      </c>
      <c r="F45" s="627">
        <v>0.128</v>
      </c>
      <c r="G45" s="627">
        <v>0.11899999999999999</v>
      </c>
      <c r="U45" s="686">
        <v>22</v>
      </c>
      <c r="V45" s="692" t="s">
        <v>3213</v>
      </c>
      <c r="W45" s="686" t="s">
        <v>3214</v>
      </c>
      <c r="X45" s="687" t="s">
        <v>2259</v>
      </c>
      <c r="Y45"/>
      <c r="Z45"/>
      <c r="AA45"/>
      <c r="AB45"/>
      <c r="AC45"/>
      <c r="AD45"/>
    </row>
    <row r="46" spans="1:30" ht="18.75" x14ac:dyDescent="0.25">
      <c r="A46" s="632" t="s">
        <v>3058</v>
      </c>
      <c r="B46" s="627">
        <v>42</v>
      </c>
      <c r="C46" s="628" t="str">
        <f t="shared" si="2"/>
        <v>Ô tô tự đổ 7 tấn42</v>
      </c>
      <c r="D46" s="627">
        <v>0.20100000000000001</v>
      </c>
      <c r="E46" s="627">
        <v>0.21</v>
      </c>
      <c r="F46" s="627">
        <v>0.128</v>
      </c>
      <c r="G46" s="627">
        <v>0.11899999999999999</v>
      </c>
      <c r="U46" s="686">
        <v>23</v>
      </c>
      <c r="V46" s="692" t="s">
        <v>3215</v>
      </c>
      <c r="W46" s="686" t="s">
        <v>3216</v>
      </c>
      <c r="X46" s="687" t="s">
        <v>2259</v>
      </c>
      <c r="Y46"/>
      <c r="Z46"/>
      <c r="AA46"/>
      <c r="AB46"/>
      <c r="AC46"/>
      <c r="AD46"/>
    </row>
    <row r="47" spans="1:30" ht="18.75" x14ac:dyDescent="0.25">
      <c r="A47" s="632" t="s">
        <v>3058</v>
      </c>
      <c r="B47" s="627">
        <v>43</v>
      </c>
      <c r="C47" s="628" t="str">
        <f t="shared" si="2"/>
        <v>Ô tô tự đổ 7 tấn43</v>
      </c>
      <c r="D47" s="627">
        <v>0.20100000000000001</v>
      </c>
      <c r="E47" s="627">
        <v>0.21</v>
      </c>
      <c r="F47" s="627">
        <v>0.128</v>
      </c>
      <c r="G47" s="627">
        <v>0.11899999999999999</v>
      </c>
      <c r="U47" s="686">
        <v>24</v>
      </c>
      <c r="V47" s="692" t="s">
        <v>3217</v>
      </c>
      <c r="W47" s="686" t="s">
        <v>3218</v>
      </c>
      <c r="X47" s="687" t="s">
        <v>2259</v>
      </c>
      <c r="Y47"/>
      <c r="Z47"/>
      <c r="AA47"/>
      <c r="AB47"/>
      <c r="AC47"/>
      <c r="AD47"/>
    </row>
    <row r="48" spans="1:30" ht="18.75" x14ac:dyDescent="0.25">
      <c r="A48" s="632" t="s">
        <v>3058</v>
      </c>
      <c r="B48" s="627">
        <v>44</v>
      </c>
      <c r="C48" s="628" t="str">
        <f t="shared" si="2"/>
        <v>Ô tô tự đổ 7 tấn44</v>
      </c>
      <c r="D48" s="627">
        <v>0.20100000000000001</v>
      </c>
      <c r="E48" s="627">
        <v>0.21</v>
      </c>
      <c r="F48" s="627">
        <v>0.128</v>
      </c>
      <c r="G48" s="627">
        <v>0.11899999999999999</v>
      </c>
      <c r="U48" s="686">
        <v>25</v>
      </c>
      <c r="V48" s="692" t="s">
        <v>3219</v>
      </c>
      <c r="W48" s="686" t="s">
        <v>3220</v>
      </c>
      <c r="X48" s="687" t="s">
        <v>2259</v>
      </c>
      <c r="Y48"/>
      <c r="Z48"/>
      <c r="AA48"/>
      <c r="AB48"/>
      <c r="AC48"/>
      <c r="AD48"/>
    </row>
    <row r="49" spans="1:30" ht="18.75" x14ac:dyDescent="0.25">
      <c r="A49" s="632" t="s">
        <v>3058</v>
      </c>
      <c r="B49" s="627">
        <v>45</v>
      </c>
      <c r="C49" s="628" t="str">
        <f t="shared" si="2"/>
        <v>Ô tô tự đổ 7 tấn45</v>
      </c>
      <c r="D49" s="627">
        <v>0.20100000000000001</v>
      </c>
      <c r="E49" s="627">
        <v>0.21</v>
      </c>
      <c r="F49" s="627">
        <v>0.128</v>
      </c>
      <c r="G49" s="627">
        <v>0.11899999999999999</v>
      </c>
      <c r="U49" s="686">
        <v>26</v>
      </c>
      <c r="V49" s="692" t="s">
        <v>3221</v>
      </c>
      <c r="W49" s="686" t="s">
        <v>3222</v>
      </c>
      <c r="X49" s="687" t="s">
        <v>2259</v>
      </c>
      <c r="Y49"/>
      <c r="Z49"/>
      <c r="AA49"/>
      <c r="AB49"/>
      <c r="AC49"/>
      <c r="AD49"/>
    </row>
    <row r="50" spans="1:30" ht="18.75" x14ac:dyDescent="0.25">
      <c r="A50" s="632" t="s">
        <v>3058</v>
      </c>
      <c r="B50" s="627">
        <v>46</v>
      </c>
      <c r="C50" s="628" t="str">
        <f t="shared" si="2"/>
        <v>Ô tô tự đổ 7 tấn46</v>
      </c>
      <c r="D50" s="627">
        <v>0.20100000000000001</v>
      </c>
      <c r="E50" s="627">
        <v>0.21</v>
      </c>
      <c r="F50" s="627">
        <v>0.128</v>
      </c>
      <c r="G50" s="627">
        <v>0.11899999999999999</v>
      </c>
      <c r="U50" s="686">
        <v>27</v>
      </c>
      <c r="V50" s="692" t="s">
        <v>3223</v>
      </c>
      <c r="W50" s="686" t="s">
        <v>3224</v>
      </c>
      <c r="X50" s="687" t="s">
        <v>2259</v>
      </c>
      <c r="Y50"/>
      <c r="Z50"/>
      <c r="AA50"/>
      <c r="AB50"/>
      <c r="AC50"/>
      <c r="AD50"/>
    </row>
    <row r="51" spans="1:30" ht="18.75" x14ac:dyDescent="0.25">
      <c r="A51" s="632" t="s">
        <v>3058</v>
      </c>
      <c r="B51" s="627">
        <v>47</v>
      </c>
      <c r="C51" s="628" t="str">
        <f t="shared" si="2"/>
        <v>Ô tô tự đổ 7 tấn47</v>
      </c>
      <c r="D51" s="627">
        <v>0.20100000000000001</v>
      </c>
      <c r="E51" s="627">
        <v>0.21</v>
      </c>
      <c r="F51" s="627">
        <v>0.128</v>
      </c>
      <c r="G51" s="627">
        <v>0.11899999999999999</v>
      </c>
      <c r="U51" s="686">
        <v>28</v>
      </c>
      <c r="V51" s="692" t="s">
        <v>3225</v>
      </c>
      <c r="W51" s="686" t="s">
        <v>3226</v>
      </c>
      <c r="X51" s="687" t="s">
        <v>2259</v>
      </c>
      <c r="Y51"/>
      <c r="Z51"/>
      <c r="AA51"/>
      <c r="AB51"/>
      <c r="AC51"/>
      <c r="AD51"/>
    </row>
    <row r="52" spans="1:30" ht="18.75" x14ac:dyDescent="0.25">
      <c r="A52" s="632" t="s">
        <v>3058</v>
      </c>
      <c r="B52" s="627">
        <v>48</v>
      </c>
      <c r="C52" s="628" t="str">
        <f t="shared" si="2"/>
        <v>Ô tô tự đổ 7 tấn48</v>
      </c>
      <c r="D52" s="627">
        <v>0.20100000000000001</v>
      </c>
      <c r="E52" s="627">
        <v>0.21</v>
      </c>
      <c r="F52" s="627">
        <v>0.128</v>
      </c>
      <c r="G52" s="627">
        <v>0.11899999999999999</v>
      </c>
      <c r="U52" s="686">
        <v>29</v>
      </c>
      <c r="V52" s="692" t="s">
        <v>3227</v>
      </c>
      <c r="W52" s="686" t="s">
        <v>3228</v>
      </c>
      <c r="X52" s="687" t="s">
        <v>2259</v>
      </c>
      <c r="Y52"/>
      <c r="Z52"/>
      <c r="AA52"/>
      <c r="AB52"/>
      <c r="AC52"/>
      <c r="AD52"/>
    </row>
    <row r="53" spans="1:30" ht="18.75" x14ac:dyDescent="0.25">
      <c r="A53" s="632" t="s">
        <v>3058</v>
      </c>
      <c r="B53" s="627">
        <v>49</v>
      </c>
      <c r="C53" s="628" t="str">
        <f t="shared" si="2"/>
        <v>Ô tô tự đổ 7 tấn49</v>
      </c>
      <c r="D53" s="627">
        <v>0.20100000000000001</v>
      </c>
      <c r="E53" s="627">
        <v>0.21</v>
      </c>
      <c r="F53" s="627">
        <v>0.128</v>
      </c>
      <c r="G53" s="627">
        <v>0.11899999999999999</v>
      </c>
      <c r="U53" s="686">
        <v>30</v>
      </c>
      <c r="V53" s="692" t="s">
        <v>3229</v>
      </c>
      <c r="W53" s="686" t="s">
        <v>3230</v>
      </c>
      <c r="X53" s="687" t="s">
        <v>2259</v>
      </c>
      <c r="Y53"/>
      <c r="Z53"/>
      <c r="AA53"/>
      <c r="AB53"/>
      <c r="AC53"/>
      <c r="AD53"/>
    </row>
    <row r="54" spans="1:30" ht="18.75" x14ac:dyDescent="0.25">
      <c r="A54" s="632" t="s">
        <v>3058</v>
      </c>
      <c r="B54" s="627">
        <v>50</v>
      </c>
      <c r="C54" s="628" t="str">
        <f t="shared" si="2"/>
        <v>Ô tô tự đổ 7 tấn50</v>
      </c>
      <c r="D54" s="627">
        <v>0.20100000000000001</v>
      </c>
      <c r="E54" s="627">
        <v>0.21</v>
      </c>
      <c r="F54" s="627">
        <v>0.128</v>
      </c>
      <c r="G54" s="627">
        <v>0.11899999999999999</v>
      </c>
      <c r="U54" s="686">
        <v>31</v>
      </c>
      <c r="V54" s="692" t="s">
        <v>3231</v>
      </c>
      <c r="W54" s="686" t="s">
        <v>3232</v>
      </c>
      <c r="X54" s="687" t="s">
        <v>2259</v>
      </c>
      <c r="Y54"/>
      <c r="Z54"/>
      <c r="AA54"/>
      <c r="AB54"/>
      <c r="AC54"/>
      <c r="AD54"/>
    </row>
    <row r="55" spans="1:30" ht="18.75" x14ac:dyDescent="0.25">
      <c r="A55" s="632" t="s">
        <v>3058</v>
      </c>
      <c r="B55" s="627">
        <v>51</v>
      </c>
      <c r="C55" s="628" t="str">
        <f t="shared" si="2"/>
        <v>Ô tô tự đổ 7 tấn51</v>
      </c>
      <c r="D55" s="627">
        <v>0.19800000000000001</v>
      </c>
      <c r="E55" s="627">
        <v>0.20699999999999999</v>
      </c>
      <c r="F55" s="627">
        <v>0.126</v>
      </c>
      <c r="G55" s="627">
        <v>0.11700000000000001</v>
      </c>
      <c r="U55" s="686">
        <v>32</v>
      </c>
      <c r="V55" s="692" t="s">
        <v>3233</v>
      </c>
      <c r="W55" s="686" t="s">
        <v>3234</v>
      </c>
      <c r="X55" s="687" t="s">
        <v>2259</v>
      </c>
      <c r="Y55"/>
      <c r="Z55"/>
      <c r="AA55"/>
      <c r="AB55"/>
      <c r="AC55"/>
      <c r="AD55"/>
    </row>
    <row r="56" spans="1:30" ht="18.75" x14ac:dyDescent="0.25">
      <c r="A56" s="632" t="s">
        <v>3058</v>
      </c>
      <c r="B56" s="627">
        <v>52</v>
      </c>
      <c r="C56" s="628" t="str">
        <f t="shared" si="2"/>
        <v>Ô tô tự đổ 7 tấn52</v>
      </c>
      <c r="D56" s="627">
        <v>0.19800000000000001</v>
      </c>
      <c r="E56" s="627">
        <v>0.20699999999999999</v>
      </c>
      <c r="F56" s="627">
        <v>0.126</v>
      </c>
      <c r="G56" s="627">
        <v>0.11700000000000001</v>
      </c>
      <c r="U56" s="686">
        <v>33</v>
      </c>
      <c r="V56" s="692" t="s">
        <v>3235</v>
      </c>
      <c r="W56" s="686" t="s">
        <v>3236</v>
      </c>
      <c r="X56" s="687" t="s">
        <v>2259</v>
      </c>
      <c r="Y56"/>
      <c r="Z56"/>
      <c r="AA56"/>
      <c r="AB56"/>
      <c r="AC56"/>
      <c r="AD56"/>
    </row>
    <row r="57" spans="1:30" ht="18.75" x14ac:dyDescent="0.25">
      <c r="A57" s="632" t="s">
        <v>3058</v>
      </c>
      <c r="B57" s="627">
        <v>53</v>
      </c>
      <c r="C57" s="628" t="str">
        <f t="shared" si="2"/>
        <v>Ô tô tự đổ 7 tấn53</v>
      </c>
      <c r="D57" s="627">
        <v>0.19800000000000001</v>
      </c>
      <c r="E57" s="627">
        <v>0.20699999999999999</v>
      </c>
      <c r="F57" s="627">
        <v>0.126</v>
      </c>
      <c r="G57" s="627">
        <v>0.11700000000000001</v>
      </c>
      <c r="U57" s="686">
        <v>34</v>
      </c>
      <c r="V57" s="692" t="s">
        <v>3237</v>
      </c>
      <c r="W57" s="686" t="s">
        <v>3238</v>
      </c>
      <c r="X57" s="687" t="s">
        <v>2259</v>
      </c>
      <c r="Y57"/>
      <c r="Z57"/>
      <c r="AA57"/>
      <c r="AB57"/>
      <c r="AC57"/>
      <c r="AD57"/>
    </row>
    <row r="58" spans="1:30" ht="18.75" x14ac:dyDescent="0.25">
      <c r="A58" s="632" t="s">
        <v>3058</v>
      </c>
      <c r="B58" s="627">
        <v>54</v>
      </c>
      <c r="C58" s="628" t="str">
        <f t="shared" si="2"/>
        <v>Ô tô tự đổ 7 tấn54</v>
      </c>
      <c r="D58" s="627">
        <v>0.19800000000000001</v>
      </c>
      <c r="E58" s="627">
        <v>0.20699999999999999</v>
      </c>
      <c r="F58" s="627">
        <v>0.126</v>
      </c>
      <c r="G58" s="627">
        <v>0.11700000000000001</v>
      </c>
      <c r="U58" s="686">
        <v>35</v>
      </c>
      <c r="V58" s="692" t="s">
        <v>3239</v>
      </c>
      <c r="W58" s="686" t="s">
        <v>3240</v>
      </c>
      <c r="X58" s="687" t="s">
        <v>2259</v>
      </c>
      <c r="Y58"/>
      <c r="Z58"/>
      <c r="AA58"/>
      <c r="AB58"/>
      <c r="AC58"/>
      <c r="AD58"/>
    </row>
    <row r="59" spans="1:30" ht="18.75" x14ac:dyDescent="0.25">
      <c r="A59" s="632" t="s">
        <v>3058</v>
      </c>
      <c r="B59" s="627">
        <v>55</v>
      </c>
      <c r="C59" s="628" t="str">
        <f t="shared" si="2"/>
        <v>Ô tô tự đổ 7 tấn55</v>
      </c>
      <c r="D59" s="627">
        <v>0.19800000000000001</v>
      </c>
      <c r="E59" s="627">
        <v>0.20699999999999999</v>
      </c>
      <c r="F59" s="627">
        <v>0.126</v>
      </c>
      <c r="G59" s="627">
        <v>0.11700000000000001</v>
      </c>
      <c r="U59" s="686">
        <v>36</v>
      </c>
      <c r="V59" s="692" t="s">
        <v>3241</v>
      </c>
      <c r="W59" s="686" t="s">
        <v>3242</v>
      </c>
      <c r="X59" s="687" t="s">
        <v>2259</v>
      </c>
    </row>
    <row r="60" spans="1:30" ht="18.75" x14ac:dyDescent="0.25">
      <c r="A60" s="632" t="s">
        <v>3058</v>
      </c>
      <c r="B60" s="627">
        <v>56</v>
      </c>
      <c r="C60" s="628" t="str">
        <f t="shared" si="2"/>
        <v>Ô tô tự đổ 7 tấn56</v>
      </c>
      <c r="D60" s="627">
        <v>0.19800000000000001</v>
      </c>
      <c r="E60" s="627">
        <v>0.20699999999999999</v>
      </c>
      <c r="F60" s="627">
        <v>0.126</v>
      </c>
      <c r="G60" s="627">
        <v>0.11700000000000001</v>
      </c>
    </row>
    <row r="61" spans="1:30" ht="18.75" x14ac:dyDescent="0.25">
      <c r="A61" s="632" t="s">
        <v>3058</v>
      </c>
      <c r="B61" s="627">
        <v>57</v>
      </c>
      <c r="C61" s="628" t="str">
        <f t="shared" si="2"/>
        <v>Ô tô tự đổ 7 tấn57</v>
      </c>
      <c r="D61" s="627">
        <v>0.19800000000000001</v>
      </c>
      <c r="E61" s="627">
        <v>0.20699999999999999</v>
      </c>
      <c r="F61" s="627">
        <v>0.126</v>
      </c>
      <c r="G61" s="627">
        <v>0.11700000000000001</v>
      </c>
    </row>
    <row r="62" spans="1:30" ht="18.75" x14ac:dyDescent="0.25">
      <c r="A62" s="632" t="s">
        <v>3058</v>
      </c>
      <c r="B62" s="627">
        <v>58</v>
      </c>
      <c r="C62" s="628" t="str">
        <f t="shared" si="2"/>
        <v>Ô tô tự đổ 7 tấn58</v>
      </c>
      <c r="D62" s="627">
        <v>0.19800000000000001</v>
      </c>
      <c r="E62" s="627">
        <v>0.20699999999999999</v>
      </c>
      <c r="F62" s="627">
        <v>0.126</v>
      </c>
      <c r="G62" s="627">
        <v>0.11700000000000001</v>
      </c>
    </row>
    <row r="63" spans="1:30" ht="18.75" x14ac:dyDescent="0.25">
      <c r="A63" s="632" t="s">
        <v>3058</v>
      </c>
      <c r="B63" s="627">
        <v>59</v>
      </c>
      <c r="C63" s="628" t="str">
        <f t="shared" si="2"/>
        <v>Ô tô tự đổ 7 tấn59</v>
      </c>
      <c r="D63" s="627">
        <v>0.19800000000000001</v>
      </c>
      <c r="E63" s="627">
        <v>0.20699999999999999</v>
      </c>
      <c r="F63" s="627">
        <v>0.126</v>
      </c>
      <c r="G63" s="627">
        <v>0.11700000000000001</v>
      </c>
    </row>
    <row r="64" spans="1:30" ht="18.75" x14ac:dyDescent="0.25">
      <c r="A64" s="632" t="s">
        <v>3058</v>
      </c>
      <c r="B64" s="627">
        <v>60</v>
      </c>
      <c r="C64" s="628" t="str">
        <f t="shared" si="2"/>
        <v>Ô tô tự đổ 7 tấn60</v>
      </c>
      <c r="D64" s="627">
        <v>0.19800000000000001</v>
      </c>
      <c r="E64" s="627">
        <v>0.20699999999999999</v>
      </c>
      <c r="F64" s="627">
        <v>0.126</v>
      </c>
      <c r="G64" s="627">
        <v>0.11700000000000001</v>
      </c>
    </row>
    <row r="65" spans="1:7" ht="18.75" x14ac:dyDescent="0.25">
      <c r="A65" s="632" t="s">
        <v>3058</v>
      </c>
      <c r="B65" s="627">
        <v>61</v>
      </c>
      <c r="C65" s="628" t="str">
        <f t="shared" si="2"/>
        <v>Ô tô tự đổ 7 tấn61</v>
      </c>
      <c r="D65" s="627">
        <v>0.19500000000000001</v>
      </c>
      <c r="E65" s="627">
        <v>0.20399999999999999</v>
      </c>
      <c r="F65" s="627">
        <v>0.124</v>
      </c>
      <c r="G65" s="627">
        <v>0.115</v>
      </c>
    </row>
    <row r="66" spans="1:7" ht="18.75" x14ac:dyDescent="0.25">
      <c r="A66" s="632" t="s">
        <v>3058</v>
      </c>
      <c r="B66" s="627">
        <v>62</v>
      </c>
      <c r="C66" s="628" t="str">
        <f t="shared" si="2"/>
        <v>Ô tô tự đổ 7 tấn62</v>
      </c>
      <c r="D66" s="627">
        <v>0.19500000000000001</v>
      </c>
      <c r="E66" s="627">
        <v>0.20399999999999999</v>
      </c>
      <c r="F66" s="627">
        <v>0.124</v>
      </c>
      <c r="G66" s="627">
        <v>0.115</v>
      </c>
    </row>
    <row r="67" spans="1:7" ht="18.75" x14ac:dyDescent="0.25">
      <c r="A67" s="632" t="s">
        <v>3058</v>
      </c>
      <c r="B67" s="627">
        <v>63</v>
      </c>
      <c r="C67" s="628" t="str">
        <f t="shared" si="2"/>
        <v>Ô tô tự đổ 7 tấn63</v>
      </c>
      <c r="D67" s="627">
        <v>0.19500000000000001</v>
      </c>
      <c r="E67" s="627">
        <v>0.20399999999999999</v>
      </c>
      <c r="F67" s="627">
        <v>0.124</v>
      </c>
      <c r="G67" s="627">
        <v>0.115</v>
      </c>
    </row>
    <row r="68" spans="1:7" ht="18.75" x14ac:dyDescent="0.25">
      <c r="A68" s="632" t="s">
        <v>3058</v>
      </c>
      <c r="B68" s="627">
        <v>64</v>
      </c>
      <c r="C68" s="628" t="str">
        <f t="shared" si="2"/>
        <v>Ô tô tự đổ 7 tấn64</v>
      </c>
      <c r="D68" s="627">
        <v>0.19500000000000001</v>
      </c>
      <c r="E68" s="627">
        <v>0.20399999999999999</v>
      </c>
      <c r="F68" s="627">
        <v>0.124</v>
      </c>
      <c r="G68" s="627">
        <v>0.115</v>
      </c>
    </row>
    <row r="69" spans="1:7" ht="18.75" x14ac:dyDescent="0.25">
      <c r="A69" s="632" t="s">
        <v>3058</v>
      </c>
      <c r="B69" s="627">
        <v>65</v>
      </c>
      <c r="C69" s="628" t="str">
        <f t="shared" ref="C69:C100" si="3">A69&amp;B69</f>
        <v>Ô tô tự đổ 7 tấn65</v>
      </c>
      <c r="D69" s="627">
        <v>0.19500000000000001</v>
      </c>
      <c r="E69" s="627">
        <v>0.20399999999999999</v>
      </c>
      <c r="F69" s="627">
        <v>0.124</v>
      </c>
      <c r="G69" s="627">
        <v>0.115</v>
      </c>
    </row>
    <row r="70" spans="1:7" ht="18.75" x14ac:dyDescent="0.25">
      <c r="A70" s="632" t="s">
        <v>3058</v>
      </c>
      <c r="B70" s="627">
        <v>66</v>
      </c>
      <c r="C70" s="628" t="str">
        <f t="shared" si="3"/>
        <v>Ô tô tự đổ 7 tấn66</v>
      </c>
      <c r="D70" s="627">
        <v>0.19500000000000001</v>
      </c>
      <c r="E70" s="627">
        <v>0.20399999999999999</v>
      </c>
      <c r="F70" s="627">
        <v>0.124</v>
      </c>
      <c r="G70" s="627">
        <v>0.115</v>
      </c>
    </row>
    <row r="71" spans="1:7" ht="18.75" x14ac:dyDescent="0.25">
      <c r="A71" s="632" t="s">
        <v>3058</v>
      </c>
      <c r="B71" s="627">
        <v>67</v>
      </c>
      <c r="C71" s="628" t="str">
        <f t="shared" si="3"/>
        <v>Ô tô tự đổ 7 tấn67</v>
      </c>
      <c r="D71" s="627">
        <v>0.19500000000000001</v>
      </c>
      <c r="E71" s="627">
        <v>0.20399999999999999</v>
      </c>
      <c r="F71" s="627">
        <v>0.124</v>
      </c>
      <c r="G71" s="627">
        <v>0.115</v>
      </c>
    </row>
    <row r="72" spans="1:7" ht="18.75" x14ac:dyDescent="0.25">
      <c r="A72" s="632" t="s">
        <v>3058</v>
      </c>
      <c r="B72" s="627">
        <v>68</v>
      </c>
      <c r="C72" s="628" t="str">
        <f t="shared" si="3"/>
        <v>Ô tô tự đổ 7 tấn68</v>
      </c>
      <c r="D72" s="627">
        <v>0.19500000000000001</v>
      </c>
      <c r="E72" s="627">
        <v>0.20399999999999999</v>
      </c>
      <c r="F72" s="627">
        <v>0.124</v>
      </c>
      <c r="G72" s="627">
        <v>0.115</v>
      </c>
    </row>
    <row r="73" spans="1:7" ht="18.75" x14ac:dyDescent="0.25">
      <c r="A73" s="632" t="s">
        <v>3058</v>
      </c>
      <c r="B73" s="627">
        <v>69</v>
      </c>
      <c r="C73" s="628" t="str">
        <f t="shared" si="3"/>
        <v>Ô tô tự đổ 7 tấn69</v>
      </c>
      <c r="D73" s="627">
        <v>0.19500000000000001</v>
      </c>
      <c r="E73" s="627">
        <v>0.20399999999999999</v>
      </c>
      <c r="F73" s="627">
        <v>0.124</v>
      </c>
      <c r="G73" s="627">
        <v>0.115</v>
      </c>
    </row>
    <row r="74" spans="1:7" ht="18.75" x14ac:dyDescent="0.25">
      <c r="A74" s="632" t="s">
        <v>3058</v>
      </c>
      <c r="B74" s="627">
        <v>70</v>
      </c>
      <c r="C74" s="628" t="str">
        <f t="shared" si="3"/>
        <v>Ô tô tự đổ 7 tấn70</v>
      </c>
      <c r="D74" s="627">
        <v>0.19500000000000001</v>
      </c>
      <c r="E74" s="627">
        <v>0.20399999999999999</v>
      </c>
      <c r="F74" s="627">
        <v>0.124</v>
      </c>
      <c r="G74" s="627">
        <v>0.115</v>
      </c>
    </row>
    <row r="75" spans="1:7" ht="18.75" x14ac:dyDescent="0.25">
      <c r="A75" s="632" t="s">
        <v>3058</v>
      </c>
      <c r="B75" s="627">
        <v>71</v>
      </c>
      <c r="C75" s="628" t="str">
        <f t="shared" si="3"/>
        <v>Ô tô tự đổ 7 tấn71</v>
      </c>
      <c r="D75" s="627">
        <v>0.193</v>
      </c>
      <c r="E75" s="627">
        <v>0.20200000000000001</v>
      </c>
      <c r="F75" s="627">
        <v>0.123</v>
      </c>
      <c r="G75" s="627">
        <v>0.114</v>
      </c>
    </row>
    <row r="76" spans="1:7" ht="18.75" x14ac:dyDescent="0.25">
      <c r="A76" s="632" t="s">
        <v>3058</v>
      </c>
      <c r="B76" s="627">
        <v>72</v>
      </c>
      <c r="C76" s="628" t="str">
        <f t="shared" si="3"/>
        <v>Ô tô tự đổ 7 tấn72</v>
      </c>
      <c r="D76" s="627">
        <v>0.193</v>
      </c>
      <c r="E76" s="627">
        <v>0.20200000000000001</v>
      </c>
      <c r="F76" s="627">
        <v>0.123</v>
      </c>
      <c r="G76" s="627">
        <v>0.114</v>
      </c>
    </row>
    <row r="77" spans="1:7" ht="18.75" x14ac:dyDescent="0.25">
      <c r="A77" s="632" t="s">
        <v>3058</v>
      </c>
      <c r="B77" s="627">
        <v>73</v>
      </c>
      <c r="C77" s="628" t="str">
        <f t="shared" si="3"/>
        <v>Ô tô tự đổ 7 tấn73</v>
      </c>
      <c r="D77" s="627">
        <v>0.193</v>
      </c>
      <c r="E77" s="627">
        <v>0.20200000000000001</v>
      </c>
      <c r="F77" s="627">
        <v>0.123</v>
      </c>
      <c r="G77" s="627">
        <v>0.114</v>
      </c>
    </row>
    <row r="78" spans="1:7" ht="18.75" x14ac:dyDescent="0.25">
      <c r="A78" s="632" t="s">
        <v>3058</v>
      </c>
      <c r="B78" s="627">
        <v>74</v>
      </c>
      <c r="C78" s="628" t="str">
        <f t="shared" si="3"/>
        <v>Ô tô tự đổ 7 tấn74</v>
      </c>
      <c r="D78" s="627">
        <v>0.193</v>
      </c>
      <c r="E78" s="627">
        <v>0.20200000000000001</v>
      </c>
      <c r="F78" s="627">
        <v>0.123</v>
      </c>
      <c r="G78" s="627">
        <v>0.114</v>
      </c>
    </row>
    <row r="79" spans="1:7" ht="18.75" x14ac:dyDescent="0.25">
      <c r="A79" s="632" t="s">
        <v>3058</v>
      </c>
      <c r="B79" s="627">
        <v>75</v>
      </c>
      <c r="C79" s="628" t="str">
        <f t="shared" si="3"/>
        <v>Ô tô tự đổ 7 tấn75</v>
      </c>
      <c r="D79" s="627">
        <v>0.193</v>
      </c>
      <c r="E79" s="627">
        <v>0.20200000000000001</v>
      </c>
      <c r="F79" s="627">
        <v>0.123</v>
      </c>
      <c r="G79" s="627">
        <v>0.114</v>
      </c>
    </row>
    <row r="80" spans="1:7" ht="18.75" x14ac:dyDescent="0.25">
      <c r="A80" s="632" t="s">
        <v>3058</v>
      </c>
      <c r="B80" s="627">
        <v>76</v>
      </c>
      <c r="C80" s="628" t="str">
        <f t="shared" si="3"/>
        <v>Ô tô tự đổ 7 tấn76</v>
      </c>
      <c r="D80" s="627">
        <v>0.193</v>
      </c>
      <c r="E80" s="627">
        <v>0.20200000000000001</v>
      </c>
      <c r="F80" s="627">
        <v>0.123</v>
      </c>
      <c r="G80" s="627">
        <v>0.114</v>
      </c>
    </row>
    <row r="81" spans="1:7" ht="18.75" x14ac:dyDescent="0.25">
      <c r="A81" s="632" t="s">
        <v>3058</v>
      </c>
      <c r="B81" s="627">
        <v>77</v>
      </c>
      <c r="C81" s="628" t="str">
        <f t="shared" si="3"/>
        <v>Ô tô tự đổ 7 tấn77</v>
      </c>
      <c r="D81" s="627">
        <v>0.193</v>
      </c>
      <c r="E81" s="627">
        <v>0.20200000000000001</v>
      </c>
      <c r="F81" s="627">
        <v>0.123</v>
      </c>
      <c r="G81" s="627">
        <v>0.114</v>
      </c>
    </row>
    <row r="82" spans="1:7" ht="18.75" x14ac:dyDescent="0.25">
      <c r="A82" s="632" t="s">
        <v>3058</v>
      </c>
      <c r="B82" s="627">
        <v>78</v>
      </c>
      <c r="C82" s="628" t="str">
        <f t="shared" si="3"/>
        <v>Ô tô tự đổ 7 tấn78</v>
      </c>
      <c r="D82" s="627">
        <v>0.193</v>
      </c>
      <c r="E82" s="627">
        <v>0.20200000000000001</v>
      </c>
      <c r="F82" s="627">
        <v>0.123</v>
      </c>
      <c r="G82" s="627">
        <v>0.114</v>
      </c>
    </row>
    <row r="83" spans="1:7" ht="18.75" x14ac:dyDescent="0.25">
      <c r="A83" s="632" t="s">
        <v>3058</v>
      </c>
      <c r="B83" s="627">
        <v>79</v>
      </c>
      <c r="C83" s="628" t="str">
        <f t="shared" si="3"/>
        <v>Ô tô tự đổ 7 tấn79</v>
      </c>
      <c r="D83" s="627">
        <v>0.193</v>
      </c>
      <c r="E83" s="627">
        <v>0.20200000000000001</v>
      </c>
      <c r="F83" s="627">
        <v>0.123</v>
      </c>
      <c r="G83" s="627">
        <v>0.114</v>
      </c>
    </row>
    <row r="84" spans="1:7" ht="18.75" x14ac:dyDescent="0.25">
      <c r="A84" s="632" t="s">
        <v>3058</v>
      </c>
      <c r="B84" s="627">
        <v>80</v>
      </c>
      <c r="C84" s="628" t="str">
        <f t="shared" si="3"/>
        <v>Ô tô tự đổ 7 tấn80</v>
      </c>
      <c r="D84" s="627">
        <v>0.193</v>
      </c>
      <c r="E84" s="627">
        <v>0.20200000000000001</v>
      </c>
      <c r="F84" s="627">
        <v>0.123</v>
      </c>
      <c r="G84" s="627">
        <v>0.114</v>
      </c>
    </row>
    <row r="85" spans="1:7" ht="18.75" x14ac:dyDescent="0.25">
      <c r="A85" s="632" t="s">
        <v>3058</v>
      </c>
      <c r="B85" s="627">
        <v>81</v>
      </c>
      <c r="C85" s="628" t="str">
        <f t="shared" si="3"/>
        <v>Ô tô tự đổ 7 tấn81</v>
      </c>
      <c r="D85" s="627">
        <v>0.191</v>
      </c>
      <c r="E85" s="627">
        <v>0.2</v>
      </c>
      <c r="F85" s="627">
        <v>0.121</v>
      </c>
      <c r="G85" s="627">
        <v>0.113</v>
      </c>
    </row>
    <row r="86" spans="1:7" ht="18.75" x14ac:dyDescent="0.25">
      <c r="A86" s="632" t="s">
        <v>3058</v>
      </c>
      <c r="B86" s="627">
        <v>82</v>
      </c>
      <c r="C86" s="628" t="str">
        <f t="shared" si="3"/>
        <v>Ô tô tự đổ 7 tấn82</v>
      </c>
      <c r="D86" s="627">
        <v>0.191</v>
      </c>
      <c r="E86" s="627">
        <v>0.2</v>
      </c>
      <c r="F86" s="627">
        <v>0.121</v>
      </c>
      <c r="G86" s="627">
        <v>0.113</v>
      </c>
    </row>
    <row r="87" spans="1:7" ht="18.75" x14ac:dyDescent="0.25">
      <c r="A87" s="632" t="s">
        <v>3058</v>
      </c>
      <c r="B87" s="627">
        <v>83</v>
      </c>
      <c r="C87" s="628" t="str">
        <f t="shared" si="3"/>
        <v>Ô tô tự đổ 7 tấn83</v>
      </c>
      <c r="D87" s="627">
        <v>0.191</v>
      </c>
      <c r="E87" s="627">
        <v>0.2</v>
      </c>
      <c r="F87" s="627">
        <v>0.121</v>
      </c>
      <c r="G87" s="627">
        <v>0.113</v>
      </c>
    </row>
    <row r="88" spans="1:7" ht="18.75" x14ac:dyDescent="0.25">
      <c r="A88" s="632" t="s">
        <v>3058</v>
      </c>
      <c r="B88" s="627">
        <v>84</v>
      </c>
      <c r="C88" s="628" t="str">
        <f t="shared" si="3"/>
        <v>Ô tô tự đổ 7 tấn84</v>
      </c>
      <c r="D88" s="627">
        <v>0.191</v>
      </c>
      <c r="E88" s="627">
        <v>0.2</v>
      </c>
      <c r="F88" s="627">
        <v>0.121</v>
      </c>
      <c r="G88" s="627">
        <v>0.113</v>
      </c>
    </row>
    <row r="89" spans="1:7" ht="18.75" x14ac:dyDescent="0.25">
      <c r="A89" s="632" t="s">
        <v>3058</v>
      </c>
      <c r="B89" s="627">
        <v>85</v>
      </c>
      <c r="C89" s="628" t="str">
        <f t="shared" si="3"/>
        <v>Ô tô tự đổ 7 tấn85</v>
      </c>
      <c r="D89" s="627">
        <v>0.191</v>
      </c>
      <c r="E89" s="627">
        <v>0.2</v>
      </c>
      <c r="F89" s="627">
        <v>0.121</v>
      </c>
      <c r="G89" s="627">
        <v>0.113</v>
      </c>
    </row>
    <row r="90" spans="1:7" ht="18.75" x14ac:dyDescent="0.25">
      <c r="A90" s="632" t="s">
        <v>3058</v>
      </c>
      <c r="B90" s="627">
        <v>86</v>
      </c>
      <c r="C90" s="628" t="str">
        <f t="shared" si="3"/>
        <v>Ô tô tự đổ 7 tấn86</v>
      </c>
      <c r="D90" s="627">
        <v>0.191</v>
      </c>
      <c r="E90" s="627">
        <v>0.2</v>
      </c>
      <c r="F90" s="627">
        <v>0.121</v>
      </c>
      <c r="G90" s="627">
        <v>0.113</v>
      </c>
    </row>
    <row r="91" spans="1:7" ht="18.75" x14ac:dyDescent="0.25">
      <c r="A91" s="632" t="s">
        <v>3058</v>
      </c>
      <c r="B91" s="627">
        <v>87</v>
      </c>
      <c r="C91" s="628" t="str">
        <f t="shared" si="3"/>
        <v>Ô tô tự đổ 7 tấn87</v>
      </c>
      <c r="D91" s="627">
        <v>0.191</v>
      </c>
      <c r="E91" s="627">
        <v>0.2</v>
      </c>
      <c r="F91" s="627">
        <v>0.121</v>
      </c>
      <c r="G91" s="627">
        <v>0.113</v>
      </c>
    </row>
    <row r="92" spans="1:7" ht="18.75" x14ac:dyDescent="0.25">
      <c r="A92" s="632" t="s">
        <v>3058</v>
      </c>
      <c r="B92" s="627">
        <v>88</v>
      </c>
      <c r="C92" s="628" t="str">
        <f t="shared" si="3"/>
        <v>Ô tô tự đổ 7 tấn88</v>
      </c>
      <c r="D92" s="627">
        <v>0.191</v>
      </c>
      <c r="E92" s="627">
        <v>0.2</v>
      </c>
      <c r="F92" s="627">
        <v>0.121</v>
      </c>
      <c r="G92" s="627">
        <v>0.113</v>
      </c>
    </row>
    <row r="93" spans="1:7" ht="18.75" x14ac:dyDescent="0.25">
      <c r="A93" s="632" t="s">
        <v>3058</v>
      </c>
      <c r="B93" s="627">
        <v>89</v>
      </c>
      <c r="C93" s="628" t="str">
        <f t="shared" si="3"/>
        <v>Ô tô tự đổ 7 tấn89</v>
      </c>
      <c r="D93" s="627">
        <v>0.191</v>
      </c>
      <c r="E93" s="627">
        <v>0.2</v>
      </c>
      <c r="F93" s="627">
        <v>0.121</v>
      </c>
      <c r="G93" s="627">
        <v>0.113</v>
      </c>
    </row>
    <row r="94" spans="1:7" ht="18.75" x14ac:dyDescent="0.25">
      <c r="A94" s="632" t="s">
        <v>3058</v>
      </c>
      <c r="B94" s="627">
        <v>90</v>
      </c>
      <c r="C94" s="628" t="str">
        <f t="shared" si="3"/>
        <v>Ô tô tự đổ 7 tấn90</v>
      </c>
      <c r="D94" s="627">
        <v>0.191</v>
      </c>
      <c r="E94" s="627">
        <v>0.2</v>
      </c>
      <c r="F94" s="627">
        <v>0.121</v>
      </c>
      <c r="G94" s="627">
        <v>0.113</v>
      </c>
    </row>
    <row r="95" spans="1:7" ht="18.75" x14ac:dyDescent="0.25">
      <c r="A95" s="632" t="s">
        <v>3058</v>
      </c>
      <c r="B95" s="627">
        <v>91</v>
      </c>
      <c r="C95" s="628" t="str">
        <f t="shared" si="3"/>
        <v>Ô tô tự đổ 7 tấn91</v>
      </c>
      <c r="D95" s="627">
        <v>0.189</v>
      </c>
      <c r="E95" s="627">
        <v>0.19800000000000001</v>
      </c>
      <c r="F95" s="627">
        <v>0.12</v>
      </c>
      <c r="G95" s="627">
        <v>0.112</v>
      </c>
    </row>
    <row r="96" spans="1:7" ht="18.75" x14ac:dyDescent="0.25">
      <c r="A96" s="632" t="s">
        <v>3058</v>
      </c>
      <c r="B96" s="627">
        <v>92</v>
      </c>
      <c r="C96" s="628" t="str">
        <f t="shared" si="3"/>
        <v>Ô tô tự đổ 7 tấn92</v>
      </c>
      <c r="D96" s="627">
        <v>0.189</v>
      </c>
      <c r="E96" s="627">
        <v>0.19800000000000001</v>
      </c>
      <c r="F96" s="627">
        <v>0.12</v>
      </c>
      <c r="G96" s="627">
        <v>0.112</v>
      </c>
    </row>
    <row r="97" spans="1:7" ht="18.75" x14ac:dyDescent="0.25">
      <c r="A97" s="632" t="s">
        <v>3058</v>
      </c>
      <c r="B97" s="627">
        <v>93</v>
      </c>
      <c r="C97" s="628" t="str">
        <f t="shared" si="3"/>
        <v>Ô tô tự đổ 7 tấn93</v>
      </c>
      <c r="D97" s="627">
        <v>0.189</v>
      </c>
      <c r="E97" s="627">
        <v>0.19800000000000001</v>
      </c>
      <c r="F97" s="627">
        <v>0.12</v>
      </c>
      <c r="G97" s="627">
        <v>0.112</v>
      </c>
    </row>
    <row r="98" spans="1:7" ht="18.75" x14ac:dyDescent="0.25">
      <c r="A98" s="632" t="s">
        <v>3058</v>
      </c>
      <c r="B98" s="627">
        <v>94</v>
      </c>
      <c r="C98" s="628" t="str">
        <f t="shared" si="3"/>
        <v>Ô tô tự đổ 7 tấn94</v>
      </c>
      <c r="D98" s="627">
        <v>0.189</v>
      </c>
      <c r="E98" s="627">
        <v>0.19800000000000001</v>
      </c>
      <c r="F98" s="627">
        <v>0.12</v>
      </c>
      <c r="G98" s="627">
        <v>0.112</v>
      </c>
    </row>
    <row r="99" spans="1:7" ht="18.75" x14ac:dyDescent="0.25">
      <c r="A99" s="632" t="s">
        <v>3058</v>
      </c>
      <c r="B99" s="627">
        <v>95</v>
      </c>
      <c r="C99" s="628" t="str">
        <f t="shared" si="3"/>
        <v>Ô tô tự đổ 7 tấn95</v>
      </c>
      <c r="D99" s="627">
        <v>0.189</v>
      </c>
      <c r="E99" s="627">
        <v>0.19800000000000001</v>
      </c>
      <c r="F99" s="627">
        <v>0.12</v>
      </c>
      <c r="G99" s="627">
        <v>0.112</v>
      </c>
    </row>
    <row r="100" spans="1:7" ht="18.75" x14ac:dyDescent="0.25">
      <c r="A100" s="632" t="s">
        <v>3058</v>
      </c>
      <c r="B100" s="627">
        <v>96</v>
      </c>
      <c r="C100" s="628" t="str">
        <f t="shared" si="3"/>
        <v>Ô tô tự đổ 7 tấn96</v>
      </c>
      <c r="D100" s="627">
        <v>0.189</v>
      </c>
      <c r="E100" s="627">
        <v>0.19800000000000001</v>
      </c>
      <c r="F100" s="627">
        <v>0.12</v>
      </c>
      <c r="G100" s="627">
        <v>0.112</v>
      </c>
    </row>
    <row r="101" spans="1:7" ht="18.75" x14ac:dyDescent="0.25">
      <c r="A101" s="632" t="s">
        <v>3058</v>
      </c>
      <c r="B101" s="627">
        <v>97</v>
      </c>
      <c r="C101" s="628" t="str">
        <f>A101&amp;B101</f>
        <v>Ô tô tự đổ 7 tấn97</v>
      </c>
      <c r="D101" s="627">
        <v>0.189</v>
      </c>
      <c r="E101" s="627">
        <v>0.19800000000000001</v>
      </c>
      <c r="F101" s="627">
        <v>0.12</v>
      </c>
      <c r="G101" s="627">
        <v>0.112</v>
      </c>
    </row>
    <row r="102" spans="1:7" ht="18.75" x14ac:dyDescent="0.25">
      <c r="A102" s="632" t="s">
        <v>3058</v>
      </c>
      <c r="B102" s="627">
        <v>98</v>
      </c>
      <c r="C102" s="628" t="str">
        <f>A102&amp;B102</f>
        <v>Ô tô tự đổ 7 tấn98</v>
      </c>
      <c r="D102" s="627">
        <v>0.189</v>
      </c>
      <c r="E102" s="627">
        <v>0.19800000000000001</v>
      </c>
      <c r="F102" s="627">
        <v>0.12</v>
      </c>
      <c r="G102" s="627">
        <v>0.112</v>
      </c>
    </row>
    <row r="103" spans="1:7" ht="18.75" x14ac:dyDescent="0.25">
      <c r="A103" s="632" t="s">
        <v>3058</v>
      </c>
      <c r="B103" s="627">
        <v>99</v>
      </c>
      <c r="C103" s="628" t="str">
        <f>A103&amp;B103</f>
        <v>Ô tô tự đổ 7 tấn99</v>
      </c>
      <c r="D103" s="627">
        <v>0.189</v>
      </c>
      <c r="E103" s="627">
        <v>0.19800000000000001</v>
      </c>
      <c r="F103" s="627">
        <v>0.12</v>
      </c>
      <c r="G103" s="627">
        <v>0.112</v>
      </c>
    </row>
    <row r="104" spans="1:7" ht="18.75" x14ac:dyDescent="0.25">
      <c r="A104" s="632" t="s">
        <v>3058</v>
      </c>
      <c r="B104" s="627">
        <v>100</v>
      </c>
      <c r="C104" s="628" t="str">
        <f>A104&amp;B104</f>
        <v>Ô tô tự đổ 7 tấn100</v>
      </c>
      <c r="D104" s="627">
        <v>0.189</v>
      </c>
      <c r="E104" s="627">
        <v>0.19800000000000001</v>
      </c>
      <c r="F104" s="627">
        <v>0.12</v>
      </c>
      <c r="G104" s="627">
        <v>0.112</v>
      </c>
    </row>
    <row r="105" spans="1:7" ht="18.75" x14ac:dyDescent="0.25">
      <c r="A105" s="632" t="s">
        <v>3058</v>
      </c>
      <c r="B105" s="627">
        <v>101</v>
      </c>
      <c r="C105" s="628" t="str">
        <f t="shared" ref="C105:C168" si="4">A105&amp;B105</f>
        <v>Ô tô tự đổ 7 tấn101</v>
      </c>
      <c r="D105" s="627">
        <v>0.189</v>
      </c>
      <c r="E105" s="627">
        <v>0.19800000000000001</v>
      </c>
      <c r="F105" s="627">
        <v>0.12</v>
      </c>
      <c r="G105" s="627">
        <v>0.112</v>
      </c>
    </row>
    <row r="106" spans="1:7" ht="18.75" x14ac:dyDescent="0.25">
      <c r="A106" s="632" t="s">
        <v>3058</v>
      </c>
      <c r="B106" s="627">
        <v>102</v>
      </c>
      <c r="C106" s="628" t="str">
        <f t="shared" si="4"/>
        <v>Ô tô tự đổ 7 tấn102</v>
      </c>
      <c r="D106" s="627">
        <v>0.189</v>
      </c>
      <c r="E106" s="627">
        <v>0.19800000000000001</v>
      </c>
      <c r="F106" s="627">
        <v>0.12</v>
      </c>
      <c r="G106" s="627">
        <v>0.112</v>
      </c>
    </row>
    <row r="107" spans="1:7" ht="18.75" x14ac:dyDescent="0.25">
      <c r="A107" s="632" t="s">
        <v>3058</v>
      </c>
      <c r="B107" s="627">
        <v>103</v>
      </c>
      <c r="C107" s="628" t="str">
        <f t="shared" si="4"/>
        <v>Ô tô tự đổ 7 tấn103</v>
      </c>
      <c r="D107" s="627">
        <v>0.189</v>
      </c>
      <c r="E107" s="627">
        <v>0.19800000000000001</v>
      </c>
      <c r="F107" s="627">
        <v>0.12</v>
      </c>
      <c r="G107" s="627">
        <v>0.112</v>
      </c>
    </row>
    <row r="108" spans="1:7" ht="18.75" x14ac:dyDescent="0.25">
      <c r="A108" s="632" t="s">
        <v>3058</v>
      </c>
      <c r="B108" s="627">
        <v>104</v>
      </c>
      <c r="C108" s="628" t="str">
        <f t="shared" si="4"/>
        <v>Ô tô tự đổ 7 tấn104</v>
      </c>
      <c r="D108" s="627">
        <v>0.189</v>
      </c>
      <c r="E108" s="627">
        <v>0.19800000000000001</v>
      </c>
      <c r="F108" s="627">
        <v>0.12</v>
      </c>
      <c r="G108" s="627">
        <v>0.112</v>
      </c>
    </row>
    <row r="109" spans="1:7" ht="18.75" x14ac:dyDescent="0.25">
      <c r="A109" s="632" t="s">
        <v>3058</v>
      </c>
      <c r="B109" s="627">
        <v>105</v>
      </c>
      <c r="C109" s="628" t="str">
        <f t="shared" si="4"/>
        <v>Ô tô tự đổ 7 tấn105</v>
      </c>
      <c r="D109" s="627">
        <v>0.189</v>
      </c>
      <c r="E109" s="627">
        <v>0.19800000000000001</v>
      </c>
      <c r="F109" s="627">
        <v>0.12</v>
      </c>
      <c r="G109" s="627">
        <v>0.112</v>
      </c>
    </row>
    <row r="110" spans="1:7" ht="18.75" x14ac:dyDescent="0.25">
      <c r="A110" s="632" t="s">
        <v>3058</v>
      </c>
      <c r="B110" s="627">
        <v>106</v>
      </c>
      <c r="C110" s="628" t="str">
        <f t="shared" si="4"/>
        <v>Ô tô tự đổ 7 tấn106</v>
      </c>
      <c r="D110" s="627">
        <v>0.189</v>
      </c>
      <c r="E110" s="627">
        <v>0.19800000000000001</v>
      </c>
      <c r="F110" s="627">
        <v>0.12</v>
      </c>
      <c r="G110" s="627">
        <v>0.112</v>
      </c>
    </row>
    <row r="111" spans="1:7" ht="18.75" x14ac:dyDescent="0.25">
      <c r="A111" s="632" t="s">
        <v>3058</v>
      </c>
      <c r="B111" s="627">
        <v>107</v>
      </c>
      <c r="C111" s="628" t="str">
        <f t="shared" si="4"/>
        <v>Ô tô tự đổ 7 tấn107</v>
      </c>
      <c r="D111" s="627">
        <v>0.189</v>
      </c>
      <c r="E111" s="627">
        <v>0.19800000000000001</v>
      </c>
      <c r="F111" s="627">
        <v>0.12</v>
      </c>
      <c r="G111" s="627">
        <v>0.112</v>
      </c>
    </row>
    <row r="112" spans="1:7" ht="18.75" x14ac:dyDescent="0.25">
      <c r="A112" s="632" t="s">
        <v>3058</v>
      </c>
      <c r="B112" s="627">
        <v>108</v>
      </c>
      <c r="C112" s="628" t="str">
        <f t="shared" si="4"/>
        <v>Ô tô tự đổ 7 tấn108</v>
      </c>
      <c r="D112" s="627">
        <v>0.189</v>
      </c>
      <c r="E112" s="627">
        <v>0.19800000000000001</v>
      </c>
      <c r="F112" s="627">
        <v>0.12</v>
      </c>
      <c r="G112" s="627">
        <v>0.112</v>
      </c>
    </row>
    <row r="113" spans="1:7" ht="18.75" x14ac:dyDescent="0.25">
      <c r="A113" s="632" t="s">
        <v>3058</v>
      </c>
      <c r="B113" s="627">
        <v>109</v>
      </c>
      <c r="C113" s="628" t="str">
        <f t="shared" si="4"/>
        <v>Ô tô tự đổ 7 tấn109</v>
      </c>
      <c r="D113" s="627">
        <v>0.189</v>
      </c>
      <c r="E113" s="627">
        <v>0.19800000000000001</v>
      </c>
      <c r="F113" s="627">
        <v>0.12</v>
      </c>
      <c r="G113" s="627">
        <v>0.112</v>
      </c>
    </row>
    <row r="114" spans="1:7" ht="18.75" x14ac:dyDescent="0.25">
      <c r="A114" s="632" t="s">
        <v>3058</v>
      </c>
      <c r="B114" s="627">
        <v>110</v>
      </c>
      <c r="C114" s="628" t="str">
        <f t="shared" si="4"/>
        <v>Ô tô tự đổ 7 tấn110</v>
      </c>
      <c r="D114" s="627">
        <v>0.189</v>
      </c>
      <c r="E114" s="627">
        <v>0.19800000000000001</v>
      </c>
      <c r="F114" s="627">
        <v>0.12</v>
      </c>
      <c r="G114" s="627">
        <v>0.112</v>
      </c>
    </row>
    <row r="115" spans="1:7" ht="18.75" x14ac:dyDescent="0.25">
      <c r="A115" s="632" t="s">
        <v>3058</v>
      </c>
      <c r="B115" s="627">
        <v>111</v>
      </c>
      <c r="C115" s="628" t="str">
        <f t="shared" si="4"/>
        <v>Ô tô tự đổ 7 tấn111</v>
      </c>
      <c r="D115" s="627">
        <v>0.189</v>
      </c>
      <c r="E115" s="627">
        <v>0.19800000000000001</v>
      </c>
      <c r="F115" s="627">
        <v>0.12</v>
      </c>
      <c r="G115" s="627">
        <v>0.112</v>
      </c>
    </row>
    <row r="116" spans="1:7" ht="18.75" x14ac:dyDescent="0.25">
      <c r="A116" s="632" t="s">
        <v>3058</v>
      </c>
      <c r="B116" s="627">
        <v>112</v>
      </c>
      <c r="C116" s="628" t="str">
        <f t="shared" si="4"/>
        <v>Ô tô tự đổ 7 tấn112</v>
      </c>
      <c r="D116" s="627">
        <v>0.189</v>
      </c>
      <c r="E116" s="627">
        <v>0.19800000000000001</v>
      </c>
      <c r="F116" s="627">
        <v>0.12</v>
      </c>
      <c r="G116" s="627">
        <v>0.112</v>
      </c>
    </row>
    <row r="117" spans="1:7" ht="18.75" x14ac:dyDescent="0.25">
      <c r="A117" s="632" t="s">
        <v>3058</v>
      </c>
      <c r="B117" s="627">
        <v>113</v>
      </c>
      <c r="C117" s="628" t="str">
        <f t="shared" si="4"/>
        <v>Ô tô tự đổ 7 tấn113</v>
      </c>
      <c r="D117" s="627">
        <v>0.189</v>
      </c>
      <c r="E117" s="627">
        <v>0.19800000000000001</v>
      </c>
      <c r="F117" s="627">
        <v>0.12</v>
      </c>
      <c r="G117" s="627">
        <v>0.112</v>
      </c>
    </row>
    <row r="118" spans="1:7" ht="18.75" x14ac:dyDescent="0.25">
      <c r="A118" s="632" t="s">
        <v>3058</v>
      </c>
      <c r="B118" s="627">
        <v>114</v>
      </c>
      <c r="C118" s="628" t="str">
        <f t="shared" si="4"/>
        <v>Ô tô tự đổ 7 tấn114</v>
      </c>
      <c r="D118" s="627">
        <v>0.189</v>
      </c>
      <c r="E118" s="627">
        <v>0.19800000000000001</v>
      </c>
      <c r="F118" s="627">
        <v>0.12</v>
      </c>
      <c r="G118" s="627">
        <v>0.112</v>
      </c>
    </row>
    <row r="119" spans="1:7" ht="18.75" x14ac:dyDescent="0.25">
      <c r="A119" s="632" t="s">
        <v>3058</v>
      </c>
      <c r="B119" s="627">
        <v>115</v>
      </c>
      <c r="C119" s="628" t="str">
        <f t="shared" si="4"/>
        <v>Ô tô tự đổ 7 tấn115</v>
      </c>
      <c r="D119" s="627">
        <v>0.189</v>
      </c>
      <c r="E119" s="627">
        <v>0.19800000000000001</v>
      </c>
      <c r="F119" s="627">
        <v>0.12</v>
      </c>
      <c r="G119" s="627">
        <v>0.112</v>
      </c>
    </row>
    <row r="120" spans="1:7" ht="18.75" x14ac:dyDescent="0.25">
      <c r="A120" s="632" t="s">
        <v>3058</v>
      </c>
      <c r="B120" s="627">
        <v>116</v>
      </c>
      <c r="C120" s="628" t="str">
        <f t="shared" si="4"/>
        <v>Ô tô tự đổ 7 tấn116</v>
      </c>
      <c r="D120" s="627">
        <v>0.189</v>
      </c>
      <c r="E120" s="627">
        <v>0.19800000000000001</v>
      </c>
      <c r="F120" s="627">
        <v>0.12</v>
      </c>
      <c r="G120" s="627">
        <v>0.112</v>
      </c>
    </row>
    <row r="121" spans="1:7" ht="18.75" x14ac:dyDescent="0.25">
      <c r="A121" s="632" t="s">
        <v>3058</v>
      </c>
      <c r="B121" s="627">
        <v>117</v>
      </c>
      <c r="C121" s="628" t="str">
        <f t="shared" si="4"/>
        <v>Ô tô tự đổ 7 tấn117</v>
      </c>
      <c r="D121" s="627">
        <v>0.189</v>
      </c>
      <c r="E121" s="627">
        <v>0.19800000000000001</v>
      </c>
      <c r="F121" s="627">
        <v>0.12</v>
      </c>
      <c r="G121" s="627">
        <v>0.112</v>
      </c>
    </row>
    <row r="122" spans="1:7" ht="18.75" x14ac:dyDescent="0.25">
      <c r="A122" s="632" t="s">
        <v>3058</v>
      </c>
      <c r="B122" s="627">
        <v>118</v>
      </c>
      <c r="C122" s="628" t="str">
        <f t="shared" si="4"/>
        <v>Ô tô tự đổ 7 tấn118</v>
      </c>
      <c r="D122" s="627">
        <v>0.189</v>
      </c>
      <c r="E122" s="627">
        <v>0.19800000000000001</v>
      </c>
      <c r="F122" s="627">
        <v>0.12</v>
      </c>
      <c r="G122" s="627">
        <v>0.112</v>
      </c>
    </row>
    <row r="123" spans="1:7" ht="18.75" x14ac:dyDescent="0.25">
      <c r="A123" s="632" t="s">
        <v>3058</v>
      </c>
      <c r="B123" s="627">
        <v>119</v>
      </c>
      <c r="C123" s="628" t="str">
        <f t="shared" si="4"/>
        <v>Ô tô tự đổ 7 tấn119</v>
      </c>
      <c r="D123" s="627">
        <v>0.189</v>
      </c>
      <c r="E123" s="627">
        <v>0.19800000000000001</v>
      </c>
      <c r="F123" s="627">
        <v>0.12</v>
      </c>
      <c r="G123" s="627">
        <v>0.112</v>
      </c>
    </row>
    <row r="124" spans="1:7" ht="18.75" x14ac:dyDescent="0.25">
      <c r="A124" s="632" t="s">
        <v>3058</v>
      </c>
      <c r="B124" s="627">
        <v>120</v>
      </c>
      <c r="C124" s="628" t="str">
        <f t="shared" si="4"/>
        <v>Ô tô tự đổ 7 tấn120</v>
      </c>
      <c r="D124" s="627">
        <v>0.189</v>
      </c>
      <c r="E124" s="627">
        <v>0.19800000000000001</v>
      </c>
      <c r="F124" s="627">
        <v>0.12</v>
      </c>
      <c r="G124" s="627">
        <v>0.112</v>
      </c>
    </row>
    <row r="125" spans="1:7" ht="18.75" x14ac:dyDescent="0.25">
      <c r="A125" s="632" t="s">
        <v>3058</v>
      </c>
      <c r="B125" s="627">
        <v>121</v>
      </c>
      <c r="C125" s="628" t="str">
        <f t="shared" si="4"/>
        <v>Ô tô tự đổ 7 tấn121</v>
      </c>
      <c r="D125" s="627">
        <v>0.189</v>
      </c>
      <c r="E125" s="627">
        <v>0.19800000000000001</v>
      </c>
      <c r="F125" s="627">
        <v>0.12</v>
      </c>
      <c r="G125" s="627">
        <v>0.112</v>
      </c>
    </row>
    <row r="126" spans="1:7" ht="18.75" x14ac:dyDescent="0.25">
      <c r="A126" s="632" t="s">
        <v>3058</v>
      </c>
      <c r="B126" s="627">
        <v>122</v>
      </c>
      <c r="C126" s="628" t="str">
        <f t="shared" si="4"/>
        <v>Ô tô tự đổ 7 tấn122</v>
      </c>
      <c r="D126" s="627">
        <v>0.189</v>
      </c>
      <c r="E126" s="627">
        <v>0.19800000000000001</v>
      </c>
      <c r="F126" s="627">
        <v>0.12</v>
      </c>
      <c r="G126" s="627">
        <v>0.112</v>
      </c>
    </row>
    <row r="127" spans="1:7" ht="18.75" x14ac:dyDescent="0.25">
      <c r="A127" s="632" t="s">
        <v>3058</v>
      </c>
      <c r="B127" s="627">
        <v>123</v>
      </c>
      <c r="C127" s="628" t="str">
        <f t="shared" si="4"/>
        <v>Ô tô tự đổ 7 tấn123</v>
      </c>
      <c r="D127" s="627">
        <v>0.189</v>
      </c>
      <c r="E127" s="627">
        <v>0.19800000000000001</v>
      </c>
      <c r="F127" s="627">
        <v>0.12</v>
      </c>
      <c r="G127" s="627">
        <v>0.112</v>
      </c>
    </row>
    <row r="128" spans="1:7" ht="18.75" x14ac:dyDescent="0.25">
      <c r="A128" s="632" t="s">
        <v>3058</v>
      </c>
      <c r="B128" s="627">
        <v>124</v>
      </c>
      <c r="C128" s="628" t="str">
        <f t="shared" si="4"/>
        <v>Ô tô tự đổ 7 tấn124</v>
      </c>
      <c r="D128" s="627">
        <v>0.189</v>
      </c>
      <c r="E128" s="627">
        <v>0.19800000000000001</v>
      </c>
      <c r="F128" s="627">
        <v>0.12</v>
      </c>
      <c r="G128" s="627">
        <v>0.112</v>
      </c>
    </row>
    <row r="129" spans="1:7" ht="18.75" x14ac:dyDescent="0.25">
      <c r="A129" s="632" t="s">
        <v>3058</v>
      </c>
      <c r="B129" s="627">
        <v>125</v>
      </c>
      <c r="C129" s="628" t="str">
        <f t="shared" si="4"/>
        <v>Ô tô tự đổ 7 tấn125</v>
      </c>
      <c r="D129" s="627">
        <v>0.189</v>
      </c>
      <c r="E129" s="627">
        <v>0.19800000000000001</v>
      </c>
      <c r="F129" s="627">
        <v>0.12</v>
      </c>
      <c r="G129" s="627">
        <v>0.112</v>
      </c>
    </row>
    <row r="130" spans="1:7" ht="18.75" x14ac:dyDescent="0.25">
      <c r="A130" s="632" t="s">
        <v>3058</v>
      </c>
      <c r="B130" s="627">
        <v>126</v>
      </c>
      <c r="C130" s="628" t="str">
        <f t="shared" si="4"/>
        <v>Ô tô tự đổ 7 tấn126</v>
      </c>
      <c r="D130" s="627">
        <v>0.189</v>
      </c>
      <c r="E130" s="627">
        <v>0.19800000000000001</v>
      </c>
      <c r="F130" s="627">
        <v>0.12</v>
      </c>
      <c r="G130" s="627">
        <v>0.112</v>
      </c>
    </row>
    <row r="131" spans="1:7" ht="18.75" x14ac:dyDescent="0.25">
      <c r="A131" s="632" t="s">
        <v>3058</v>
      </c>
      <c r="B131" s="627">
        <v>127</v>
      </c>
      <c r="C131" s="628" t="str">
        <f t="shared" si="4"/>
        <v>Ô tô tự đổ 7 tấn127</v>
      </c>
      <c r="D131" s="627">
        <v>0.189</v>
      </c>
      <c r="E131" s="627">
        <v>0.19800000000000001</v>
      </c>
      <c r="F131" s="627">
        <v>0.12</v>
      </c>
      <c r="G131" s="627">
        <v>0.112</v>
      </c>
    </row>
    <row r="132" spans="1:7" ht="18.75" x14ac:dyDescent="0.25">
      <c r="A132" s="632" t="s">
        <v>3058</v>
      </c>
      <c r="B132" s="627">
        <v>128</v>
      </c>
      <c r="C132" s="628" t="str">
        <f t="shared" si="4"/>
        <v>Ô tô tự đổ 7 tấn128</v>
      </c>
      <c r="D132" s="627">
        <v>0.189</v>
      </c>
      <c r="E132" s="627">
        <v>0.19800000000000001</v>
      </c>
      <c r="F132" s="627">
        <v>0.12</v>
      </c>
      <c r="G132" s="627">
        <v>0.112</v>
      </c>
    </row>
    <row r="133" spans="1:7" ht="18.75" x14ac:dyDescent="0.25">
      <c r="A133" s="632" t="s">
        <v>3058</v>
      </c>
      <c r="B133" s="627">
        <v>129</v>
      </c>
      <c r="C133" s="628" t="str">
        <f t="shared" si="4"/>
        <v>Ô tô tự đổ 7 tấn129</v>
      </c>
      <c r="D133" s="627">
        <v>0.189</v>
      </c>
      <c r="E133" s="627">
        <v>0.19800000000000001</v>
      </c>
      <c r="F133" s="627">
        <v>0.12</v>
      </c>
      <c r="G133" s="627">
        <v>0.112</v>
      </c>
    </row>
    <row r="134" spans="1:7" ht="18.75" x14ac:dyDescent="0.25">
      <c r="A134" s="632" t="s">
        <v>3058</v>
      </c>
      <c r="B134" s="627">
        <v>130</v>
      </c>
      <c r="C134" s="628" t="str">
        <f t="shared" si="4"/>
        <v>Ô tô tự đổ 7 tấn130</v>
      </c>
      <c r="D134" s="627">
        <v>0.189</v>
      </c>
      <c r="E134" s="627">
        <v>0.19800000000000001</v>
      </c>
      <c r="F134" s="627">
        <v>0.12</v>
      </c>
      <c r="G134" s="627">
        <v>0.112</v>
      </c>
    </row>
    <row r="135" spans="1:7" ht="18.75" x14ac:dyDescent="0.25">
      <c r="A135" s="632" t="s">
        <v>3058</v>
      </c>
      <c r="B135" s="627">
        <v>131</v>
      </c>
      <c r="C135" s="628" t="str">
        <f t="shared" si="4"/>
        <v>Ô tô tự đổ 7 tấn131</v>
      </c>
      <c r="D135" s="627">
        <v>0.189</v>
      </c>
      <c r="E135" s="627">
        <v>0.19800000000000001</v>
      </c>
      <c r="F135" s="627">
        <v>0.12</v>
      </c>
      <c r="G135" s="627">
        <v>0.112</v>
      </c>
    </row>
    <row r="136" spans="1:7" ht="18.75" x14ac:dyDescent="0.25">
      <c r="A136" s="632" t="s">
        <v>3058</v>
      </c>
      <c r="B136" s="627">
        <v>132</v>
      </c>
      <c r="C136" s="628" t="str">
        <f t="shared" si="4"/>
        <v>Ô tô tự đổ 7 tấn132</v>
      </c>
      <c r="D136" s="627">
        <v>0.189</v>
      </c>
      <c r="E136" s="627">
        <v>0.19800000000000001</v>
      </c>
      <c r="F136" s="627">
        <v>0.12</v>
      </c>
      <c r="G136" s="627">
        <v>0.112</v>
      </c>
    </row>
    <row r="137" spans="1:7" ht="18.75" x14ac:dyDescent="0.25">
      <c r="A137" s="632" t="s">
        <v>3058</v>
      </c>
      <c r="B137" s="627">
        <v>133</v>
      </c>
      <c r="C137" s="628" t="str">
        <f t="shared" si="4"/>
        <v>Ô tô tự đổ 7 tấn133</v>
      </c>
      <c r="D137" s="627">
        <v>0.189</v>
      </c>
      <c r="E137" s="627">
        <v>0.19800000000000001</v>
      </c>
      <c r="F137" s="627">
        <v>0.12</v>
      </c>
      <c r="G137" s="627">
        <v>0.112</v>
      </c>
    </row>
    <row r="138" spans="1:7" ht="18.75" x14ac:dyDescent="0.25">
      <c r="A138" s="632" t="s">
        <v>3058</v>
      </c>
      <c r="B138" s="627">
        <v>134</v>
      </c>
      <c r="C138" s="628" t="str">
        <f t="shared" si="4"/>
        <v>Ô tô tự đổ 7 tấn134</v>
      </c>
      <c r="D138" s="627">
        <v>0.189</v>
      </c>
      <c r="E138" s="627">
        <v>0.19800000000000001</v>
      </c>
      <c r="F138" s="627">
        <v>0.12</v>
      </c>
      <c r="G138" s="627">
        <v>0.112</v>
      </c>
    </row>
    <row r="139" spans="1:7" ht="18.75" x14ac:dyDescent="0.25">
      <c r="A139" s="632" t="s">
        <v>3058</v>
      </c>
      <c r="B139" s="627">
        <v>135</v>
      </c>
      <c r="C139" s="628" t="str">
        <f t="shared" si="4"/>
        <v>Ô tô tự đổ 7 tấn135</v>
      </c>
      <c r="D139" s="627">
        <v>0.189</v>
      </c>
      <c r="E139" s="627">
        <v>0.19800000000000001</v>
      </c>
      <c r="F139" s="627">
        <v>0.12</v>
      </c>
      <c r="G139" s="627">
        <v>0.112</v>
      </c>
    </row>
    <row r="140" spans="1:7" ht="18.75" x14ac:dyDescent="0.25">
      <c r="A140" s="632" t="s">
        <v>3058</v>
      </c>
      <c r="B140" s="627">
        <v>136</v>
      </c>
      <c r="C140" s="628" t="str">
        <f t="shared" si="4"/>
        <v>Ô tô tự đổ 7 tấn136</v>
      </c>
      <c r="D140" s="627">
        <v>0.189</v>
      </c>
      <c r="E140" s="627">
        <v>0.19800000000000001</v>
      </c>
      <c r="F140" s="627">
        <v>0.12</v>
      </c>
      <c r="G140" s="627">
        <v>0.112</v>
      </c>
    </row>
    <row r="141" spans="1:7" ht="18.75" x14ac:dyDescent="0.25">
      <c r="A141" s="632" t="s">
        <v>3058</v>
      </c>
      <c r="B141" s="627">
        <v>137</v>
      </c>
      <c r="C141" s="628" t="str">
        <f t="shared" si="4"/>
        <v>Ô tô tự đổ 7 tấn137</v>
      </c>
      <c r="D141" s="627">
        <v>0.189</v>
      </c>
      <c r="E141" s="627">
        <v>0.19800000000000001</v>
      </c>
      <c r="F141" s="627">
        <v>0.12</v>
      </c>
      <c r="G141" s="627">
        <v>0.112</v>
      </c>
    </row>
    <row r="142" spans="1:7" ht="18.75" x14ac:dyDescent="0.25">
      <c r="A142" s="632" t="s">
        <v>3058</v>
      </c>
      <c r="B142" s="627">
        <v>138</v>
      </c>
      <c r="C142" s="628" t="str">
        <f t="shared" si="4"/>
        <v>Ô tô tự đổ 7 tấn138</v>
      </c>
      <c r="D142" s="627">
        <v>0.189</v>
      </c>
      <c r="E142" s="627">
        <v>0.19800000000000001</v>
      </c>
      <c r="F142" s="627">
        <v>0.12</v>
      </c>
      <c r="G142" s="627">
        <v>0.112</v>
      </c>
    </row>
    <row r="143" spans="1:7" ht="18.75" x14ac:dyDescent="0.25">
      <c r="A143" s="632" t="s">
        <v>3058</v>
      </c>
      <c r="B143" s="627">
        <v>139</v>
      </c>
      <c r="C143" s="628" t="str">
        <f t="shared" si="4"/>
        <v>Ô tô tự đổ 7 tấn139</v>
      </c>
      <c r="D143" s="627">
        <v>0.189</v>
      </c>
      <c r="E143" s="627">
        <v>0.19800000000000001</v>
      </c>
      <c r="F143" s="627">
        <v>0.12</v>
      </c>
      <c r="G143" s="627">
        <v>0.112</v>
      </c>
    </row>
    <row r="144" spans="1:7" ht="18.75" x14ac:dyDescent="0.25">
      <c r="A144" s="632" t="s">
        <v>3058</v>
      </c>
      <c r="B144" s="627">
        <v>140</v>
      </c>
      <c r="C144" s="628" t="str">
        <f t="shared" si="4"/>
        <v>Ô tô tự đổ 7 tấn140</v>
      </c>
      <c r="D144" s="627">
        <v>0.189</v>
      </c>
      <c r="E144" s="627">
        <v>0.19800000000000001</v>
      </c>
      <c r="F144" s="627">
        <v>0.12</v>
      </c>
      <c r="G144" s="627">
        <v>0.112</v>
      </c>
    </row>
    <row r="145" spans="1:7" ht="18.75" x14ac:dyDescent="0.25">
      <c r="A145" s="632" t="s">
        <v>3058</v>
      </c>
      <c r="B145" s="627">
        <v>141</v>
      </c>
      <c r="C145" s="628" t="str">
        <f t="shared" si="4"/>
        <v>Ô tô tự đổ 7 tấn141</v>
      </c>
      <c r="D145" s="627">
        <v>0.189</v>
      </c>
      <c r="E145" s="627">
        <v>0.19800000000000001</v>
      </c>
      <c r="F145" s="627">
        <v>0.12</v>
      </c>
      <c r="G145" s="627">
        <v>0.112</v>
      </c>
    </row>
    <row r="146" spans="1:7" ht="18.75" x14ac:dyDescent="0.25">
      <c r="A146" s="632" t="s">
        <v>3058</v>
      </c>
      <c r="B146" s="627">
        <v>142</v>
      </c>
      <c r="C146" s="628" t="str">
        <f t="shared" si="4"/>
        <v>Ô tô tự đổ 7 tấn142</v>
      </c>
      <c r="D146" s="627">
        <v>0.189</v>
      </c>
      <c r="E146" s="627">
        <v>0.19800000000000001</v>
      </c>
      <c r="F146" s="627">
        <v>0.12</v>
      </c>
      <c r="G146" s="627">
        <v>0.112</v>
      </c>
    </row>
    <row r="147" spans="1:7" ht="18.75" x14ac:dyDescent="0.25">
      <c r="A147" s="632" t="s">
        <v>3058</v>
      </c>
      <c r="B147" s="627">
        <v>143</v>
      </c>
      <c r="C147" s="628" t="str">
        <f t="shared" si="4"/>
        <v>Ô tô tự đổ 7 tấn143</v>
      </c>
      <c r="D147" s="627">
        <v>0.189</v>
      </c>
      <c r="E147" s="627">
        <v>0.19800000000000001</v>
      </c>
      <c r="F147" s="627">
        <v>0.12</v>
      </c>
      <c r="G147" s="627">
        <v>0.112</v>
      </c>
    </row>
    <row r="148" spans="1:7" ht="18.75" x14ac:dyDescent="0.25">
      <c r="A148" s="632" t="s">
        <v>3058</v>
      </c>
      <c r="B148" s="627">
        <v>144</v>
      </c>
      <c r="C148" s="628" t="str">
        <f t="shared" si="4"/>
        <v>Ô tô tự đổ 7 tấn144</v>
      </c>
      <c r="D148" s="627">
        <v>0.189</v>
      </c>
      <c r="E148" s="627">
        <v>0.19800000000000001</v>
      </c>
      <c r="F148" s="627">
        <v>0.12</v>
      </c>
      <c r="G148" s="627">
        <v>0.112</v>
      </c>
    </row>
    <row r="149" spans="1:7" ht="18.75" x14ac:dyDescent="0.25">
      <c r="A149" s="632" t="s">
        <v>3058</v>
      </c>
      <c r="B149" s="627">
        <v>145</v>
      </c>
      <c r="C149" s="628" t="str">
        <f t="shared" si="4"/>
        <v>Ô tô tự đổ 7 tấn145</v>
      </c>
      <c r="D149" s="627">
        <v>0.189</v>
      </c>
      <c r="E149" s="627">
        <v>0.19800000000000001</v>
      </c>
      <c r="F149" s="627">
        <v>0.12</v>
      </c>
      <c r="G149" s="627">
        <v>0.112</v>
      </c>
    </row>
    <row r="150" spans="1:7" ht="18.75" x14ac:dyDescent="0.25">
      <c r="A150" s="632" t="s">
        <v>3058</v>
      </c>
      <c r="B150" s="627">
        <v>146</v>
      </c>
      <c r="C150" s="628" t="str">
        <f t="shared" si="4"/>
        <v>Ô tô tự đổ 7 tấn146</v>
      </c>
      <c r="D150" s="627">
        <v>0.189</v>
      </c>
      <c r="E150" s="627">
        <v>0.19800000000000001</v>
      </c>
      <c r="F150" s="627">
        <v>0.12</v>
      </c>
      <c r="G150" s="627">
        <v>0.112</v>
      </c>
    </row>
    <row r="151" spans="1:7" ht="18.75" x14ac:dyDescent="0.25">
      <c r="A151" s="632" t="s">
        <v>3058</v>
      </c>
      <c r="B151" s="627">
        <v>147</v>
      </c>
      <c r="C151" s="628" t="str">
        <f t="shared" si="4"/>
        <v>Ô tô tự đổ 7 tấn147</v>
      </c>
      <c r="D151" s="627">
        <v>0.189</v>
      </c>
      <c r="E151" s="627">
        <v>0.19800000000000001</v>
      </c>
      <c r="F151" s="627">
        <v>0.12</v>
      </c>
      <c r="G151" s="627">
        <v>0.112</v>
      </c>
    </row>
    <row r="152" spans="1:7" ht="18.75" x14ac:dyDescent="0.25">
      <c r="A152" s="632" t="s">
        <v>3058</v>
      </c>
      <c r="B152" s="627">
        <v>148</v>
      </c>
      <c r="C152" s="628" t="str">
        <f t="shared" si="4"/>
        <v>Ô tô tự đổ 7 tấn148</v>
      </c>
      <c r="D152" s="627">
        <v>0.189</v>
      </c>
      <c r="E152" s="627">
        <v>0.19800000000000001</v>
      </c>
      <c r="F152" s="627">
        <v>0.12</v>
      </c>
      <c r="G152" s="627">
        <v>0.112</v>
      </c>
    </row>
    <row r="153" spans="1:7" ht="18.75" x14ac:dyDescent="0.25">
      <c r="A153" s="632" t="s">
        <v>3058</v>
      </c>
      <c r="B153" s="627">
        <v>149</v>
      </c>
      <c r="C153" s="628" t="str">
        <f t="shared" si="4"/>
        <v>Ô tô tự đổ 7 tấn149</v>
      </c>
      <c r="D153" s="627">
        <v>0.189</v>
      </c>
      <c r="E153" s="627">
        <v>0.19800000000000001</v>
      </c>
      <c r="F153" s="627">
        <v>0.12</v>
      </c>
      <c r="G153" s="627">
        <v>0.112</v>
      </c>
    </row>
    <row r="154" spans="1:7" ht="18.75" x14ac:dyDescent="0.25">
      <c r="A154" s="632" t="s">
        <v>3058</v>
      </c>
      <c r="B154" s="627">
        <v>150</v>
      </c>
      <c r="C154" s="628" t="str">
        <f t="shared" si="4"/>
        <v>Ô tô tự đổ 7 tấn150</v>
      </c>
      <c r="D154" s="627">
        <v>0.189</v>
      </c>
      <c r="E154" s="627">
        <v>0.19800000000000001</v>
      </c>
      <c r="F154" s="627">
        <v>0.12</v>
      </c>
      <c r="G154" s="627">
        <v>0.112</v>
      </c>
    </row>
    <row r="155" spans="1:7" ht="18.75" x14ac:dyDescent="0.25">
      <c r="A155" s="632" t="s">
        <v>3058</v>
      </c>
      <c r="B155" s="627">
        <v>151</v>
      </c>
      <c r="C155" s="628" t="str">
        <f t="shared" si="4"/>
        <v>Ô tô tự đổ 7 tấn151</v>
      </c>
      <c r="D155" s="627">
        <v>0.189</v>
      </c>
      <c r="E155" s="627">
        <v>0.19800000000000001</v>
      </c>
      <c r="F155" s="627">
        <v>0.12</v>
      </c>
      <c r="G155" s="627">
        <v>0.112</v>
      </c>
    </row>
    <row r="156" spans="1:7" ht="18.75" x14ac:dyDescent="0.25">
      <c r="A156" s="632" t="s">
        <v>3058</v>
      </c>
      <c r="B156" s="627">
        <v>152</v>
      </c>
      <c r="C156" s="628" t="str">
        <f t="shared" si="4"/>
        <v>Ô tô tự đổ 7 tấn152</v>
      </c>
      <c r="D156" s="627">
        <v>0.189</v>
      </c>
      <c r="E156" s="627">
        <v>0.19800000000000001</v>
      </c>
      <c r="F156" s="627">
        <v>0.12</v>
      </c>
      <c r="G156" s="627">
        <v>0.112</v>
      </c>
    </row>
    <row r="157" spans="1:7" ht="18.75" x14ac:dyDescent="0.25">
      <c r="A157" s="632" t="s">
        <v>3058</v>
      </c>
      <c r="B157" s="627">
        <v>153</v>
      </c>
      <c r="C157" s="628" t="str">
        <f t="shared" si="4"/>
        <v>Ô tô tự đổ 7 tấn153</v>
      </c>
      <c r="D157" s="627">
        <v>0.189</v>
      </c>
      <c r="E157" s="627">
        <v>0.19800000000000001</v>
      </c>
      <c r="F157" s="627">
        <v>0.12</v>
      </c>
      <c r="G157" s="627">
        <v>0.112</v>
      </c>
    </row>
    <row r="158" spans="1:7" ht="18.75" x14ac:dyDescent="0.25">
      <c r="A158" s="632" t="s">
        <v>3058</v>
      </c>
      <c r="B158" s="627">
        <v>154</v>
      </c>
      <c r="C158" s="628" t="str">
        <f t="shared" si="4"/>
        <v>Ô tô tự đổ 7 tấn154</v>
      </c>
      <c r="D158" s="627">
        <v>0.189</v>
      </c>
      <c r="E158" s="627">
        <v>0.19800000000000001</v>
      </c>
      <c r="F158" s="627">
        <v>0.12</v>
      </c>
      <c r="G158" s="627">
        <v>0.112</v>
      </c>
    </row>
    <row r="159" spans="1:7" ht="18.75" x14ac:dyDescent="0.25">
      <c r="A159" s="632" t="s">
        <v>3058</v>
      </c>
      <c r="B159" s="627">
        <v>155</v>
      </c>
      <c r="C159" s="628" t="str">
        <f t="shared" si="4"/>
        <v>Ô tô tự đổ 7 tấn155</v>
      </c>
      <c r="D159" s="627">
        <v>0.189</v>
      </c>
      <c r="E159" s="627">
        <v>0.19800000000000001</v>
      </c>
      <c r="F159" s="627">
        <v>0.12</v>
      </c>
      <c r="G159" s="627">
        <v>0.112</v>
      </c>
    </row>
    <row r="160" spans="1:7" ht="18.75" x14ac:dyDescent="0.25">
      <c r="A160" s="632" t="s">
        <v>3058</v>
      </c>
      <c r="B160" s="627">
        <v>156</v>
      </c>
      <c r="C160" s="628" t="str">
        <f t="shared" si="4"/>
        <v>Ô tô tự đổ 7 tấn156</v>
      </c>
      <c r="D160" s="627">
        <v>0.189</v>
      </c>
      <c r="E160" s="627">
        <v>0.19800000000000001</v>
      </c>
      <c r="F160" s="627">
        <v>0.12</v>
      </c>
      <c r="G160" s="627">
        <v>0.112</v>
      </c>
    </row>
    <row r="161" spans="1:7" ht="18.75" x14ac:dyDescent="0.25">
      <c r="A161" s="632" t="s">
        <v>3058</v>
      </c>
      <c r="B161" s="627">
        <v>157</v>
      </c>
      <c r="C161" s="628" t="str">
        <f t="shared" si="4"/>
        <v>Ô tô tự đổ 7 tấn157</v>
      </c>
      <c r="D161" s="627">
        <v>0.189</v>
      </c>
      <c r="E161" s="627">
        <v>0.19800000000000001</v>
      </c>
      <c r="F161" s="627">
        <v>0.12</v>
      </c>
      <c r="G161" s="627">
        <v>0.112</v>
      </c>
    </row>
    <row r="162" spans="1:7" ht="18.75" x14ac:dyDescent="0.25">
      <c r="A162" s="632" t="s">
        <v>3058</v>
      </c>
      <c r="B162" s="627">
        <v>158</v>
      </c>
      <c r="C162" s="628" t="str">
        <f t="shared" si="4"/>
        <v>Ô tô tự đổ 7 tấn158</v>
      </c>
      <c r="D162" s="627">
        <v>0.189</v>
      </c>
      <c r="E162" s="627">
        <v>0.19800000000000001</v>
      </c>
      <c r="F162" s="627">
        <v>0.12</v>
      </c>
      <c r="G162" s="627">
        <v>0.112</v>
      </c>
    </row>
    <row r="163" spans="1:7" ht="18.75" x14ac:dyDescent="0.25">
      <c r="A163" s="632" t="s">
        <v>3058</v>
      </c>
      <c r="B163" s="627">
        <v>159</v>
      </c>
      <c r="C163" s="628" t="str">
        <f t="shared" si="4"/>
        <v>Ô tô tự đổ 7 tấn159</v>
      </c>
      <c r="D163" s="627">
        <v>0.189</v>
      </c>
      <c r="E163" s="627">
        <v>0.19800000000000001</v>
      </c>
      <c r="F163" s="627">
        <v>0.12</v>
      </c>
      <c r="G163" s="627">
        <v>0.112</v>
      </c>
    </row>
    <row r="164" spans="1:7" ht="18.75" x14ac:dyDescent="0.25">
      <c r="A164" s="632" t="s">
        <v>3058</v>
      </c>
      <c r="B164" s="627">
        <v>160</v>
      </c>
      <c r="C164" s="628" t="str">
        <f t="shared" si="4"/>
        <v>Ô tô tự đổ 7 tấn160</v>
      </c>
      <c r="D164" s="627">
        <v>0.189</v>
      </c>
      <c r="E164" s="627">
        <v>0.19800000000000001</v>
      </c>
      <c r="F164" s="627">
        <v>0.12</v>
      </c>
      <c r="G164" s="627">
        <v>0.112</v>
      </c>
    </row>
    <row r="165" spans="1:7" ht="18.75" x14ac:dyDescent="0.25">
      <c r="A165" s="632" t="s">
        <v>3058</v>
      </c>
      <c r="B165" s="627">
        <v>161</v>
      </c>
      <c r="C165" s="628" t="str">
        <f t="shared" si="4"/>
        <v>Ô tô tự đổ 7 tấn161</v>
      </c>
      <c r="D165" s="627">
        <v>0.189</v>
      </c>
      <c r="E165" s="627">
        <v>0.19800000000000001</v>
      </c>
      <c r="F165" s="627">
        <v>0.12</v>
      </c>
      <c r="G165" s="627">
        <v>0.112</v>
      </c>
    </row>
    <row r="166" spans="1:7" ht="18.75" x14ac:dyDescent="0.25">
      <c r="A166" s="632" t="s">
        <v>3058</v>
      </c>
      <c r="B166" s="627">
        <v>162</v>
      </c>
      <c r="C166" s="628" t="str">
        <f t="shared" si="4"/>
        <v>Ô tô tự đổ 7 tấn162</v>
      </c>
      <c r="D166" s="627">
        <v>0.189</v>
      </c>
      <c r="E166" s="627">
        <v>0.19800000000000001</v>
      </c>
      <c r="F166" s="627">
        <v>0.12</v>
      </c>
      <c r="G166" s="627">
        <v>0.112</v>
      </c>
    </row>
    <row r="167" spans="1:7" ht="18.75" x14ac:dyDescent="0.25">
      <c r="A167" s="632" t="s">
        <v>3058</v>
      </c>
      <c r="B167" s="627">
        <v>163</v>
      </c>
      <c r="C167" s="628" t="str">
        <f t="shared" si="4"/>
        <v>Ô tô tự đổ 7 tấn163</v>
      </c>
      <c r="D167" s="627">
        <v>0.189</v>
      </c>
      <c r="E167" s="627">
        <v>0.19800000000000001</v>
      </c>
      <c r="F167" s="627">
        <v>0.12</v>
      </c>
      <c r="G167" s="627">
        <v>0.112</v>
      </c>
    </row>
    <row r="168" spans="1:7" ht="18.75" x14ac:dyDescent="0.25">
      <c r="A168" s="632" t="s">
        <v>3058</v>
      </c>
      <c r="B168" s="627">
        <v>164</v>
      </c>
      <c r="C168" s="628" t="str">
        <f t="shared" si="4"/>
        <v>Ô tô tự đổ 7 tấn164</v>
      </c>
      <c r="D168" s="627">
        <v>0.189</v>
      </c>
      <c r="E168" s="627">
        <v>0.19800000000000001</v>
      </c>
      <c r="F168" s="627">
        <v>0.12</v>
      </c>
      <c r="G168" s="627">
        <v>0.112</v>
      </c>
    </row>
    <row r="169" spans="1:7" ht="18.75" x14ac:dyDescent="0.25">
      <c r="A169" s="632" t="s">
        <v>3058</v>
      </c>
      <c r="B169" s="627">
        <v>165</v>
      </c>
      <c r="C169" s="628" t="str">
        <f t="shared" ref="C169:C232" si="5">A169&amp;B169</f>
        <v>Ô tô tự đổ 7 tấn165</v>
      </c>
      <c r="D169" s="627">
        <v>0.189</v>
      </c>
      <c r="E169" s="627">
        <v>0.19800000000000001</v>
      </c>
      <c r="F169" s="627">
        <v>0.12</v>
      </c>
      <c r="G169" s="627">
        <v>0.112</v>
      </c>
    </row>
    <row r="170" spans="1:7" ht="18.75" x14ac:dyDescent="0.25">
      <c r="A170" s="632" t="s">
        <v>3058</v>
      </c>
      <c r="B170" s="627">
        <v>166</v>
      </c>
      <c r="C170" s="628" t="str">
        <f t="shared" si="5"/>
        <v>Ô tô tự đổ 7 tấn166</v>
      </c>
      <c r="D170" s="627">
        <v>0.189</v>
      </c>
      <c r="E170" s="627">
        <v>0.19800000000000001</v>
      </c>
      <c r="F170" s="627">
        <v>0.12</v>
      </c>
      <c r="G170" s="627">
        <v>0.112</v>
      </c>
    </row>
    <row r="171" spans="1:7" ht="18.75" x14ac:dyDescent="0.25">
      <c r="A171" s="632" t="s">
        <v>3058</v>
      </c>
      <c r="B171" s="627">
        <v>167</v>
      </c>
      <c r="C171" s="628" t="str">
        <f t="shared" si="5"/>
        <v>Ô tô tự đổ 7 tấn167</v>
      </c>
      <c r="D171" s="627">
        <v>0.189</v>
      </c>
      <c r="E171" s="627">
        <v>0.19800000000000001</v>
      </c>
      <c r="F171" s="627">
        <v>0.12</v>
      </c>
      <c r="G171" s="627">
        <v>0.112</v>
      </c>
    </row>
    <row r="172" spans="1:7" ht="18.75" x14ac:dyDescent="0.25">
      <c r="A172" s="632" t="s">
        <v>3058</v>
      </c>
      <c r="B172" s="627">
        <v>168</v>
      </c>
      <c r="C172" s="628" t="str">
        <f t="shared" si="5"/>
        <v>Ô tô tự đổ 7 tấn168</v>
      </c>
      <c r="D172" s="627">
        <v>0.189</v>
      </c>
      <c r="E172" s="627">
        <v>0.19800000000000001</v>
      </c>
      <c r="F172" s="627">
        <v>0.12</v>
      </c>
      <c r="G172" s="627">
        <v>0.112</v>
      </c>
    </row>
    <row r="173" spans="1:7" ht="18.75" x14ac:dyDescent="0.25">
      <c r="A173" s="632" t="s">
        <v>3058</v>
      </c>
      <c r="B173" s="627">
        <v>169</v>
      </c>
      <c r="C173" s="628" t="str">
        <f t="shared" si="5"/>
        <v>Ô tô tự đổ 7 tấn169</v>
      </c>
      <c r="D173" s="627">
        <v>0.189</v>
      </c>
      <c r="E173" s="627">
        <v>0.19800000000000001</v>
      </c>
      <c r="F173" s="627">
        <v>0.12</v>
      </c>
      <c r="G173" s="627">
        <v>0.112</v>
      </c>
    </row>
    <row r="174" spans="1:7" ht="18.75" x14ac:dyDescent="0.25">
      <c r="A174" s="632" t="s">
        <v>3058</v>
      </c>
      <c r="B174" s="627">
        <v>170</v>
      </c>
      <c r="C174" s="628" t="str">
        <f t="shared" si="5"/>
        <v>Ô tô tự đổ 7 tấn170</v>
      </c>
      <c r="D174" s="627">
        <v>0.189</v>
      </c>
      <c r="E174" s="627">
        <v>0.19800000000000001</v>
      </c>
      <c r="F174" s="627">
        <v>0.12</v>
      </c>
      <c r="G174" s="627">
        <v>0.112</v>
      </c>
    </row>
    <row r="175" spans="1:7" ht="18.75" x14ac:dyDescent="0.25">
      <c r="A175" s="632" t="s">
        <v>3058</v>
      </c>
      <c r="B175" s="627">
        <v>171</v>
      </c>
      <c r="C175" s="628" t="str">
        <f t="shared" si="5"/>
        <v>Ô tô tự đổ 7 tấn171</v>
      </c>
      <c r="D175" s="627">
        <v>0.189</v>
      </c>
      <c r="E175" s="627">
        <v>0.19800000000000001</v>
      </c>
      <c r="F175" s="627">
        <v>0.12</v>
      </c>
      <c r="G175" s="627">
        <v>0.112</v>
      </c>
    </row>
    <row r="176" spans="1:7" ht="18.75" x14ac:dyDescent="0.25">
      <c r="A176" s="632" t="s">
        <v>3058</v>
      </c>
      <c r="B176" s="627">
        <v>172</v>
      </c>
      <c r="C176" s="628" t="str">
        <f t="shared" si="5"/>
        <v>Ô tô tự đổ 7 tấn172</v>
      </c>
      <c r="D176" s="627">
        <v>0.189</v>
      </c>
      <c r="E176" s="627">
        <v>0.19800000000000001</v>
      </c>
      <c r="F176" s="627">
        <v>0.12</v>
      </c>
      <c r="G176" s="627">
        <v>0.112</v>
      </c>
    </row>
    <row r="177" spans="1:7" ht="18.75" x14ac:dyDescent="0.25">
      <c r="A177" s="632" t="s">
        <v>3058</v>
      </c>
      <c r="B177" s="627">
        <v>173</v>
      </c>
      <c r="C177" s="628" t="str">
        <f t="shared" si="5"/>
        <v>Ô tô tự đổ 7 tấn173</v>
      </c>
      <c r="D177" s="627">
        <v>0.189</v>
      </c>
      <c r="E177" s="627">
        <v>0.19800000000000001</v>
      </c>
      <c r="F177" s="627">
        <v>0.12</v>
      </c>
      <c r="G177" s="627">
        <v>0.112</v>
      </c>
    </row>
    <row r="178" spans="1:7" ht="18.75" x14ac:dyDescent="0.25">
      <c r="A178" s="632" t="s">
        <v>3058</v>
      </c>
      <c r="B178" s="627">
        <v>174</v>
      </c>
      <c r="C178" s="628" t="str">
        <f t="shared" si="5"/>
        <v>Ô tô tự đổ 7 tấn174</v>
      </c>
      <c r="D178" s="627">
        <v>0.189</v>
      </c>
      <c r="E178" s="627">
        <v>0.19800000000000001</v>
      </c>
      <c r="F178" s="627">
        <v>0.12</v>
      </c>
      <c r="G178" s="627">
        <v>0.112</v>
      </c>
    </row>
    <row r="179" spans="1:7" ht="18.75" x14ac:dyDescent="0.25">
      <c r="A179" s="632" t="s">
        <v>3058</v>
      </c>
      <c r="B179" s="627">
        <v>175</v>
      </c>
      <c r="C179" s="628" t="str">
        <f t="shared" si="5"/>
        <v>Ô tô tự đổ 7 tấn175</v>
      </c>
      <c r="D179" s="627">
        <v>0.189</v>
      </c>
      <c r="E179" s="627">
        <v>0.19800000000000001</v>
      </c>
      <c r="F179" s="627">
        <v>0.12</v>
      </c>
      <c r="G179" s="627">
        <v>0.112</v>
      </c>
    </row>
    <row r="180" spans="1:7" ht="18.75" x14ac:dyDescent="0.25">
      <c r="A180" s="632" t="s">
        <v>3058</v>
      </c>
      <c r="B180" s="627">
        <v>176</v>
      </c>
      <c r="C180" s="628" t="str">
        <f t="shared" si="5"/>
        <v>Ô tô tự đổ 7 tấn176</v>
      </c>
      <c r="D180" s="627">
        <v>0.189</v>
      </c>
      <c r="E180" s="627">
        <v>0.19800000000000001</v>
      </c>
      <c r="F180" s="627">
        <v>0.12</v>
      </c>
      <c r="G180" s="627">
        <v>0.112</v>
      </c>
    </row>
    <row r="181" spans="1:7" ht="18.75" x14ac:dyDescent="0.25">
      <c r="A181" s="632" t="s">
        <v>3058</v>
      </c>
      <c r="B181" s="627">
        <v>177</v>
      </c>
      <c r="C181" s="628" t="str">
        <f t="shared" si="5"/>
        <v>Ô tô tự đổ 7 tấn177</v>
      </c>
      <c r="D181" s="627">
        <v>0.189</v>
      </c>
      <c r="E181" s="627">
        <v>0.19800000000000001</v>
      </c>
      <c r="F181" s="627">
        <v>0.12</v>
      </c>
      <c r="G181" s="627">
        <v>0.112</v>
      </c>
    </row>
    <row r="182" spans="1:7" ht="18.75" x14ac:dyDescent="0.25">
      <c r="A182" s="632" t="s">
        <v>3058</v>
      </c>
      <c r="B182" s="627">
        <v>178</v>
      </c>
      <c r="C182" s="628" t="str">
        <f t="shared" si="5"/>
        <v>Ô tô tự đổ 7 tấn178</v>
      </c>
      <c r="D182" s="627">
        <v>0.189</v>
      </c>
      <c r="E182" s="627">
        <v>0.19800000000000001</v>
      </c>
      <c r="F182" s="627">
        <v>0.12</v>
      </c>
      <c r="G182" s="627">
        <v>0.112</v>
      </c>
    </row>
    <row r="183" spans="1:7" ht="18.75" x14ac:dyDescent="0.25">
      <c r="A183" s="632" t="s">
        <v>3058</v>
      </c>
      <c r="B183" s="627">
        <v>179</v>
      </c>
      <c r="C183" s="628" t="str">
        <f t="shared" si="5"/>
        <v>Ô tô tự đổ 7 tấn179</v>
      </c>
      <c r="D183" s="627">
        <v>0.189</v>
      </c>
      <c r="E183" s="627">
        <v>0.19800000000000001</v>
      </c>
      <c r="F183" s="627">
        <v>0.12</v>
      </c>
      <c r="G183" s="627">
        <v>0.112</v>
      </c>
    </row>
    <row r="184" spans="1:7" ht="18.75" x14ac:dyDescent="0.25">
      <c r="A184" s="632" t="s">
        <v>3058</v>
      </c>
      <c r="B184" s="627">
        <v>180</v>
      </c>
      <c r="C184" s="628" t="str">
        <f t="shared" si="5"/>
        <v>Ô tô tự đổ 7 tấn180</v>
      </c>
      <c r="D184" s="627">
        <v>0.189</v>
      </c>
      <c r="E184" s="627">
        <v>0.19800000000000001</v>
      </c>
      <c r="F184" s="627">
        <v>0.12</v>
      </c>
      <c r="G184" s="627">
        <v>0.112</v>
      </c>
    </row>
    <row r="185" spans="1:7" ht="18.75" x14ac:dyDescent="0.25">
      <c r="A185" s="632" t="s">
        <v>3058</v>
      </c>
      <c r="B185" s="627">
        <v>181</v>
      </c>
      <c r="C185" s="628" t="str">
        <f t="shared" si="5"/>
        <v>Ô tô tự đổ 7 tấn181</v>
      </c>
      <c r="D185" s="627">
        <v>0.189</v>
      </c>
      <c r="E185" s="627">
        <v>0.19800000000000001</v>
      </c>
      <c r="F185" s="627">
        <v>0.12</v>
      </c>
      <c r="G185" s="627">
        <v>0.112</v>
      </c>
    </row>
    <row r="186" spans="1:7" ht="18.75" x14ac:dyDescent="0.25">
      <c r="A186" s="632" t="s">
        <v>3058</v>
      </c>
      <c r="B186" s="627">
        <v>182</v>
      </c>
      <c r="C186" s="628" t="str">
        <f t="shared" si="5"/>
        <v>Ô tô tự đổ 7 tấn182</v>
      </c>
      <c r="D186" s="627">
        <v>0.189</v>
      </c>
      <c r="E186" s="627">
        <v>0.19800000000000001</v>
      </c>
      <c r="F186" s="627">
        <v>0.12</v>
      </c>
      <c r="G186" s="627">
        <v>0.112</v>
      </c>
    </row>
    <row r="187" spans="1:7" ht="18.75" x14ac:dyDescent="0.25">
      <c r="A187" s="632" t="s">
        <v>3058</v>
      </c>
      <c r="B187" s="627">
        <v>183</v>
      </c>
      <c r="C187" s="628" t="str">
        <f t="shared" si="5"/>
        <v>Ô tô tự đổ 7 tấn183</v>
      </c>
      <c r="D187" s="627">
        <v>0.189</v>
      </c>
      <c r="E187" s="627">
        <v>0.19800000000000001</v>
      </c>
      <c r="F187" s="627">
        <v>0.12</v>
      </c>
      <c r="G187" s="627">
        <v>0.112</v>
      </c>
    </row>
    <row r="188" spans="1:7" ht="18.75" x14ac:dyDescent="0.25">
      <c r="A188" s="632" t="s">
        <v>3058</v>
      </c>
      <c r="B188" s="627">
        <v>184</v>
      </c>
      <c r="C188" s="628" t="str">
        <f t="shared" si="5"/>
        <v>Ô tô tự đổ 7 tấn184</v>
      </c>
      <c r="D188" s="627">
        <v>0.189</v>
      </c>
      <c r="E188" s="627">
        <v>0.19800000000000001</v>
      </c>
      <c r="F188" s="627">
        <v>0.12</v>
      </c>
      <c r="G188" s="627">
        <v>0.112</v>
      </c>
    </row>
    <row r="189" spans="1:7" ht="18.75" x14ac:dyDescent="0.25">
      <c r="A189" s="632" t="s">
        <v>3058</v>
      </c>
      <c r="B189" s="627">
        <v>185</v>
      </c>
      <c r="C189" s="628" t="str">
        <f t="shared" si="5"/>
        <v>Ô tô tự đổ 7 tấn185</v>
      </c>
      <c r="D189" s="627">
        <v>0.189</v>
      </c>
      <c r="E189" s="627">
        <v>0.19800000000000001</v>
      </c>
      <c r="F189" s="627">
        <v>0.12</v>
      </c>
      <c r="G189" s="627">
        <v>0.112</v>
      </c>
    </row>
    <row r="190" spans="1:7" ht="18.75" x14ac:dyDescent="0.25">
      <c r="A190" s="632" t="s">
        <v>3058</v>
      </c>
      <c r="B190" s="627">
        <v>186</v>
      </c>
      <c r="C190" s="628" t="str">
        <f t="shared" si="5"/>
        <v>Ô tô tự đổ 7 tấn186</v>
      </c>
      <c r="D190" s="627">
        <v>0.189</v>
      </c>
      <c r="E190" s="627">
        <v>0.19800000000000001</v>
      </c>
      <c r="F190" s="627">
        <v>0.12</v>
      </c>
      <c r="G190" s="627">
        <v>0.112</v>
      </c>
    </row>
    <row r="191" spans="1:7" ht="18.75" x14ac:dyDescent="0.25">
      <c r="A191" s="632" t="s">
        <v>3058</v>
      </c>
      <c r="B191" s="627">
        <v>187</v>
      </c>
      <c r="C191" s="628" t="str">
        <f t="shared" si="5"/>
        <v>Ô tô tự đổ 7 tấn187</v>
      </c>
      <c r="D191" s="627">
        <v>0.189</v>
      </c>
      <c r="E191" s="627">
        <v>0.19800000000000001</v>
      </c>
      <c r="F191" s="627">
        <v>0.12</v>
      </c>
      <c r="G191" s="627">
        <v>0.112</v>
      </c>
    </row>
    <row r="192" spans="1:7" ht="18.75" x14ac:dyDescent="0.25">
      <c r="A192" s="632" t="s">
        <v>3058</v>
      </c>
      <c r="B192" s="627">
        <v>188</v>
      </c>
      <c r="C192" s="628" t="str">
        <f t="shared" si="5"/>
        <v>Ô tô tự đổ 7 tấn188</v>
      </c>
      <c r="D192" s="627">
        <v>0.189</v>
      </c>
      <c r="E192" s="627">
        <v>0.19800000000000001</v>
      </c>
      <c r="F192" s="627">
        <v>0.12</v>
      </c>
      <c r="G192" s="627">
        <v>0.112</v>
      </c>
    </row>
    <row r="193" spans="1:7" ht="18.75" x14ac:dyDescent="0.25">
      <c r="A193" s="632" t="s">
        <v>3058</v>
      </c>
      <c r="B193" s="627">
        <v>189</v>
      </c>
      <c r="C193" s="628" t="str">
        <f t="shared" si="5"/>
        <v>Ô tô tự đổ 7 tấn189</v>
      </c>
      <c r="D193" s="627">
        <v>0.189</v>
      </c>
      <c r="E193" s="627">
        <v>0.19800000000000001</v>
      </c>
      <c r="F193" s="627">
        <v>0.12</v>
      </c>
      <c r="G193" s="627">
        <v>0.112</v>
      </c>
    </row>
    <row r="194" spans="1:7" ht="18.75" x14ac:dyDescent="0.25">
      <c r="A194" s="632" t="s">
        <v>3058</v>
      </c>
      <c r="B194" s="627">
        <v>190</v>
      </c>
      <c r="C194" s="628" t="str">
        <f t="shared" si="5"/>
        <v>Ô tô tự đổ 7 tấn190</v>
      </c>
      <c r="D194" s="627">
        <v>0.189</v>
      </c>
      <c r="E194" s="627">
        <v>0.19800000000000001</v>
      </c>
      <c r="F194" s="627">
        <v>0.12</v>
      </c>
      <c r="G194" s="627">
        <v>0.112</v>
      </c>
    </row>
    <row r="195" spans="1:7" ht="18.75" x14ac:dyDescent="0.25">
      <c r="A195" s="632" t="s">
        <v>3058</v>
      </c>
      <c r="B195" s="627">
        <v>191</v>
      </c>
      <c r="C195" s="628" t="str">
        <f t="shared" si="5"/>
        <v>Ô tô tự đổ 7 tấn191</v>
      </c>
      <c r="D195" s="627">
        <v>0.189</v>
      </c>
      <c r="E195" s="627">
        <v>0.19800000000000001</v>
      </c>
      <c r="F195" s="627">
        <v>0.12</v>
      </c>
      <c r="G195" s="627">
        <v>0.112</v>
      </c>
    </row>
    <row r="196" spans="1:7" ht="18.75" x14ac:dyDescent="0.25">
      <c r="A196" s="632" t="s">
        <v>3058</v>
      </c>
      <c r="B196" s="627">
        <v>192</v>
      </c>
      <c r="C196" s="628" t="str">
        <f t="shared" si="5"/>
        <v>Ô tô tự đổ 7 tấn192</v>
      </c>
      <c r="D196" s="627">
        <v>0.189</v>
      </c>
      <c r="E196" s="627">
        <v>0.19800000000000001</v>
      </c>
      <c r="F196" s="627">
        <v>0.12</v>
      </c>
      <c r="G196" s="627">
        <v>0.112</v>
      </c>
    </row>
    <row r="197" spans="1:7" ht="18.75" x14ac:dyDescent="0.25">
      <c r="A197" s="632" t="s">
        <v>3058</v>
      </c>
      <c r="B197" s="627">
        <v>193</v>
      </c>
      <c r="C197" s="628" t="str">
        <f t="shared" si="5"/>
        <v>Ô tô tự đổ 7 tấn193</v>
      </c>
      <c r="D197" s="627">
        <v>0.189</v>
      </c>
      <c r="E197" s="627">
        <v>0.19800000000000001</v>
      </c>
      <c r="F197" s="627">
        <v>0.12</v>
      </c>
      <c r="G197" s="627">
        <v>0.112</v>
      </c>
    </row>
    <row r="198" spans="1:7" ht="18.75" x14ac:dyDescent="0.25">
      <c r="A198" s="632" t="s">
        <v>3058</v>
      </c>
      <c r="B198" s="627">
        <v>194</v>
      </c>
      <c r="C198" s="628" t="str">
        <f t="shared" si="5"/>
        <v>Ô tô tự đổ 7 tấn194</v>
      </c>
      <c r="D198" s="627">
        <v>0.189</v>
      </c>
      <c r="E198" s="627">
        <v>0.19800000000000001</v>
      </c>
      <c r="F198" s="627">
        <v>0.12</v>
      </c>
      <c r="G198" s="627">
        <v>0.112</v>
      </c>
    </row>
    <row r="199" spans="1:7" ht="18.75" x14ac:dyDescent="0.25">
      <c r="A199" s="632" t="s">
        <v>3058</v>
      </c>
      <c r="B199" s="627">
        <v>195</v>
      </c>
      <c r="C199" s="628" t="str">
        <f t="shared" si="5"/>
        <v>Ô tô tự đổ 7 tấn195</v>
      </c>
      <c r="D199" s="627">
        <v>0.189</v>
      </c>
      <c r="E199" s="627">
        <v>0.19800000000000001</v>
      </c>
      <c r="F199" s="627">
        <v>0.12</v>
      </c>
      <c r="G199" s="627">
        <v>0.112</v>
      </c>
    </row>
    <row r="200" spans="1:7" ht="18.75" x14ac:dyDescent="0.25">
      <c r="A200" s="632" t="s">
        <v>3058</v>
      </c>
      <c r="B200" s="627">
        <v>196</v>
      </c>
      <c r="C200" s="628" t="str">
        <f t="shared" si="5"/>
        <v>Ô tô tự đổ 7 tấn196</v>
      </c>
      <c r="D200" s="627">
        <v>0.189</v>
      </c>
      <c r="E200" s="627">
        <v>0.19800000000000001</v>
      </c>
      <c r="F200" s="627">
        <v>0.12</v>
      </c>
      <c r="G200" s="627">
        <v>0.112</v>
      </c>
    </row>
    <row r="201" spans="1:7" ht="18.75" x14ac:dyDescent="0.25">
      <c r="A201" s="632" t="s">
        <v>3058</v>
      </c>
      <c r="B201" s="627">
        <v>197</v>
      </c>
      <c r="C201" s="628" t="str">
        <f t="shared" si="5"/>
        <v>Ô tô tự đổ 7 tấn197</v>
      </c>
      <c r="D201" s="627">
        <v>0.189</v>
      </c>
      <c r="E201" s="627">
        <v>0.19800000000000001</v>
      </c>
      <c r="F201" s="627">
        <v>0.12</v>
      </c>
      <c r="G201" s="627">
        <v>0.112</v>
      </c>
    </row>
    <row r="202" spans="1:7" ht="18.75" x14ac:dyDescent="0.25">
      <c r="A202" s="632" t="s">
        <v>3058</v>
      </c>
      <c r="B202" s="627">
        <v>198</v>
      </c>
      <c r="C202" s="628" t="str">
        <f t="shared" si="5"/>
        <v>Ô tô tự đổ 7 tấn198</v>
      </c>
      <c r="D202" s="627">
        <v>0.189</v>
      </c>
      <c r="E202" s="627">
        <v>0.19800000000000001</v>
      </c>
      <c r="F202" s="627">
        <v>0.12</v>
      </c>
      <c r="G202" s="627">
        <v>0.112</v>
      </c>
    </row>
    <row r="203" spans="1:7" ht="18.75" x14ac:dyDescent="0.25">
      <c r="A203" s="632" t="s">
        <v>3058</v>
      </c>
      <c r="B203" s="627">
        <v>199</v>
      </c>
      <c r="C203" s="628" t="str">
        <f t="shared" si="5"/>
        <v>Ô tô tự đổ 7 tấn199</v>
      </c>
      <c r="D203" s="627">
        <v>0.189</v>
      </c>
      <c r="E203" s="627">
        <v>0.19800000000000001</v>
      </c>
      <c r="F203" s="627">
        <v>0.12</v>
      </c>
      <c r="G203" s="627">
        <v>0.112</v>
      </c>
    </row>
    <row r="204" spans="1:7" ht="18.75" x14ac:dyDescent="0.25">
      <c r="A204" s="632" t="s">
        <v>3058</v>
      </c>
      <c r="B204" s="627">
        <v>200</v>
      </c>
      <c r="C204" s="628" t="str">
        <f t="shared" si="5"/>
        <v>Ô tô tự đổ 7 tấn200</v>
      </c>
      <c r="D204" s="627">
        <v>0.189</v>
      </c>
      <c r="E204" s="627">
        <v>0.19800000000000001</v>
      </c>
      <c r="F204" s="627">
        <v>0.12</v>
      </c>
      <c r="G204" s="627">
        <v>0.112</v>
      </c>
    </row>
    <row r="205" spans="1:7" ht="18.75" x14ac:dyDescent="0.25">
      <c r="A205" s="632" t="s">
        <v>3058</v>
      </c>
      <c r="B205" s="627">
        <v>201</v>
      </c>
      <c r="C205" s="628" t="str">
        <f t="shared" si="5"/>
        <v>Ô tô tự đổ 7 tấn201</v>
      </c>
      <c r="D205" s="627">
        <v>0.189</v>
      </c>
      <c r="E205" s="627">
        <v>0.19800000000000001</v>
      </c>
      <c r="F205" s="627">
        <v>0.12</v>
      </c>
      <c r="G205" s="627">
        <v>0.112</v>
      </c>
    </row>
    <row r="206" spans="1:7" ht="18.75" x14ac:dyDescent="0.25">
      <c r="A206" s="632" t="s">
        <v>3058</v>
      </c>
      <c r="B206" s="627">
        <v>202</v>
      </c>
      <c r="C206" s="628" t="str">
        <f t="shared" si="5"/>
        <v>Ô tô tự đổ 7 tấn202</v>
      </c>
      <c r="D206" s="627">
        <v>0.189</v>
      </c>
      <c r="E206" s="627">
        <v>0.19800000000000001</v>
      </c>
      <c r="F206" s="627">
        <v>0.12</v>
      </c>
      <c r="G206" s="627">
        <v>0.112</v>
      </c>
    </row>
    <row r="207" spans="1:7" ht="18.75" x14ac:dyDescent="0.25">
      <c r="A207" s="632" t="s">
        <v>3058</v>
      </c>
      <c r="B207" s="627">
        <v>203</v>
      </c>
      <c r="C207" s="628" t="str">
        <f t="shared" si="5"/>
        <v>Ô tô tự đổ 7 tấn203</v>
      </c>
      <c r="D207" s="627">
        <v>0.189</v>
      </c>
      <c r="E207" s="627">
        <v>0.19800000000000001</v>
      </c>
      <c r="F207" s="627">
        <v>0.12</v>
      </c>
      <c r="G207" s="627">
        <v>0.112</v>
      </c>
    </row>
    <row r="208" spans="1:7" ht="18.75" x14ac:dyDescent="0.25">
      <c r="A208" s="632" t="s">
        <v>3058</v>
      </c>
      <c r="B208" s="627">
        <v>204</v>
      </c>
      <c r="C208" s="628" t="str">
        <f t="shared" si="5"/>
        <v>Ô tô tự đổ 7 tấn204</v>
      </c>
      <c r="D208" s="627">
        <v>0.189</v>
      </c>
      <c r="E208" s="627">
        <v>0.19800000000000001</v>
      </c>
      <c r="F208" s="627">
        <v>0.12</v>
      </c>
      <c r="G208" s="627">
        <v>0.112</v>
      </c>
    </row>
    <row r="209" spans="1:7" ht="18.75" x14ac:dyDescent="0.25">
      <c r="A209" s="632" t="s">
        <v>3058</v>
      </c>
      <c r="B209" s="627">
        <v>205</v>
      </c>
      <c r="C209" s="628" t="str">
        <f t="shared" si="5"/>
        <v>Ô tô tự đổ 7 tấn205</v>
      </c>
      <c r="D209" s="627">
        <v>0.189</v>
      </c>
      <c r="E209" s="627">
        <v>0.19800000000000001</v>
      </c>
      <c r="F209" s="627">
        <v>0.12</v>
      </c>
      <c r="G209" s="627">
        <v>0.112</v>
      </c>
    </row>
    <row r="210" spans="1:7" ht="18.75" x14ac:dyDescent="0.25">
      <c r="A210" s="632" t="s">
        <v>3058</v>
      </c>
      <c r="B210" s="627">
        <v>206</v>
      </c>
      <c r="C210" s="628" t="str">
        <f t="shared" si="5"/>
        <v>Ô tô tự đổ 7 tấn206</v>
      </c>
      <c r="D210" s="627">
        <v>0.189</v>
      </c>
      <c r="E210" s="627">
        <v>0.19800000000000001</v>
      </c>
      <c r="F210" s="627">
        <v>0.12</v>
      </c>
      <c r="G210" s="627">
        <v>0.112</v>
      </c>
    </row>
    <row r="211" spans="1:7" ht="18.75" x14ac:dyDescent="0.25">
      <c r="A211" s="632" t="s">
        <v>3058</v>
      </c>
      <c r="B211" s="627">
        <v>207</v>
      </c>
      <c r="C211" s="628" t="str">
        <f t="shared" si="5"/>
        <v>Ô tô tự đổ 7 tấn207</v>
      </c>
      <c r="D211" s="627">
        <v>0.189</v>
      </c>
      <c r="E211" s="627">
        <v>0.19800000000000001</v>
      </c>
      <c r="F211" s="627">
        <v>0.12</v>
      </c>
      <c r="G211" s="627">
        <v>0.112</v>
      </c>
    </row>
    <row r="212" spans="1:7" ht="18.75" x14ac:dyDescent="0.25">
      <c r="A212" s="632" t="s">
        <v>3058</v>
      </c>
      <c r="B212" s="627">
        <v>208</v>
      </c>
      <c r="C212" s="628" t="str">
        <f t="shared" si="5"/>
        <v>Ô tô tự đổ 7 tấn208</v>
      </c>
      <c r="D212" s="627">
        <v>0.189</v>
      </c>
      <c r="E212" s="627">
        <v>0.19800000000000001</v>
      </c>
      <c r="F212" s="627">
        <v>0.12</v>
      </c>
      <c r="G212" s="627">
        <v>0.112</v>
      </c>
    </row>
    <row r="213" spans="1:7" ht="18.75" x14ac:dyDescent="0.25">
      <c r="A213" s="632" t="s">
        <v>3058</v>
      </c>
      <c r="B213" s="627">
        <v>209</v>
      </c>
      <c r="C213" s="628" t="str">
        <f t="shared" si="5"/>
        <v>Ô tô tự đổ 7 tấn209</v>
      </c>
      <c r="D213" s="627">
        <v>0.189</v>
      </c>
      <c r="E213" s="627">
        <v>0.19800000000000001</v>
      </c>
      <c r="F213" s="627">
        <v>0.12</v>
      </c>
      <c r="G213" s="627">
        <v>0.112</v>
      </c>
    </row>
    <row r="214" spans="1:7" ht="18.75" x14ac:dyDescent="0.25">
      <c r="A214" s="632" t="s">
        <v>3058</v>
      </c>
      <c r="B214" s="627">
        <v>210</v>
      </c>
      <c r="C214" s="628" t="str">
        <f t="shared" si="5"/>
        <v>Ô tô tự đổ 7 tấn210</v>
      </c>
      <c r="D214" s="627">
        <v>0.189</v>
      </c>
      <c r="E214" s="627">
        <v>0.19800000000000001</v>
      </c>
      <c r="F214" s="627">
        <v>0.12</v>
      </c>
      <c r="G214" s="627">
        <v>0.112</v>
      </c>
    </row>
    <row r="215" spans="1:7" ht="18.75" x14ac:dyDescent="0.25">
      <c r="A215" s="632" t="s">
        <v>3058</v>
      </c>
      <c r="B215" s="627">
        <v>211</v>
      </c>
      <c r="C215" s="628" t="str">
        <f t="shared" si="5"/>
        <v>Ô tô tự đổ 7 tấn211</v>
      </c>
      <c r="D215" s="627">
        <v>0.189</v>
      </c>
      <c r="E215" s="627">
        <v>0.19800000000000001</v>
      </c>
      <c r="F215" s="627">
        <v>0.12</v>
      </c>
      <c r="G215" s="627">
        <v>0.112</v>
      </c>
    </row>
    <row r="216" spans="1:7" ht="18.75" x14ac:dyDescent="0.25">
      <c r="A216" s="632" t="s">
        <v>3058</v>
      </c>
      <c r="B216" s="627">
        <v>212</v>
      </c>
      <c r="C216" s="628" t="str">
        <f t="shared" si="5"/>
        <v>Ô tô tự đổ 7 tấn212</v>
      </c>
      <c r="D216" s="627">
        <v>0.189</v>
      </c>
      <c r="E216" s="627">
        <v>0.19800000000000001</v>
      </c>
      <c r="F216" s="627">
        <v>0.12</v>
      </c>
      <c r="G216" s="627">
        <v>0.112</v>
      </c>
    </row>
    <row r="217" spans="1:7" ht="18.75" x14ac:dyDescent="0.25">
      <c r="A217" s="632" t="s">
        <v>3058</v>
      </c>
      <c r="B217" s="627">
        <v>213</v>
      </c>
      <c r="C217" s="628" t="str">
        <f t="shared" si="5"/>
        <v>Ô tô tự đổ 7 tấn213</v>
      </c>
      <c r="D217" s="627">
        <v>0.189</v>
      </c>
      <c r="E217" s="627">
        <v>0.19800000000000001</v>
      </c>
      <c r="F217" s="627">
        <v>0.12</v>
      </c>
      <c r="G217" s="627">
        <v>0.112</v>
      </c>
    </row>
    <row r="218" spans="1:7" ht="18.75" x14ac:dyDescent="0.25">
      <c r="A218" s="632" t="s">
        <v>3058</v>
      </c>
      <c r="B218" s="627">
        <v>214</v>
      </c>
      <c r="C218" s="628" t="str">
        <f t="shared" si="5"/>
        <v>Ô tô tự đổ 7 tấn214</v>
      </c>
      <c r="D218" s="627">
        <v>0.189</v>
      </c>
      <c r="E218" s="627">
        <v>0.19800000000000001</v>
      </c>
      <c r="F218" s="627">
        <v>0.12</v>
      </c>
      <c r="G218" s="627">
        <v>0.112</v>
      </c>
    </row>
    <row r="219" spans="1:7" ht="18.75" x14ac:dyDescent="0.25">
      <c r="A219" s="632" t="s">
        <v>3058</v>
      </c>
      <c r="B219" s="627">
        <v>215</v>
      </c>
      <c r="C219" s="628" t="str">
        <f t="shared" si="5"/>
        <v>Ô tô tự đổ 7 tấn215</v>
      </c>
      <c r="D219" s="627">
        <v>0.189</v>
      </c>
      <c r="E219" s="627">
        <v>0.19800000000000001</v>
      </c>
      <c r="F219" s="627">
        <v>0.12</v>
      </c>
      <c r="G219" s="627">
        <v>0.112</v>
      </c>
    </row>
    <row r="220" spans="1:7" ht="18.75" x14ac:dyDescent="0.25">
      <c r="A220" s="632" t="s">
        <v>3058</v>
      </c>
      <c r="B220" s="627">
        <v>216</v>
      </c>
      <c r="C220" s="628" t="str">
        <f t="shared" si="5"/>
        <v>Ô tô tự đổ 7 tấn216</v>
      </c>
      <c r="D220" s="627">
        <v>0.189</v>
      </c>
      <c r="E220" s="627">
        <v>0.19800000000000001</v>
      </c>
      <c r="F220" s="627">
        <v>0.12</v>
      </c>
      <c r="G220" s="627">
        <v>0.112</v>
      </c>
    </row>
    <row r="221" spans="1:7" ht="18.75" x14ac:dyDescent="0.25">
      <c r="A221" s="632" t="s">
        <v>3058</v>
      </c>
      <c r="B221" s="627">
        <v>217</v>
      </c>
      <c r="C221" s="628" t="str">
        <f t="shared" si="5"/>
        <v>Ô tô tự đổ 7 tấn217</v>
      </c>
      <c r="D221" s="627">
        <v>0.189</v>
      </c>
      <c r="E221" s="627">
        <v>0.19800000000000001</v>
      </c>
      <c r="F221" s="627">
        <v>0.12</v>
      </c>
      <c r="G221" s="627">
        <v>0.112</v>
      </c>
    </row>
    <row r="222" spans="1:7" ht="18.75" x14ac:dyDescent="0.25">
      <c r="A222" s="632" t="s">
        <v>3058</v>
      </c>
      <c r="B222" s="627">
        <v>218</v>
      </c>
      <c r="C222" s="628" t="str">
        <f t="shared" si="5"/>
        <v>Ô tô tự đổ 7 tấn218</v>
      </c>
      <c r="D222" s="627">
        <v>0.189</v>
      </c>
      <c r="E222" s="627">
        <v>0.19800000000000001</v>
      </c>
      <c r="F222" s="627">
        <v>0.12</v>
      </c>
      <c r="G222" s="627">
        <v>0.112</v>
      </c>
    </row>
    <row r="223" spans="1:7" ht="18.75" x14ac:dyDescent="0.25">
      <c r="A223" s="632" t="s">
        <v>3058</v>
      </c>
      <c r="B223" s="627">
        <v>219</v>
      </c>
      <c r="C223" s="628" t="str">
        <f t="shared" si="5"/>
        <v>Ô tô tự đổ 7 tấn219</v>
      </c>
      <c r="D223" s="627">
        <v>0.189</v>
      </c>
      <c r="E223" s="627">
        <v>0.19800000000000001</v>
      </c>
      <c r="F223" s="627">
        <v>0.12</v>
      </c>
      <c r="G223" s="627">
        <v>0.112</v>
      </c>
    </row>
    <row r="224" spans="1:7" ht="18.75" x14ac:dyDescent="0.25">
      <c r="A224" s="632" t="s">
        <v>3058</v>
      </c>
      <c r="B224" s="627">
        <v>220</v>
      </c>
      <c r="C224" s="628" t="str">
        <f t="shared" si="5"/>
        <v>Ô tô tự đổ 7 tấn220</v>
      </c>
      <c r="D224" s="627">
        <v>0.189</v>
      </c>
      <c r="E224" s="627">
        <v>0.19800000000000001</v>
      </c>
      <c r="F224" s="627">
        <v>0.12</v>
      </c>
      <c r="G224" s="627">
        <v>0.112</v>
      </c>
    </row>
    <row r="225" spans="1:7" ht="18.75" x14ac:dyDescent="0.25">
      <c r="A225" s="632" t="s">
        <v>3058</v>
      </c>
      <c r="B225" s="627">
        <v>221</v>
      </c>
      <c r="C225" s="628" t="str">
        <f t="shared" si="5"/>
        <v>Ô tô tự đổ 7 tấn221</v>
      </c>
      <c r="D225" s="627">
        <v>0.189</v>
      </c>
      <c r="E225" s="627">
        <v>0.19800000000000001</v>
      </c>
      <c r="F225" s="627">
        <v>0.12</v>
      </c>
      <c r="G225" s="627">
        <v>0.112</v>
      </c>
    </row>
    <row r="226" spans="1:7" ht="18.75" x14ac:dyDescent="0.25">
      <c r="A226" s="632" t="s">
        <v>3058</v>
      </c>
      <c r="B226" s="627">
        <v>222</v>
      </c>
      <c r="C226" s="628" t="str">
        <f t="shared" si="5"/>
        <v>Ô tô tự đổ 7 tấn222</v>
      </c>
      <c r="D226" s="627">
        <v>0.189</v>
      </c>
      <c r="E226" s="627">
        <v>0.19800000000000001</v>
      </c>
      <c r="F226" s="627">
        <v>0.12</v>
      </c>
      <c r="G226" s="627">
        <v>0.112</v>
      </c>
    </row>
    <row r="227" spans="1:7" ht="18.75" x14ac:dyDescent="0.25">
      <c r="A227" s="632" t="s">
        <v>3058</v>
      </c>
      <c r="B227" s="627">
        <v>223</v>
      </c>
      <c r="C227" s="628" t="str">
        <f t="shared" si="5"/>
        <v>Ô tô tự đổ 7 tấn223</v>
      </c>
      <c r="D227" s="627">
        <v>0.189</v>
      </c>
      <c r="E227" s="627">
        <v>0.19800000000000001</v>
      </c>
      <c r="F227" s="627">
        <v>0.12</v>
      </c>
      <c r="G227" s="627">
        <v>0.112</v>
      </c>
    </row>
    <row r="228" spans="1:7" ht="18.75" x14ac:dyDescent="0.25">
      <c r="A228" s="632" t="s">
        <v>3058</v>
      </c>
      <c r="B228" s="627">
        <v>224</v>
      </c>
      <c r="C228" s="628" t="str">
        <f t="shared" si="5"/>
        <v>Ô tô tự đổ 7 tấn224</v>
      </c>
      <c r="D228" s="627">
        <v>0.189</v>
      </c>
      <c r="E228" s="627">
        <v>0.19800000000000001</v>
      </c>
      <c r="F228" s="627">
        <v>0.12</v>
      </c>
      <c r="G228" s="627">
        <v>0.112</v>
      </c>
    </row>
    <row r="229" spans="1:7" ht="18.75" x14ac:dyDescent="0.25">
      <c r="A229" s="632" t="s">
        <v>3058</v>
      </c>
      <c r="B229" s="627">
        <v>225</v>
      </c>
      <c r="C229" s="628" t="str">
        <f t="shared" si="5"/>
        <v>Ô tô tự đổ 7 tấn225</v>
      </c>
      <c r="D229" s="627">
        <v>0.189</v>
      </c>
      <c r="E229" s="627">
        <v>0.19800000000000001</v>
      </c>
      <c r="F229" s="627">
        <v>0.12</v>
      </c>
      <c r="G229" s="627">
        <v>0.112</v>
      </c>
    </row>
    <row r="230" spans="1:7" ht="18.75" x14ac:dyDescent="0.25">
      <c r="A230" s="632" t="s">
        <v>3058</v>
      </c>
      <c r="B230" s="627">
        <v>226</v>
      </c>
      <c r="C230" s="628" t="str">
        <f t="shared" si="5"/>
        <v>Ô tô tự đổ 7 tấn226</v>
      </c>
      <c r="D230" s="627">
        <v>0.189</v>
      </c>
      <c r="E230" s="627">
        <v>0.19800000000000001</v>
      </c>
      <c r="F230" s="627">
        <v>0.12</v>
      </c>
      <c r="G230" s="627">
        <v>0.112</v>
      </c>
    </row>
    <row r="231" spans="1:7" ht="18.75" x14ac:dyDescent="0.25">
      <c r="A231" s="632" t="s">
        <v>3058</v>
      </c>
      <c r="B231" s="627">
        <v>227</v>
      </c>
      <c r="C231" s="628" t="str">
        <f t="shared" si="5"/>
        <v>Ô tô tự đổ 7 tấn227</v>
      </c>
      <c r="D231" s="627">
        <v>0.189</v>
      </c>
      <c r="E231" s="627">
        <v>0.19800000000000001</v>
      </c>
      <c r="F231" s="627">
        <v>0.12</v>
      </c>
      <c r="G231" s="627">
        <v>0.112</v>
      </c>
    </row>
    <row r="232" spans="1:7" ht="18.75" x14ac:dyDescent="0.25">
      <c r="A232" s="632" t="s">
        <v>3058</v>
      </c>
      <c r="B232" s="627">
        <v>228</v>
      </c>
      <c r="C232" s="628" t="str">
        <f t="shared" si="5"/>
        <v>Ô tô tự đổ 7 tấn228</v>
      </c>
      <c r="D232" s="627">
        <v>0.189</v>
      </c>
      <c r="E232" s="627">
        <v>0.19800000000000001</v>
      </c>
      <c r="F232" s="627">
        <v>0.12</v>
      </c>
      <c r="G232" s="627">
        <v>0.112</v>
      </c>
    </row>
    <row r="233" spans="1:7" ht="18.75" x14ac:dyDescent="0.25">
      <c r="A233" s="632" t="s">
        <v>3058</v>
      </c>
      <c r="B233" s="627">
        <v>229</v>
      </c>
      <c r="C233" s="628" t="str">
        <f t="shared" ref="C233:C296" si="6">A233&amp;B233</f>
        <v>Ô tô tự đổ 7 tấn229</v>
      </c>
      <c r="D233" s="627">
        <v>0.189</v>
      </c>
      <c r="E233" s="627">
        <v>0.19800000000000001</v>
      </c>
      <c r="F233" s="627">
        <v>0.12</v>
      </c>
      <c r="G233" s="627">
        <v>0.112</v>
      </c>
    </row>
    <row r="234" spans="1:7" ht="18.75" x14ac:dyDescent="0.25">
      <c r="A234" s="632" t="s">
        <v>3058</v>
      </c>
      <c r="B234" s="627">
        <v>230</v>
      </c>
      <c r="C234" s="628" t="str">
        <f t="shared" si="6"/>
        <v>Ô tô tự đổ 7 tấn230</v>
      </c>
      <c r="D234" s="627">
        <v>0.189</v>
      </c>
      <c r="E234" s="627">
        <v>0.19800000000000001</v>
      </c>
      <c r="F234" s="627">
        <v>0.12</v>
      </c>
      <c r="G234" s="627">
        <v>0.112</v>
      </c>
    </row>
    <row r="235" spans="1:7" ht="18.75" x14ac:dyDescent="0.25">
      <c r="A235" s="632" t="s">
        <v>3058</v>
      </c>
      <c r="B235" s="627">
        <v>231</v>
      </c>
      <c r="C235" s="628" t="str">
        <f t="shared" si="6"/>
        <v>Ô tô tự đổ 7 tấn231</v>
      </c>
      <c r="D235" s="627">
        <v>0.189</v>
      </c>
      <c r="E235" s="627">
        <v>0.19800000000000001</v>
      </c>
      <c r="F235" s="627">
        <v>0.12</v>
      </c>
      <c r="G235" s="627">
        <v>0.112</v>
      </c>
    </row>
    <row r="236" spans="1:7" ht="18.75" x14ac:dyDescent="0.25">
      <c r="A236" s="632" t="s">
        <v>3058</v>
      </c>
      <c r="B236" s="627">
        <v>232</v>
      </c>
      <c r="C236" s="628" t="str">
        <f t="shared" si="6"/>
        <v>Ô tô tự đổ 7 tấn232</v>
      </c>
      <c r="D236" s="627">
        <v>0.189</v>
      </c>
      <c r="E236" s="627">
        <v>0.19800000000000001</v>
      </c>
      <c r="F236" s="627">
        <v>0.12</v>
      </c>
      <c r="G236" s="627">
        <v>0.112</v>
      </c>
    </row>
    <row r="237" spans="1:7" ht="18.75" x14ac:dyDescent="0.25">
      <c r="A237" s="632" t="s">
        <v>3058</v>
      </c>
      <c r="B237" s="627">
        <v>233</v>
      </c>
      <c r="C237" s="628" t="str">
        <f t="shared" si="6"/>
        <v>Ô tô tự đổ 7 tấn233</v>
      </c>
      <c r="D237" s="627">
        <v>0.189</v>
      </c>
      <c r="E237" s="627">
        <v>0.19800000000000001</v>
      </c>
      <c r="F237" s="627">
        <v>0.12</v>
      </c>
      <c r="G237" s="627">
        <v>0.112</v>
      </c>
    </row>
    <row r="238" spans="1:7" ht="18.75" x14ac:dyDescent="0.25">
      <c r="A238" s="632" t="s">
        <v>3058</v>
      </c>
      <c r="B238" s="627">
        <v>234</v>
      </c>
      <c r="C238" s="628" t="str">
        <f t="shared" si="6"/>
        <v>Ô tô tự đổ 7 tấn234</v>
      </c>
      <c r="D238" s="627">
        <v>0.189</v>
      </c>
      <c r="E238" s="627">
        <v>0.19800000000000001</v>
      </c>
      <c r="F238" s="627">
        <v>0.12</v>
      </c>
      <c r="G238" s="627">
        <v>0.112</v>
      </c>
    </row>
    <row r="239" spans="1:7" ht="18.75" x14ac:dyDescent="0.25">
      <c r="A239" s="632" t="s">
        <v>3058</v>
      </c>
      <c r="B239" s="627">
        <v>235</v>
      </c>
      <c r="C239" s="628" t="str">
        <f t="shared" si="6"/>
        <v>Ô tô tự đổ 7 tấn235</v>
      </c>
      <c r="D239" s="627">
        <v>0.189</v>
      </c>
      <c r="E239" s="627">
        <v>0.19800000000000001</v>
      </c>
      <c r="F239" s="627">
        <v>0.12</v>
      </c>
      <c r="G239" s="627">
        <v>0.112</v>
      </c>
    </row>
    <row r="240" spans="1:7" ht="18.75" x14ac:dyDescent="0.25">
      <c r="A240" s="632" t="s">
        <v>3058</v>
      </c>
      <c r="B240" s="627">
        <v>236</v>
      </c>
      <c r="C240" s="628" t="str">
        <f t="shared" si="6"/>
        <v>Ô tô tự đổ 7 tấn236</v>
      </c>
      <c r="D240" s="627">
        <v>0.189</v>
      </c>
      <c r="E240" s="627">
        <v>0.19800000000000001</v>
      </c>
      <c r="F240" s="627">
        <v>0.12</v>
      </c>
      <c r="G240" s="627">
        <v>0.112</v>
      </c>
    </row>
    <row r="241" spans="1:7" ht="18.75" x14ac:dyDescent="0.25">
      <c r="A241" s="632" t="s">
        <v>3058</v>
      </c>
      <c r="B241" s="627">
        <v>237</v>
      </c>
      <c r="C241" s="628" t="str">
        <f t="shared" si="6"/>
        <v>Ô tô tự đổ 7 tấn237</v>
      </c>
      <c r="D241" s="627">
        <v>0.189</v>
      </c>
      <c r="E241" s="627">
        <v>0.19800000000000001</v>
      </c>
      <c r="F241" s="627">
        <v>0.12</v>
      </c>
      <c r="G241" s="627">
        <v>0.112</v>
      </c>
    </row>
    <row r="242" spans="1:7" ht="18.75" x14ac:dyDescent="0.25">
      <c r="A242" s="632" t="s">
        <v>3058</v>
      </c>
      <c r="B242" s="627">
        <v>238</v>
      </c>
      <c r="C242" s="628" t="str">
        <f t="shared" si="6"/>
        <v>Ô tô tự đổ 7 tấn238</v>
      </c>
      <c r="D242" s="627">
        <v>0.189</v>
      </c>
      <c r="E242" s="627">
        <v>0.19800000000000001</v>
      </c>
      <c r="F242" s="627">
        <v>0.12</v>
      </c>
      <c r="G242" s="627">
        <v>0.112</v>
      </c>
    </row>
    <row r="243" spans="1:7" ht="18.75" x14ac:dyDescent="0.25">
      <c r="A243" s="632" t="s">
        <v>3058</v>
      </c>
      <c r="B243" s="627">
        <v>239</v>
      </c>
      <c r="C243" s="628" t="str">
        <f t="shared" si="6"/>
        <v>Ô tô tự đổ 7 tấn239</v>
      </c>
      <c r="D243" s="627">
        <v>0.189</v>
      </c>
      <c r="E243" s="627">
        <v>0.19800000000000001</v>
      </c>
      <c r="F243" s="627">
        <v>0.12</v>
      </c>
      <c r="G243" s="627">
        <v>0.112</v>
      </c>
    </row>
    <row r="244" spans="1:7" ht="18.75" x14ac:dyDescent="0.25">
      <c r="A244" s="632" t="s">
        <v>3058</v>
      </c>
      <c r="B244" s="627">
        <v>240</v>
      </c>
      <c r="C244" s="628" t="str">
        <f t="shared" si="6"/>
        <v>Ô tô tự đổ 7 tấn240</v>
      </c>
      <c r="D244" s="627">
        <v>0.189</v>
      </c>
      <c r="E244" s="627">
        <v>0.19800000000000001</v>
      </c>
      <c r="F244" s="627">
        <v>0.12</v>
      </c>
      <c r="G244" s="627">
        <v>0.112</v>
      </c>
    </row>
    <row r="245" spans="1:7" ht="18.75" x14ac:dyDescent="0.25">
      <c r="A245" s="632" t="s">
        <v>3058</v>
      </c>
      <c r="B245" s="627">
        <v>241</v>
      </c>
      <c r="C245" s="628" t="str">
        <f t="shared" si="6"/>
        <v>Ô tô tự đổ 7 tấn241</v>
      </c>
      <c r="D245" s="627">
        <v>0.189</v>
      </c>
      <c r="E245" s="627">
        <v>0.19800000000000001</v>
      </c>
      <c r="F245" s="627">
        <v>0.12</v>
      </c>
      <c r="G245" s="627">
        <v>0.112</v>
      </c>
    </row>
    <row r="246" spans="1:7" ht="18.75" x14ac:dyDescent="0.25">
      <c r="A246" s="632" t="s">
        <v>3058</v>
      </c>
      <c r="B246" s="627">
        <v>242</v>
      </c>
      <c r="C246" s="628" t="str">
        <f t="shared" si="6"/>
        <v>Ô tô tự đổ 7 tấn242</v>
      </c>
      <c r="D246" s="627">
        <v>0.189</v>
      </c>
      <c r="E246" s="627">
        <v>0.19800000000000001</v>
      </c>
      <c r="F246" s="627">
        <v>0.12</v>
      </c>
      <c r="G246" s="627">
        <v>0.112</v>
      </c>
    </row>
    <row r="247" spans="1:7" ht="18.75" x14ac:dyDescent="0.25">
      <c r="A247" s="632" t="s">
        <v>3058</v>
      </c>
      <c r="B247" s="627">
        <v>243</v>
      </c>
      <c r="C247" s="628" t="str">
        <f t="shared" si="6"/>
        <v>Ô tô tự đổ 7 tấn243</v>
      </c>
      <c r="D247" s="627">
        <v>0.189</v>
      </c>
      <c r="E247" s="627">
        <v>0.19800000000000001</v>
      </c>
      <c r="F247" s="627">
        <v>0.12</v>
      </c>
      <c r="G247" s="627">
        <v>0.112</v>
      </c>
    </row>
    <row r="248" spans="1:7" ht="18.75" x14ac:dyDescent="0.25">
      <c r="A248" s="632" t="s">
        <v>3058</v>
      </c>
      <c r="B248" s="627">
        <v>244</v>
      </c>
      <c r="C248" s="628" t="str">
        <f t="shared" si="6"/>
        <v>Ô tô tự đổ 7 tấn244</v>
      </c>
      <c r="D248" s="627">
        <v>0.189</v>
      </c>
      <c r="E248" s="627">
        <v>0.19800000000000001</v>
      </c>
      <c r="F248" s="627">
        <v>0.12</v>
      </c>
      <c r="G248" s="627">
        <v>0.112</v>
      </c>
    </row>
    <row r="249" spans="1:7" ht="18.75" x14ac:dyDescent="0.25">
      <c r="A249" s="632" t="s">
        <v>3058</v>
      </c>
      <c r="B249" s="627">
        <v>245</v>
      </c>
      <c r="C249" s="628" t="str">
        <f t="shared" si="6"/>
        <v>Ô tô tự đổ 7 tấn245</v>
      </c>
      <c r="D249" s="627">
        <v>0.189</v>
      </c>
      <c r="E249" s="627">
        <v>0.19800000000000001</v>
      </c>
      <c r="F249" s="627">
        <v>0.12</v>
      </c>
      <c r="G249" s="627">
        <v>0.112</v>
      </c>
    </row>
    <row r="250" spans="1:7" ht="18.75" x14ac:dyDescent="0.25">
      <c r="A250" s="632" t="s">
        <v>3058</v>
      </c>
      <c r="B250" s="627">
        <v>246</v>
      </c>
      <c r="C250" s="628" t="str">
        <f t="shared" si="6"/>
        <v>Ô tô tự đổ 7 tấn246</v>
      </c>
      <c r="D250" s="627">
        <v>0.189</v>
      </c>
      <c r="E250" s="627">
        <v>0.19800000000000001</v>
      </c>
      <c r="F250" s="627">
        <v>0.12</v>
      </c>
      <c r="G250" s="627">
        <v>0.112</v>
      </c>
    </row>
    <row r="251" spans="1:7" ht="18.75" x14ac:dyDescent="0.25">
      <c r="A251" s="632" t="s">
        <v>3058</v>
      </c>
      <c r="B251" s="627">
        <v>247</v>
      </c>
      <c r="C251" s="628" t="str">
        <f t="shared" si="6"/>
        <v>Ô tô tự đổ 7 tấn247</v>
      </c>
      <c r="D251" s="627">
        <v>0.189</v>
      </c>
      <c r="E251" s="627">
        <v>0.19800000000000001</v>
      </c>
      <c r="F251" s="627">
        <v>0.12</v>
      </c>
      <c r="G251" s="627">
        <v>0.112</v>
      </c>
    </row>
    <row r="252" spans="1:7" ht="18.75" x14ac:dyDescent="0.25">
      <c r="A252" s="632" t="s">
        <v>3058</v>
      </c>
      <c r="B252" s="627">
        <v>248</v>
      </c>
      <c r="C252" s="628" t="str">
        <f t="shared" si="6"/>
        <v>Ô tô tự đổ 7 tấn248</v>
      </c>
      <c r="D252" s="627">
        <v>0.189</v>
      </c>
      <c r="E252" s="627">
        <v>0.19800000000000001</v>
      </c>
      <c r="F252" s="627">
        <v>0.12</v>
      </c>
      <c r="G252" s="627">
        <v>0.112</v>
      </c>
    </row>
    <row r="253" spans="1:7" ht="18.75" x14ac:dyDescent="0.25">
      <c r="A253" s="632" t="s">
        <v>3058</v>
      </c>
      <c r="B253" s="627">
        <v>249</v>
      </c>
      <c r="C253" s="628" t="str">
        <f t="shared" si="6"/>
        <v>Ô tô tự đổ 7 tấn249</v>
      </c>
      <c r="D253" s="627">
        <v>0.189</v>
      </c>
      <c r="E253" s="627">
        <v>0.19800000000000001</v>
      </c>
      <c r="F253" s="627">
        <v>0.12</v>
      </c>
      <c r="G253" s="627">
        <v>0.112</v>
      </c>
    </row>
    <row r="254" spans="1:7" ht="18.75" x14ac:dyDescent="0.25">
      <c r="A254" s="632" t="s">
        <v>3058</v>
      </c>
      <c r="B254" s="627">
        <v>250</v>
      </c>
      <c r="C254" s="628" t="str">
        <f t="shared" si="6"/>
        <v>Ô tô tự đổ 7 tấn250</v>
      </c>
      <c r="D254" s="627">
        <v>0.189</v>
      </c>
      <c r="E254" s="627">
        <v>0.19800000000000001</v>
      </c>
      <c r="F254" s="627">
        <v>0.12</v>
      </c>
      <c r="G254" s="627">
        <v>0.112</v>
      </c>
    </row>
    <row r="255" spans="1:7" ht="18.75" x14ac:dyDescent="0.25">
      <c r="A255" s="632" t="s">
        <v>3058</v>
      </c>
      <c r="B255" s="627">
        <v>251</v>
      </c>
      <c r="C255" s="628" t="str">
        <f t="shared" si="6"/>
        <v>Ô tô tự đổ 7 tấn251</v>
      </c>
      <c r="D255" s="627">
        <v>0.189</v>
      </c>
      <c r="E255" s="627">
        <v>0.19800000000000001</v>
      </c>
      <c r="F255" s="627">
        <v>0.12</v>
      </c>
      <c r="G255" s="627">
        <v>0.112</v>
      </c>
    </row>
    <row r="256" spans="1:7" ht="18.75" x14ac:dyDescent="0.25">
      <c r="A256" s="632" t="s">
        <v>3058</v>
      </c>
      <c r="B256" s="627">
        <v>252</v>
      </c>
      <c r="C256" s="628" t="str">
        <f t="shared" si="6"/>
        <v>Ô tô tự đổ 7 tấn252</v>
      </c>
      <c r="D256" s="627">
        <v>0.189</v>
      </c>
      <c r="E256" s="627">
        <v>0.19800000000000001</v>
      </c>
      <c r="F256" s="627">
        <v>0.12</v>
      </c>
      <c r="G256" s="627">
        <v>0.112</v>
      </c>
    </row>
    <row r="257" spans="1:7" ht="18.75" x14ac:dyDescent="0.25">
      <c r="A257" s="632" t="s">
        <v>3058</v>
      </c>
      <c r="B257" s="627">
        <v>253</v>
      </c>
      <c r="C257" s="628" t="str">
        <f t="shared" si="6"/>
        <v>Ô tô tự đổ 7 tấn253</v>
      </c>
      <c r="D257" s="627">
        <v>0.189</v>
      </c>
      <c r="E257" s="627">
        <v>0.19800000000000001</v>
      </c>
      <c r="F257" s="627">
        <v>0.12</v>
      </c>
      <c r="G257" s="627">
        <v>0.112</v>
      </c>
    </row>
    <row r="258" spans="1:7" ht="18.75" x14ac:dyDescent="0.25">
      <c r="A258" s="632" t="s">
        <v>3058</v>
      </c>
      <c r="B258" s="627">
        <v>254</v>
      </c>
      <c r="C258" s="628" t="str">
        <f t="shared" si="6"/>
        <v>Ô tô tự đổ 7 tấn254</v>
      </c>
      <c r="D258" s="627">
        <v>0.189</v>
      </c>
      <c r="E258" s="627">
        <v>0.19800000000000001</v>
      </c>
      <c r="F258" s="627">
        <v>0.12</v>
      </c>
      <c r="G258" s="627">
        <v>0.112</v>
      </c>
    </row>
    <row r="259" spans="1:7" ht="18.75" x14ac:dyDescent="0.25">
      <c r="A259" s="632" t="s">
        <v>3058</v>
      </c>
      <c r="B259" s="627">
        <v>255</v>
      </c>
      <c r="C259" s="628" t="str">
        <f t="shared" si="6"/>
        <v>Ô tô tự đổ 7 tấn255</v>
      </c>
      <c r="D259" s="627">
        <v>0.189</v>
      </c>
      <c r="E259" s="627">
        <v>0.19800000000000001</v>
      </c>
      <c r="F259" s="627">
        <v>0.12</v>
      </c>
      <c r="G259" s="627">
        <v>0.112</v>
      </c>
    </row>
    <row r="260" spans="1:7" ht="18.75" x14ac:dyDescent="0.25">
      <c r="A260" s="632" t="s">
        <v>3058</v>
      </c>
      <c r="B260" s="627">
        <v>256</v>
      </c>
      <c r="C260" s="628" t="str">
        <f t="shared" si="6"/>
        <v>Ô tô tự đổ 7 tấn256</v>
      </c>
      <c r="D260" s="627">
        <v>0.189</v>
      </c>
      <c r="E260" s="627">
        <v>0.19800000000000001</v>
      </c>
      <c r="F260" s="627">
        <v>0.12</v>
      </c>
      <c r="G260" s="627">
        <v>0.112</v>
      </c>
    </row>
    <row r="261" spans="1:7" ht="18.75" x14ac:dyDescent="0.25">
      <c r="A261" s="632" t="s">
        <v>3058</v>
      </c>
      <c r="B261" s="627">
        <v>257</v>
      </c>
      <c r="C261" s="628" t="str">
        <f t="shared" si="6"/>
        <v>Ô tô tự đổ 7 tấn257</v>
      </c>
      <c r="D261" s="627">
        <v>0.189</v>
      </c>
      <c r="E261" s="627">
        <v>0.19800000000000001</v>
      </c>
      <c r="F261" s="627">
        <v>0.12</v>
      </c>
      <c r="G261" s="627">
        <v>0.112</v>
      </c>
    </row>
    <row r="262" spans="1:7" ht="18.75" x14ac:dyDescent="0.25">
      <c r="A262" s="632" t="s">
        <v>3058</v>
      </c>
      <c r="B262" s="627">
        <v>258</v>
      </c>
      <c r="C262" s="628" t="str">
        <f t="shared" si="6"/>
        <v>Ô tô tự đổ 7 tấn258</v>
      </c>
      <c r="D262" s="627">
        <v>0.189</v>
      </c>
      <c r="E262" s="627">
        <v>0.19800000000000001</v>
      </c>
      <c r="F262" s="627">
        <v>0.12</v>
      </c>
      <c r="G262" s="627">
        <v>0.112</v>
      </c>
    </row>
    <row r="263" spans="1:7" ht="18.75" x14ac:dyDescent="0.25">
      <c r="A263" s="632" t="s">
        <v>3058</v>
      </c>
      <c r="B263" s="627">
        <v>259</v>
      </c>
      <c r="C263" s="628" t="str">
        <f t="shared" si="6"/>
        <v>Ô tô tự đổ 7 tấn259</v>
      </c>
      <c r="D263" s="627">
        <v>0.189</v>
      </c>
      <c r="E263" s="627">
        <v>0.19800000000000001</v>
      </c>
      <c r="F263" s="627">
        <v>0.12</v>
      </c>
      <c r="G263" s="627">
        <v>0.112</v>
      </c>
    </row>
    <row r="264" spans="1:7" ht="18.75" x14ac:dyDescent="0.25">
      <c r="A264" s="632" t="s">
        <v>3058</v>
      </c>
      <c r="B264" s="627">
        <v>260</v>
      </c>
      <c r="C264" s="628" t="str">
        <f t="shared" si="6"/>
        <v>Ô tô tự đổ 7 tấn260</v>
      </c>
      <c r="D264" s="627">
        <v>0.189</v>
      </c>
      <c r="E264" s="627">
        <v>0.19800000000000001</v>
      </c>
      <c r="F264" s="627">
        <v>0.12</v>
      </c>
      <c r="G264" s="627">
        <v>0.112</v>
      </c>
    </row>
    <row r="265" spans="1:7" ht="18.75" x14ac:dyDescent="0.25">
      <c r="A265" s="632" t="s">
        <v>3058</v>
      </c>
      <c r="B265" s="627">
        <v>261</v>
      </c>
      <c r="C265" s="628" t="str">
        <f t="shared" si="6"/>
        <v>Ô tô tự đổ 7 tấn261</v>
      </c>
      <c r="D265" s="627">
        <v>0.189</v>
      </c>
      <c r="E265" s="627">
        <v>0.19800000000000001</v>
      </c>
      <c r="F265" s="627">
        <v>0.12</v>
      </c>
      <c r="G265" s="627">
        <v>0.112</v>
      </c>
    </row>
    <row r="266" spans="1:7" ht="18.75" x14ac:dyDescent="0.25">
      <c r="A266" s="632" t="s">
        <v>3058</v>
      </c>
      <c r="B266" s="627">
        <v>262</v>
      </c>
      <c r="C266" s="628" t="str">
        <f t="shared" si="6"/>
        <v>Ô tô tự đổ 7 tấn262</v>
      </c>
      <c r="D266" s="627">
        <v>0.189</v>
      </c>
      <c r="E266" s="627">
        <v>0.19800000000000001</v>
      </c>
      <c r="F266" s="627">
        <v>0.12</v>
      </c>
      <c r="G266" s="627">
        <v>0.112</v>
      </c>
    </row>
    <row r="267" spans="1:7" ht="18.75" x14ac:dyDescent="0.25">
      <c r="A267" s="632" t="s">
        <v>3058</v>
      </c>
      <c r="B267" s="627">
        <v>263</v>
      </c>
      <c r="C267" s="628" t="str">
        <f t="shared" si="6"/>
        <v>Ô tô tự đổ 7 tấn263</v>
      </c>
      <c r="D267" s="627">
        <v>0.189</v>
      </c>
      <c r="E267" s="627">
        <v>0.19800000000000001</v>
      </c>
      <c r="F267" s="627">
        <v>0.12</v>
      </c>
      <c r="G267" s="627">
        <v>0.112</v>
      </c>
    </row>
    <row r="268" spans="1:7" ht="18.75" x14ac:dyDescent="0.25">
      <c r="A268" s="632" t="s">
        <v>3058</v>
      </c>
      <c r="B268" s="627">
        <v>264</v>
      </c>
      <c r="C268" s="628" t="str">
        <f t="shared" si="6"/>
        <v>Ô tô tự đổ 7 tấn264</v>
      </c>
      <c r="D268" s="627">
        <v>0.189</v>
      </c>
      <c r="E268" s="627">
        <v>0.19800000000000001</v>
      </c>
      <c r="F268" s="627">
        <v>0.12</v>
      </c>
      <c r="G268" s="627">
        <v>0.112</v>
      </c>
    </row>
    <row r="269" spans="1:7" ht="18.75" x14ac:dyDescent="0.25">
      <c r="A269" s="632" t="s">
        <v>3058</v>
      </c>
      <c r="B269" s="627">
        <v>265</v>
      </c>
      <c r="C269" s="628" t="str">
        <f t="shared" si="6"/>
        <v>Ô tô tự đổ 7 tấn265</v>
      </c>
      <c r="D269" s="627">
        <v>0.189</v>
      </c>
      <c r="E269" s="627">
        <v>0.19800000000000001</v>
      </c>
      <c r="F269" s="627">
        <v>0.12</v>
      </c>
      <c r="G269" s="627">
        <v>0.112</v>
      </c>
    </row>
    <row r="270" spans="1:7" ht="18.75" x14ac:dyDescent="0.25">
      <c r="A270" s="632" t="s">
        <v>3058</v>
      </c>
      <c r="B270" s="627">
        <v>266</v>
      </c>
      <c r="C270" s="628" t="str">
        <f t="shared" si="6"/>
        <v>Ô tô tự đổ 7 tấn266</v>
      </c>
      <c r="D270" s="627">
        <v>0.189</v>
      </c>
      <c r="E270" s="627">
        <v>0.19800000000000001</v>
      </c>
      <c r="F270" s="627">
        <v>0.12</v>
      </c>
      <c r="G270" s="627">
        <v>0.112</v>
      </c>
    </row>
    <row r="271" spans="1:7" ht="18.75" x14ac:dyDescent="0.25">
      <c r="A271" s="632" t="s">
        <v>3058</v>
      </c>
      <c r="B271" s="627">
        <v>267</v>
      </c>
      <c r="C271" s="628" t="str">
        <f t="shared" si="6"/>
        <v>Ô tô tự đổ 7 tấn267</v>
      </c>
      <c r="D271" s="627">
        <v>0.189</v>
      </c>
      <c r="E271" s="627">
        <v>0.19800000000000001</v>
      </c>
      <c r="F271" s="627">
        <v>0.12</v>
      </c>
      <c r="G271" s="627">
        <v>0.112</v>
      </c>
    </row>
    <row r="272" spans="1:7" ht="18.75" x14ac:dyDescent="0.25">
      <c r="A272" s="632" t="s">
        <v>3058</v>
      </c>
      <c r="B272" s="627">
        <v>268</v>
      </c>
      <c r="C272" s="628" t="str">
        <f t="shared" si="6"/>
        <v>Ô tô tự đổ 7 tấn268</v>
      </c>
      <c r="D272" s="627">
        <v>0.189</v>
      </c>
      <c r="E272" s="627">
        <v>0.19800000000000001</v>
      </c>
      <c r="F272" s="627">
        <v>0.12</v>
      </c>
      <c r="G272" s="627">
        <v>0.112</v>
      </c>
    </row>
    <row r="273" spans="1:7" ht="18.75" x14ac:dyDescent="0.25">
      <c r="A273" s="632" t="s">
        <v>3058</v>
      </c>
      <c r="B273" s="627">
        <v>269</v>
      </c>
      <c r="C273" s="628" t="str">
        <f t="shared" si="6"/>
        <v>Ô tô tự đổ 7 tấn269</v>
      </c>
      <c r="D273" s="627">
        <v>0.189</v>
      </c>
      <c r="E273" s="627">
        <v>0.19800000000000001</v>
      </c>
      <c r="F273" s="627">
        <v>0.12</v>
      </c>
      <c r="G273" s="627">
        <v>0.112</v>
      </c>
    </row>
    <row r="274" spans="1:7" ht="18.75" x14ac:dyDescent="0.25">
      <c r="A274" s="632" t="s">
        <v>3058</v>
      </c>
      <c r="B274" s="627">
        <v>270</v>
      </c>
      <c r="C274" s="628" t="str">
        <f t="shared" si="6"/>
        <v>Ô tô tự đổ 7 tấn270</v>
      </c>
      <c r="D274" s="627">
        <v>0.189</v>
      </c>
      <c r="E274" s="627">
        <v>0.19800000000000001</v>
      </c>
      <c r="F274" s="627">
        <v>0.12</v>
      </c>
      <c r="G274" s="627">
        <v>0.112</v>
      </c>
    </row>
    <row r="275" spans="1:7" ht="18.75" x14ac:dyDescent="0.25">
      <c r="A275" s="632" t="s">
        <v>3058</v>
      </c>
      <c r="B275" s="627">
        <v>271</v>
      </c>
      <c r="C275" s="628" t="str">
        <f t="shared" si="6"/>
        <v>Ô tô tự đổ 7 tấn271</v>
      </c>
      <c r="D275" s="627">
        <v>0.189</v>
      </c>
      <c r="E275" s="627">
        <v>0.19800000000000001</v>
      </c>
      <c r="F275" s="627">
        <v>0.12</v>
      </c>
      <c r="G275" s="627">
        <v>0.112</v>
      </c>
    </row>
    <row r="276" spans="1:7" ht="18.75" x14ac:dyDescent="0.25">
      <c r="A276" s="632" t="s">
        <v>3058</v>
      </c>
      <c r="B276" s="627">
        <v>272</v>
      </c>
      <c r="C276" s="628" t="str">
        <f t="shared" si="6"/>
        <v>Ô tô tự đổ 7 tấn272</v>
      </c>
      <c r="D276" s="627">
        <v>0.189</v>
      </c>
      <c r="E276" s="627">
        <v>0.19800000000000001</v>
      </c>
      <c r="F276" s="627">
        <v>0.12</v>
      </c>
      <c r="G276" s="627">
        <v>0.112</v>
      </c>
    </row>
    <row r="277" spans="1:7" ht="18.75" x14ac:dyDescent="0.25">
      <c r="A277" s="632" t="s">
        <v>3058</v>
      </c>
      <c r="B277" s="627">
        <v>273</v>
      </c>
      <c r="C277" s="628" t="str">
        <f t="shared" si="6"/>
        <v>Ô tô tự đổ 7 tấn273</v>
      </c>
      <c r="D277" s="627">
        <v>0.189</v>
      </c>
      <c r="E277" s="627">
        <v>0.19800000000000001</v>
      </c>
      <c r="F277" s="627">
        <v>0.12</v>
      </c>
      <c r="G277" s="627">
        <v>0.112</v>
      </c>
    </row>
    <row r="278" spans="1:7" ht="18.75" x14ac:dyDescent="0.25">
      <c r="A278" s="632" t="s">
        <v>3058</v>
      </c>
      <c r="B278" s="627">
        <v>274</v>
      </c>
      <c r="C278" s="628" t="str">
        <f t="shared" si="6"/>
        <v>Ô tô tự đổ 7 tấn274</v>
      </c>
      <c r="D278" s="627">
        <v>0.189</v>
      </c>
      <c r="E278" s="627">
        <v>0.19800000000000001</v>
      </c>
      <c r="F278" s="627">
        <v>0.12</v>
      </c>
      <c r="G278" s="627">
        <v>0.112</v>
      </c>
    </row>
    <row r="279" spans="1:7" ht="18.75" x14ac:dyDescent="0.25">
      <c r="A279" s="632" t="s">
        <v>3058</v>
      </c>
      <c r="B279" s="627">
        <v>275</v>
      </c>
      <c r="C279" s="628" t="str">
        <f t="shared" si="6"/>
        <v>Ô tô tự đổ 7 tấn275</v>
      </c>
      <c r="D279" s="627">
        <v>0.189</v>
      </c>
      <c r="E279" s="627">
        <v>0.19800000000000001</v>
      </c>
      <c r="F279" s="627">
        <v>0.12</v>
      </c>
      <c r="G279" s="627">
        <v>0.112</v>
      </c>
    </row>
    <row r="280" spans="1:7" ht="18.75" x14ac:dyDescent="0.25">
      <c r="A280" s="632" t="s">
        <v>3058</v>
      </c>
      <c r="B280" s="627">
        <v>276</v>
      </c>
      <c r="C280" s="628" t="str">
        <f t="shared" si="6"/>
        <v>Ô tô tự đổ 7 tấn276</v>
      </c>
      <c r="D280" s="627">
        <v>0.189</v>
      </c>
      <c r="E280" s="627">
        <v>0.19800000000000001</v>
      </c>
      <c r="F280" s="627">
        <v>0.12</v>
      </c>
      <c r="G280" s="627">
        <v>0.112</v>
      </c>
    </row>
    <row r="281" spans="1:7" ht="18.75" x14ac:dyDescent="0.25">
      <c r="A281" s="632" t="s">
        <v>3058</v>
      </c>
      <c r="B281" s="627">
        <v>277</v>
      </c>
      <c r="C281" s="628" t="str">
        <f t="shared" si="6"/>
        <v>Ô tô tự đổ 7 tấn277</v>
      </c>
      <c r="D281" s="627">
        <v>0.189</v>
      </c>
      <c r="E281" s="627">
        <v>0.19800000000000001</v>
      </c>
      <c r="F281" s="627">
        <v>0.12</v>
      </c>
      <c r="G281" s="627">
        <v>0.112</v>
      </c>
    </row>
    <row r="282" spans="1:7" ht="18.75" x14ac:dyDescent="0.25">
      <c r="A282" s="632" t="s">
        <v>3058</v>
      </c>
      <c r="B282" s="627">
        <v>278</v>
      </c>
      <c r="C282" s="628" t="str">
        <f t="shared" si="6"/>
        <v>Ô tô tự đổ 7 tấn278</v>
      </c>
      <c r="D282" s="627">
        <v>0.189</v>
      </c>
      <c r="E282" s="627">
        <v>0.19800000000000001</v>
      </c>
      <c r="F282" s="627">
        <v>0.12</v>
      </c>
      <c r="G282" s="627">
        <v>0.112</v>
      </c>
    </row>
    <row r="283" spans="1:7" ht="18.75" x14ac:dyDescent="0.25">
      <c r="A283" s="632" t="s">
        <v>3058</v>
      </c>
      <c r="B283" s="627">
        <v>279</v>
      </c>
      <c r="C283" s="628" t="str">
        <f t="shared" si="6"/>
        <v>Ô tô tự đổ 7 tấn279</v>
      </c>
      <c r="D283" s="627">
        <v>0.189</v>
      </c>
      <c r="E283" s="627">
        <v>0.19800000000000001</v>
      </c>
      <c r="F283" s="627">
        <v>0.12</v>
      </c>
      <c r="G283" s="627">
        <v>0.112</v>
      </c>
    </row>
    <row r="284" spans="1:7" ht="18.75" x14ac:dyDescent="0.25">
      <c r="A284" s="632" t="s">
        <v>3058</v>
      </c>
      <c r="B284" s="627">
        <v>280</v>
      </c>
      <c r="C284" s="628" t="str">
        <f t="shared" si="6"/>
        <v>Ô tô tự đổ 7 tấn280</v>
      </c>
      <c r="D284" s="627">
        <v>0.189</v>
      </c>
      <c r="E284" s="627">
        <v>0.19800000000000001</v>
      </c>
      <c r="F284" s="627">
        <v>0.12</v>
      </c>
      <c r="G284" s="627">
        <v>0.112</v>
      </c>
    </row>
    <row r="285" spans="1:7" ht="18.75" x14ac:dyDescent="0.25">
      <c r="A285" s="632" t="s">
        <v>3058</v>
      </c>
      <c r="B285" s="627">
        <v>281</v>
      </c>
      <c r="C285" s="628" t="str">
        <f t="shared" si="6"/>
        <v>Ô tô tự đổ 7 tấn281</v>
      </c>
      <c r="D285" s="627">
        <v>0.189</v>
      </c>
      <c r="E285" s="627">
        <v>0.19800000000000001</v>
      </c>
      <c r="F285" s="627">
        <v>0.12</v>
      </c>
      <c r="G285" s="627">
        <v>0.112</v>
      </c>
    </row>
    <row r="286" spans="1:7" ht="18.75" x14ac:dyDescent="0.25">
      <c r="A286" s="632" t="s">
        <v>3058</v>
      </c>
      <c r="B286" s="627">
        <v>282</v>
      </c>
      <c r="C286" s="628" t="str">
        <f t="shared" si="6"/>
        <v>Ô tô tự đổ 7 tấn282</v>
      </c>
      <c r="D286" s="627">
        <v>0.189</v>
      </c>
      <c r="E286" s="627">
        <v>0.19800000000000001</v>
      </c>
      <c r="F286" s="627">
        <v>0.12</v>
      </c>
      <c r="G286" s="627">
        <v>0.112</v>
      </c>
    </row>
    <row r="287" spans="1:7" ht="18.75" x14ac:dyDescent="0.25">
      <c r="A287" s="632" t="s">
        <v>3058</v>
      </c>
      <c r="B287" s="627">
        <v>283</v>
      </c>
      <c r="C287" s="628" t="str">
        <f t="shared" si="6"/>
        <v>Ô tô tự đổ 7 tấn283</v>
      </c>
      <c r="D287" s="627">
        <v>0.189</v>
      </c>
      <c r="E287" s="627">
        <v>0.19800000000000001</v>
      </c>
      <c r="F287" s="627">
        <v>0.12</v>
      </c>
      <c r="G287" s="627">
        <v>0.112</v>
      </c>
    </row>
    <row r="288" spans="1:7" ht="18.75" x14ac:dyDescent="0.25">
      <c r="A288" s="632" t="s">
        <v>3058</v>
      </c>
      <c r="B288" s="627">
        <v>284</v>
      </c>
      <c r="C288" s="628" t="str">
        <f t="shared" si="6"/>
        <v>Ô tô tự đổ 7 tấn284</v>
      </c>
      <c r="D288" s="627">
        <v>0.189</v>
      </c>
      <c r="E288" s="627">
        <v>0.19800000000000001</v>
      </c>
      <c r="F288" s="627">
        <v>0.12</v>
      </c>
      <c r="G288" s="627">
        <v>0.112</v>
      </c>
    </row>
    <row r="289" spans="1:7" ht="18.75" x14ac:dyDescent="0.25">
      <c r="A289" s="632" t="s">
        <v>3058</v>
      </c>
      <c r="B289" s="627">
        <v>285</v>
      </c>
      <c r="C289" s="628" t="str">
        <f t="shared" si="6"/>
        <v>Ô tô tự đổ 7 tấn285</v>
      </c>
      <c r="D289" s="627">
        <v>0.189</v>
      </c>
      <c r="E289" s="627">
        <v>0.19800000000000001</v>
      </c>
      <c r="F289" s="627">
        <v>0.12</v>
      </c>
      <c r="G289" s="627">
        <v>0.112</v>
      </c>
    </row>
    <row r="290" spans="1:7" ht="18.75" x14ac:dyDescent="0.25">
      <c r="A290" s="632" t="s">
        <v>3058</v>
      </c>
      <c r="B290" s="627">
        <v>286</v>
      </c>
      <c r="C290" s="628" t="str">
        <f t="shared" si="6"/>
        <v>Ô tô tự đổ 7 tấn286</v>
      </c>
      <c r="D290" s="627">
        <v>0.189</v>
      </c>
      <c r="E290" s="627">
        <v>0.19800000000000001</v>
      </c>
      <c r="F290" s="627">
        <v>0.12</v>
      </c>
      <c r="G290" s="627">
        <v>0.112</v>
      </c>
    </row>
    <row r="291" spans="1:7" ht="18.75" x14ac:dyDescent="0.25">
      <c r="A291" s="632" t="s">
        <v>3058</v>
      </c>
      <c r="B291" s="627">
        <v>287</v>
      </c>
      <c r="C291" s="628" t="str">
        <f t="shared" si="6"/>
        <v>Ô tô tự đổ 7 tấn287</v>
      </c>
      <c r="D291" s="627">
        <v>0.189</v>
      </c>
      <c r="E291" s="627">
        <v>0.19800000000000001</v>
      </c>
      <c r="F291" s="627">
        <v>0.12</v>
      </c>
      <c r="G291" s="627">
        <v>0.112</v>
      </c>
    </row>
    <row r="292" spans="1:7" ht="18.75" x14ac:dyDescent="0.25">
      <c r="A292" s="632" t="s">
        <v>3058</v>
      </c>
      <c r="B292" s="627">
        <v>288</v>
      </c>
      <c r="C292" s="628" t="str">
        <f t="shared" si="6"/>
        <v>Ô tô tự đổ 7 tấn288</v>
      </c>
      <c r="D292" s="627">
        <v>0.189</v>
      </c>
      <c r="E292" s="627">
        <v>0.19800000000000001</v>
      </c>
      <c r="F292" s="627">
        <v>0.12</v>
      </c>
      <c r="G292" s="627">
        <v>0.112</v>
      </c>
    </row>
    <row r="293" spans="1:7" ht="18.75" x14ac:dyDescent="0.25">
      <c r="A293" s="632" t="s">
        <v>3058</v>
      </c>
      <c r="B293" s="627">
        <v>289</v>
      </c>
      <c r="C293" s="628" t="str">
        <f t="shared" si="6"/>
        <v>Ô tô tự đổ 7 tấn289</v>
      </c>
      <c r="D293" s="627">
        <v>0.189</v>
      </c>
      <c r="E293" s="627">
        <v>0.19800000000000001</v>
      </c>
      <c r="F293" s="627">
        <v>0.12</v>
      </c>
      <c r="G293" s="627">
        <v>0.112</v>
      </c>
    </row>
    <row r="294" spans="1:7" ht="18.75" x14ac:dyDescent="0.25">
      <c r="A294" s="632" t="s">
        <v>3058</v>
      </c>
      <c r="B294" s="627">
        <v>290</v>
      </c>
      <c r="C294" s="628" t="str">
        <f t="shared" si="6"/>
        <v>Ô tô tự đổ 7 tấn290</v>
      </c>
      <c r="D294" s="627">
        <v>0.189</v>
      </c>
      <c r="E294" s="627">
        <v>0.19800000000000001</v>
      </c>
      <c r="F294" s="627">
        <v>0.12</v>
      </c>
      <c r="G294" s="627">
        <v>0.112</v>
      </c>
    </row>
    <row r="295" spans="1:7" ht="18.75" x14ac:dyDescent="0.25">
      <c r="A295" s="632" t="s">
        <v>3058</v>
      </c>
      <c r="B295" s="627">
        <v>291</v>
      </c>
      <c r="C295" s="628" t="str">
        <f t="shared" si="6"/>
        <v>Ô tô tự đổ 7 tấn291</v>
      </c>
      <c r="D295" s="627">
        <v>0.189</v>
      </c>
      <c r="E295" s="627">
        <v>0.19800000000000001</v>
      </c>
      <c r="F295" s="627">
        <v>0.12</v>
      </c>
      <c r="G295" s="627">
        <v>0.112</v>
      </c>
    </row>
    <row r="296" spans="1:7" ht="18.75" x14ac:dyDescent="0.25">
      <c r="A296" s="632" t="s">
        <v>3058</v>
      </c>
      <c r="B296" s="627">
        <v>292</v>
      </c>
      <c r="C296" s="628" t="str">
        <f t="shared" si="6"/>
        <v>Ô tô tự đổ 7 tấn292</v>
      </c>
      <c r="D296" s="627">
        <v>0.189</v>
      </c>
      <c r="E296" s="627">
        <v>0.19800000000000001</v>
      </c>
      <c r="F296" s="627">
        <v>0.12</v>
      </c>
      <c r="G296" s="627">
        <v>0.112</v>
      </c>
    </row>
    <row r="297" spans="1:7" ht="18.75" x14ac:dyDescent="0.25">
      <c r="A297" s="632" t="s">
        <v>3058</v>
      </c>
      <c r="B297" s="627">
        <v>293</v>
      </c>
      <c r="C297" s="628" t="str">
        <f t="shared" ref="C297:C360" si="7">A297&amp;B297</f>
        <v>Ô tô tự đổ 7 tấn293</v>
      </c>
      <c r="D297" s="627">
        <v>0.189</v>
      </c>
      <c r="E297" s="627">
        <v>0.19800000000000001</v>
      </c>
      <c r="F297" s="627">
        <v>0.12</v>
      </c>
      <c r="G297" s="627">
        <v>0.112</v>
      </c>
    </row>
    <row r="298" spans="1:7" ht="18.75" x14ac:dyDescent="0.25">
      <c r="A298" s="632" t="s">
        <v>3058</v>
      </c>
      <c r="B298" s="627">
        <v>294</v>
      </c>
      <c r="C298" s="628" t="str">
        <f t="shared" si="7"/>
        <v>Ô tô tự đổ 7 tấn294</v>
      </c>
      <c r="D298" s="627">
        <v>0.189</v>
      </c>
      <c r="E298" s="627">
        <v>0.19800000000000001</v>
      </c>
      <c r="F298" s="627">
        <v>0.12</v>
      </c>
      <c r="G298" s="627">
        <v>0.112</v>
      </c>
    </row>
    <row r="299" spans="1:7" ht="18.75" x14ac:dyDescent="0.25">
      <c r="A299" s="632" t="s">
        <v>3058</v>
      </c>
      <c r="B299" s="627">
        <v>295</v>
      </c>
      <c r="C299" s="628" t="str">
        <f t="shared" si="7"/>
        <v>Ô tô tự đổ 7 tấn295</v>
      </c>
      <c r="D299" s="627">
        <v>0.189</v>
      </c>
      <c r="E299" s="627">
        <v>0.19800000000000001</v>
      </c>
      <c r="F299" s="627">
        <v>0.12</v>
      </c>
      <c r="G299" s="627">
        <v>0.112</v>
      </c>
    </row>
    <row r="300" spans="1:7" ht="18.75" x14ac:dyDescent="0.25">
      <c r="A300" s="632" t="s">
        <v>3058</v>
      </c>
      <c r="B300" s="627">
        <v>296</v>
      </c>
      <c r="C300" s="628" t="str">
        <f t="shared" si="7"/>
        <v>Ô tô tự đổ 7 tấn296</v>
      </c>
      <c r="D300" s="627">
        <v>0.189</v>
      </c>
      <c r="E300" s="627">
        <v>0.19800000000000001</v>
      </c>
      <c r="F300" s="627">
        <v>0.12</v>
      </c>
      <c r="G300" s="627">
        <v>0.112</v>
      </c>
    </row>
    <row r="301" spans="1:7" ht="18.75" x14ac:dyDescent="0.25">
      <c r="A301" s="632" t="s">
        <v>3058</v>
      </c>
      <c r="B301" s="627">
        <v>297</v>
      </c>
      <c r="C301" s="628" t="str">
        <f t="shared" si="7"/>
        <v>Ô tô tự đổ 7 tấn297</v>
      </c>
      <c r="D301" s="627">
        <v>0.189</v>
      </c>
      <c r="E301" s="627">
        <v>0.19800000000000001</v>
      </c>
      <c r="F301" s="627">
        <v>0.12</v>
      </c>
      <c r="G301" s="627">
        <v>0.112</v>
      </c>
    </row>
    <row r="302" spans="1:7" ht="18.75" x14ac:dyDescent="0.25">
      <c r="A302" s="632" t="s">
        <v>3058</v>
      </c>
      <c r="B302" s="627">
        <v>298</v>
      </c>
      <c r="C302" s="628" t="str">
        <f t="shared" si="7"/>
        <v>Ô tô tự đổ 7 tấn298</v>
      </c>
      <c r="D302" s="627">
        <v>0.189</v>
      </c>
      <c r="E302" s="627">
        <v>0.19800000000000001</v>
      </c>
      <c r="F302" s="627">
        <v>0.12</v>
      </c>
      <c r="G302" s="627">
        <v>0.112</v>
      </c>
    </row>
    <row r="303" spans="1:7" ht="18.75" x14ac:dyDescent="0.25">
      <c r="A303" s="632" t="s">
        <v>3058</v>
      </c>
      <c r="B303" s="627">
        <v>299</v>
      </c>
      <c r="C303" s="628" t="str">
        <f t="shared" si="7"/>
        <v>Ô tô tự đổ 7 tấn299</v>
      </c>
      <c r="D303" s="627">
        <v>0.189</v>
      </c>
      <c r="E303" s="627">
        <v>0.19800000000000001</v>
      </c>
      <c r="F303" s="627">
        <v>0.12</v>
      </c>
      <c r="G303" s="627">
        <v>0.112</v>
      </c>
    </row>
    <row r="304" spans="1:7" ht="18.75" x14ac:dyDescent="0.25">
      <c r="A304" s="632" t="s">
        <v>3058</v>
      </c>
      <c r="B304" s="627">
        <v>300</v>
      </c>
      <c r="C304" s="628" t="str">
        <f t="shared" si="7"/>
        <v>Ô tô tự đổ 7 tấn300</v>
      </c>
      <c r="D304" s="627">
        <v>0.189</v>
      </c>
      <c r="E304" s="627">
        <v>0.19800000000000001</v>
      </c>
      <c r="F304" s="627">
        <v>0.12</v>
      </c>
      <c r="G304" s="627">
        <v>0.112</v>
      </c>
    </row>
    <row r="305" spans="1:7" ht="18.75" x14ac:dyDescent="0.25">
      <c r="A305" s="632" t="s">
        <v>3058</v>
      </c>
      <c r="B305" s="627">
        <v>301</v>
      </c>
      <c r="C305" s="628" t="str">
        <f t="shared" si="7"/>
        <v>Ô tô tự đổ 7 tấn301</v>
      </c>
      <c r="D305" s="627">
        <v>0.189</v>
      </c>
      <c r="E305" s="627">
        <v>0.19800000000000001</v>
      </c>
      <c r="F305" s="627">
        <v>0.12</v>
      </c>
      <c r="G305" s="627">
        <v>0.112</v>
      </c>
    </row>
    <row r="306" spans="1:7" ht="18.75" x14ac:dyDescent="0.25">
      <c r="A306" s="632" t="s">
        <v>3058</v>
      </c>
      <c r="B306" s="627">
        <v>302</v>
      </c>
      <c r="C306" s="628" t="str">
        <f t="shared" si="7"/>
        <v>Ô tô tự đổ 7 tấn302</v>
      </c>
      <c r="D306" s="627">
        <v>0.189</v>
      </c>
      <c r="E306" s="627">
        <v>0.19800000000000001</v>
      </c>
      <c r="F306" s="627">
        <v>0.12</v>
      </c>
      <c r="G306" s="627">
        <v>0.112</v>
      </c>
    </row>
    <row r="307" spans="1:7" ht="18.75" x14ac:dyDescent="0.25">
      <c r="A307" s="632" t="s">
        <v>3058</v>
      </c>
      <c r="B307" s="627">
        <v>303</v>
      </c>
      <c r="C307" s="628" t="str">
        <f t="shared" si="7"/>
        <v>Ô tô tự đổ 7 tấn303</v>
      </c>
      <c r="D307" s="627">
        <v>0.189</v>
      </c>
      <c r="E307" s="627">
        <v>0.19800000000000001</v>
      </c>
      <c r="F307" s="627">
        <v>0.12</v>
      </c>
      <c r="G307" s="627">
        <v>0.112</v>
      </c>
    </row>
    <row r="308" spans="1:7" ht="18.75" x14ac:dyDescent="0.25">
      <c r="A308" s="632" t="s">
        <v>3058</v>
      </c>
      <c r="B308" s="627">
        <v>304</v>
      </c>
      <c r="C308" s="628" t="str">
        <f t="shared" si="7"/>
        <v>Ô tô tự đổ 7 tấn304</v>
      </c>
      <c r="D308" s="627">
        <v>0.189</v>
      </c>
      <c r="E308" s="627">
        <v>0.19800000000000001</v>
      </c>
      <c r="F308" s="627">
        <v>0.12</v>
      </c>
      <c r="G308" s="627">
        <v>0.112</v>
      </c>
    </row>
    <row r="309" spans="1:7" ht="18.75" x14ac:dyDescent="0.25">
      <c r="A309" s="632" t="s">
        <v>3058</v>
      </c>
      <c r="B309" s="627">
        <v>305</v>
      </c>
      <c r="C309" s="628" t="str">
        <f t="shared" si="7"/>
        <v>Ô tô tự đổ 7 tấn305</v>
      </c>
      <c r="D309" s="627">
        <v>0.189</v>
      </c>
      <c r="E309" s="627">
        <v>0.19800000000000001</v>
      </c>
      <c r="F309" s="627">
        <v>0.12</v>
      </c>
      <c r="G309" s="627">
        <v>0.112</v>
      </c>
    </row>
    <row r="310" spans="1:7" ht="18.75" x14ac:dyDescent="0.25">
      <c r="A310" s="632" t="s">
        <v>3058</v>
      </c>
      <c r="B310" s="627">
        <v>306</v>
      </c>
      <c r="C310" s="628" t="str">
        <f t="shared" si="7"/>
        <v>Ô tô tự đổ 7 tấn306</v>
      </c>
      <c r="D310" s="627">
        <v>0.189</v>
      </c>
      <c r="E310" s="627">
        <v>0.19800000000000001</v>
      </c>
      <c r="F310" s="627">
        <v>0.12</v>
      </c>
      <c r="G310" s="627">
        <v>0.112</v>
      </c>
    </row>
    <row r="311" spans="1:7" ht="18.75" x14ac:dyDescent="0.25">
      <c r="A311" s="632" t="s">
        <v>3058</v>
      </c>
      <c r="B311" s="627">
        <v>307</v>
      </c>
      <c r="C311" s="628" t="str">
        <f t="shared" si="7"/>
        <v>Ô tô tự đổ 7 tấn307</v>
      </c>
      <c r="D311" s="627">
        <v>0.189</v>
      </c>
      <c r="E311" s="627">
        <v>0.19800000000000001</v>
      </c>
      <c r="F311" s="627">
        <v>0.12</v>
      </c>
      <c r="G311" s="627">
        <v>0.112</v>
      </c>
    </row>
    <row r="312" spans="1:7" ht="18.75" x14ac:dyDescent="0.25">
      <c r="A312" s="632" t="s">
        <v>3058</v>
      </c>
      <c r="B312" s="627">
        <v>308</v>
      </c>
      <c r="C312" s="628" t="str">
        <f t="shared" si="7"/>
        <v>Ô tô tự đổ 7 tấn308</v>
      </c>
      <c r="D312" s="627">
        <v>0.189</v>
      </c>
      <c r="E312" s="627">
        <v>0.19800000000000001</v>
      </c>
      <c r="F312" s="627">
        <v>0.12</v>
      </c>
      <c r="G312" s="627">
        <v>0.112</v>
      </c>
    </row>
    <row r="313" spans="1:7" ht="18.75" x14ac:dyDescent="0.25">
      <c r="A313" s="632" t="s">
        <v>3058</v>
      </c>
      <c r="B313" s="627">
        <v>309</v>
      </c>
      <c r="C313" s="628" t="str">
        <f t="shared" si="7"/>
        <v>Ô tô tự đổ 7 tấn309</v>
      </c>
      <c r="D313" s="627">
        <v>0.189</v>
      </c>
      <c r="E313" s="627">
        <v>0.19800000000000001</v>
      </c>
      <c r="F313" s="627">
        <v>0.12</v>
      </c>
      <c r="G313" s="627">
        <v>0.112</v>
      </c>
    </row>
    <row r="314" spans="1:7" ht="18.75" x14ac:dyDescent="0.25">
      <c r="A314" s="632" t="s">
        <v>3058</v>
      </c>
      <c r="B314" s="627">
        <v>310</v>
      </c>
      <c r="C314" s="628" t="str">
        <f t="shared" si="7"/>
        <v>Ô tô tự đổ 7 tấn310</v>
      </c>
      <c r="D314" s="627">
        <v>0.189</v>
      </c>
      <c r="E314" s="627">
        <v>0.19800000000000001</v>
      </c>
      <c r="F314" s="627">
        <v>0.12</v>
      </c>
      <c r="G314" s="627">
        <v>0.112</v>
      </c>
    </row>
    <row r="315" spans="1:7" ht="18.75" x14ac:dyDescent="0.25">
      <c r="A315" s="632" t="s">
        <v>3058</v>
      </c>
      <c r="B315" s="627">
        <v>311</v>
      </c>
      <c r="C315" s="628" t="str">
        <f t="shared" si="7"/>
        <v>Ô tô tự đổ 7 tấn311</v>
      </c>
      <c r="D315" s="627">
        <v>0.189</v>
      </c>
      <c r="E315" s="627">
        <v>0.19800000000000001</v>
      </c>
      <c r="F315" s="627">
        <v>0.12</v>
      </c>
      <c r="G315" s="627">
        <v>0.112</v>
      </c>
    </row>
    <row r="316" spans="1:7" ht="18.75" x14ac:dyDescent="0.25">
      <c r="A316" s="632" t="s">
        <v>3058</v>
      </c>
      <c r="B316" s="627">
        <v>312</v>
      </c>
      <c r="C316" s="628" t="str">
        <f t="shared" si="7"/>
        <v>Ô tô tự đổ 7 tấn312</v>
      </c>
      <c r="D316" s="627">
        <v>0.189</v>
      </c>
      <c r="E316" s="627">
        <v>0.19800000000000001</v>
      </c>
      <c r="F316" s="627">
        <v>0.12</v>
      </c>
      <c r="G316" s="627">
        <v>0.112</v>
      </c>
    </row>
    <row r="317" spans="1:7" ht="18.75" x14ac:dyDescent="0.25">
      <c r="A317" s="632" t="s">
        <v>3058</v>
      </c>
      <c r="B317" s="627">
        <v>313</v>
      </c>
      <c r="C317" s="628" t="str">
        <f t="shared" si="7"/>
        <v>Ô tô tự đổ 7 tấn313</v>
      </c>
      <c r="D317" s="627">
        <v>0.189</v>
      </c>
      <c r="E317" s="627">
        <v>0.19800000000000001</v>
      </c>
      <c r="F317" s="627">
        <v>0.12</v>
      </c>
      <c r="G317" s="627">
        <v>0.112</v>
      </c>
    </row>
    <row r="318" spans="1:7" ht="18.75" x14ac:dyDescent="0.25">
      <c r="A318" s="632" t="s">
        <v>3058</v>
      </c>
      <c r="B318" s="627">
        <v>314</v>
      </c>
      <c r="C318" s="628" t="str">
        <f t="shared" si="7"/>
        <v>Ô tô tự đổ 7 tấn314</v>
      </c>
      <c r="D318" s="627">
        <v>0.189</v>
      </c>
      <c r="E318" s="627">
        <v>0.19800000000000001</v>
      </c>
      <c r="F318" s="627">
        <v>0.12</v>
      </c>
      <c r="G318" s="627">
        <v>0.112</v>
      </c>
    </row>
    <row r="319" spans="1:7" ht="18.75" x14ac:dyDescent="0.25">
      <c r="A319" s="632" t="s">
        <v>3058</v>
      </c>
      <c r="B319" s="627">
        <v>315</v>
      </c>
      <c r="C319" s="628" t="str">
        <f t="shared" si="7"/>
        <v>Ô tô tự đổ 7 tấn315</v>
      </c>
      <c r="D319" s="627">
        <v>0.189</v>
      </c>
      <c r="E319" s="627">
        <v>0.19800000000000001</v>
      </c>
      <c r="F319" s="627">
        <v>0.12</v>
      </c>
      <c r="G319" s="627">
        <v>0.112</v>
      </c>
    </row>
    <row r="320" spans="1:7" ht="18.75" x14ac:dyDescent="0.25">
      <c r="A320" s="632" t="s">
        <v>3058</v>
      </c>
      <c r="B320" s="627">
        <v>316</v>
      </c>
      <c r="C320" s="628" t="str">
        <f t="shared" si="7"/>
        <v>Ô tô tự đổ 7 tấn316</v>
      </c>
      <c r="D320" s="627">
        <v>0.189</v>
      </c>
      <c r="E320" s="627">
        <v>0.19800000000000001</v>
      </c>
      <c r="F320" s="627">
        <v>0.12</v>
      </c>
      <c r="G320" s="627">
        <v>0.112</v>
      </c>
    </row>
    <row r="321" spans="1:7" ht="18.75" x14ac:dyDescent="0.25">
      <c r="A321" s="632" t="s">
        <v>3058</v>
      </c>
      <c r="B321" s="627">
        <v>317</v>
      </c>
      <c r="C321" s="628" t="str">
        <f t="shared" si="7"/>
        <v>Ô tô tự đổ 7 tấn317</v>
      </c>
      <c r="D321" s="627">
        <v>0.189</v>
      </c>
      <c r="E321" s="627">
        <v>0.19800000000000001</v>
      </c>
      <c r="F321" s="627">
        <v>0.12</v>
      </c>
      <c r="G321" s="627">
        <v>0.112</v>
      </c>
    </row>
    <row r="322" spans="1:7" ht="18.75" x14ac:dyDescent="0.25">
      <c r="A322" s="632" t="s">
        <v>3058</v>
      </c>
      <c r="B322" s="627">
        <v>318</v>
      </c>
      <c r="C322" s="628" t="str">
        <f t="shared" si="7"/>
        <v>Ô tô tự đổ 7 tấn318</v>
      </c>
      <c r="D322" s="627">
        <v>0.189</v>
      </c>
      <c r="E322" s="627">
        <v>0.19800000000000001</v>
      </c>
      <c r="F322" s="627">
        <v>0.12</v>
      </c>
      <c r="G322" s="627">
        <v>0.112</v>
      </c>
    </row>
    <row r="323" spans="1:7" ht="18.75" x14ac:dyDescent="0.25">
      <c r="A323" s="632" t="s">
        <v>3058</v>
      </c>
      <c r="B323" s="627">
        <v>319</v>
      </c>
      <c r="C323" s="628" t="str">
        <f t="shared" si="7"/>
        <v>Ô tô tự đổ 7 tấn319</v>
      </c>
      <c r="D323" s="627">
        <v>0.189</v>
      </c>
      <c r="E323" s="627">
        <v>0.19800000000000001</v>
      </c>
      <c r="F323" s="627">
        <v>0.12</v>
      </c>
      <c r="G323" s="627">
        <v>0.112</v>
      </c>
    </row>
    <row r="324" spans="1:7" ht="18.75" x14ac:dyDescent="0.25">
      <c r="A324" s="632" t="s">
        <v>3058</v>
      </c>
      <c r="B324" s="627">
        <v>320</v>
      </c>
      <c r="C324" s="628" t="str">
        <f t="shared" si="7"/>
        <v>Ô tô tự đổ 7 tấn320</v>
      </c>
      <c r="D324" s="627">
        <v>0.189</v>
      </c>
      <c r="E324" s="627">
        <v>0.19800000000000001</v>
      </c>
      <c r="F324" s="627">
        <v>0.12</v>
      </c>
      <c r="G324" s="627">
        <v>0.112</v>
      </c>
    </row>
    <row r="325" spans="1:7" ht="18.75" x14ac:dyDescent="0.25">
      <c r="A325" s="632" t="s">
        <v>3058</v>
      </c>
      <c r="B325" s="627">
        <v>321</v>
      </c>
      <c r="C325" s="628" t="str">
        <f t="shared" si="7"/>
        <v>Ô tô tự đổ 7 tấn321</v>
      </c>
      <c r="D325" s="627">
        <v>0.189</v>
      </c>
      <c r="E325" s="627">
        <v>0.19800000000000001</v>
      </c>
      <c r="F325" s="627">
        <v>0.12</v>
      </c>
      <c r="G325" s="627">
        <v>0.112</v>
      </c>
    </row>
    <row r="326" spans="1:7" ht="18.75" x14ac:dyDescent="0.25">
      <c r="A326" s="632" t="s">
        <v>3058</v>
      </c>
      <c r="B326" s="627">
        <v>322</v>
      </c>
      <c r="C326" s="628" t="str">
        <f t="shared" si="7"/>
        <v>Ô tô tự đổ 7 tấn322</v>
      </c>
      <c r="D326" s="627">
        <v>0.189</v>
      </c>
      <c r="E326" s="627">
        <v>0.19800000000000001</v>
      </c>
      <c r="F326" s="627">
        <v>0.12</v>
      </c>
      <c r="G326" s="627">
        <v>0.112</v>
      </c>
    </row>
    <row r="327" spans="1:7" ht="18.75" x14ac:dyDescent="0.25">
      <c r="A327" s="632" t="s">
        <v>3058</v>
      </c>
      <c r="B327" s="627">
        <v>323</v>
      </c>
      <c r="C327" s="628" t="str">
        <f t="shared" si="7"/>
        <v>Ô tô tự đổ 7 tấn323</v>
      </c>
      <c r="D327" s="627">
        <v>0.189</v>
      </c>
      <c r="E327" s="627">
        <v>0.19800000000000001</v>
      </c>
      <c r="F327" s="627">
        <v>0.12</v>
      </c>
      <c r="G327" s="627">
        <v>0.112</v>
      </c>
    </row>
    <row r="328" spans="1:7" ht="18.75" x14ac:dyDescent="0.25">
      <c r="A328" s="632" t="s">
        <v>3058</v>
      </c>
      <c r="B328" s="627">
        <v>324</v>
      </c>
      <c r="C328" s="628" t="str">
        <f t="shared" si="7"/>
        <v>Ô tô tự đổ 7 tấn324</v>
      </c>
      <c r="D328" s="627">
        <v>0.189</v>
      </c>
      <c r="E328" s="627">
        <v>0.19800000000000001</v>
      </c>
      <c r="F328" s="627">
        <v>0.12</v>
      </c>
      <c r="G328" s="627">
        <v>0.112</v>
      </c>
    </row>
    <row r="329" spans="1:7" ht="18.75" x14ac:dyDescent="0.25">
      <c r="A329" s="632" t="s">
        <v>3058</v>
      </c>
      <c r="B329" s="627">
        <v>325</v>
      </c>
      <c r="C329" s="628" t="str">
        <f t="shared" si="7"/>
        <v>Ô tô tự đổ 7 tấn325</v>
      </c>
      <c r="D329" s="627">
        <v>0.189</v>
      </c>
      <c r="E329" s="627">
        <v>0.19800000000000001</v>
      </c>
      <c r="F329" s="627">
        <v>0.12</v>
      </c>
      <c r="G329" s="627">
        <v>0.112</v>
      </c>
    </row>
    <row r="330" spans="1:7" ht="18.75" x14ac:dyDescent="0.25">
      <c r="A330" s="632" t="s">
        <v>3058</v>
      </c>
      <c r="B330" s="627">
        <v>326</v>
      </c>
      <c r="C330" s="628" t="str">
        <f t="shared" si="7"/>
        <v>Ô tô tự đổ 7 tấn326</v>
      </c>
      <c r="D330" s="627">
        <v>0.189</v>
      </c>
      <c r="E330" s="627">
        <v>0.19800000000000001</v>
      </c>
      <c r="F330" s="627">
        <v>0.12</v>
      </c>
      <c r="G330" s="627">
        <v>0.112</v>
      </c>
    </row>
    <row r="331" spans="1:7" ht="18.75" x14ac:dyDescent="0.25">
      <c r="A331" s="632" t="s">
        <v>3058</v>
      </c>
      <c r="B331" s="627">
        <v>327</v>
      </c>
      <c r="C331" s="628" t="str">
        <f t="shared" si="7"/>
        <v>Ô tô tự đổ 7 tấn327</v>
      </c>
      <c r="D331" s="627">
        <v>0.189</v>
      </c>
      <c r="E331" s="627">
        <v>0.19800000000000001</v>
      </c>
      <c r="F331" s="627">
        <v>0.12</v>
      </c>
      <c r="G331" s="627">
        <v>0.112</v>
      </c>
    </row>
    <row r="332" spans="1:7" ht="18.75" x14ac:dyDescent="0.25">
      <c r="A332" s="632" t="s">
        <v>3058</v>
      </c>
      <c r="B332" s="627">
        <v>328</v>
      </c>
      <c r="C332" s="628" t="str">
        <f t="shared" si="7"/>
        <v>Ô tô tự đổ 7 tấn328</v>
      </c>
      <c r="D332" s="627">
        <v>0.189</v>
      </c>
      <c r="E332" s="627">
        <v>0.19800000000000001</v>
      </c>
      <c r="F332" s="627">
        <v>0.12</v>
      </c>
      <c r="G332" s="627">
        <v>0.112</v>
      </c>
    </row>
    <row r="333" spans="1:7" ht="18.75" x14ac:dyDescent="0.25">
      <c r="A333" s="632" t="s">
        <v>3058</v>
      </c>
      <c r="B333" s="627">
        <v>329</v>
      </c>
      <c r="C333" s="628" t="str">
        <f t="shared" si="7"/>
        <v>Ô tô tự đổ 7 tấn329</v>
      </c>
      <c r="D333" s="627">
        <v>0.189</v>
      </c>
      <c r="E333" s="627">
        <v>0.19800000000000001</v>
      </c>
      <c r="F333" s="627">
        <v>0.12</v>
      </c>
      <c r="G333" s="627">
        <v>0.112</v>
      </c>
    </row>
    <row r="334" spans="1:7" ht="18.75" x14ac:dyDescent="0.25">
      <c r="A334" s="632" t="s">
        <v>3058</v>
      </c>
      <c r="B334" s="627">
        <v>330</v>
      </c>
      <c r="C334" s="628" t="str">
        <f t="shared" si="7"/>
        <v>Ô tô tự đổ 7 tấn330</v>
      </c>
      <c r="D334" s="627">
        <v>0.189</v>
      </c>
      <c r="E334" s="627">
        <v>0.19800000000000001</v>
      </c>
      <c r="F334" s="627">
        <v>0.12</v>
      </c>
      <c r="G334" s="627">
        <v>0.112</v>
      </c>
    </row>
    <row r="335" spans="1:7" ht="18.75" x14ac:dyDescent="0.25">
      <c r="A335" s="632" t="s">
        <v>3058</v>
      </c>
      <c r="B335" s="627">
        <v>331</v>
      </c>
      <c r="C335" s="628" t="str">
        <f t="shared" si="7"/>
        <v>Ô tô tự đổ 7 tấn331</v>
      </c>
      <c r="D335" s="627">
        <v>0.189</v>
      </c>
      <c r="E335" s="627">
        <v>0.19800000000000001</v>
      </c>
      <c r="F335" s="627">
        <v>0.12</v>
      </c>
      <c r="G335" s="627">
        <v>0.112</v>
      </c>
    </row>
    <row r="336" spans="1:7" ht="18.75" x14ac:dyDescent="0.25">
      <c r="A336" s="632" t="s">
        <v>3058</v>
      </c>
      <c r="B336" s="627">
        <v>332</v>
      </c>
      <c r="C336" s="628" t="str">
        <f t="shared" si="7"/>
        <v>Ô tô tự đổ 7 tấn332</v>
      </c>
      <c r="D336" s="627">
        <v>0.189</v>
      </c>
      <c r="E336" s="627">
        <v>0.19800000000000001</v>
      </c>
      <c r="F336" s="627">
        <v>0.12</v>
      </c>
      <c r="G336" s="627">
        <v>0.112</v>
      </c>
    </row>
    <row r="337" spans="1:7" ht="18.75" x14ac:dyDescent="0.25">
      <c r="A337" s="632" t="s">
        <v>3058</v>
      </c>
      <c r="B337" s="627">
        <v>333</v>
      </c>
      <c r="C337" s="628" t="str">
        <f t="shared" si="7"/>
        <v>Ô tô tự đổ 7 tấn333</v>
      </c>
      <c r="D337" s="627">
        <v>0.189</v>
      </c>
      <c r="E337" s="627">
        <v>0.19800000000000001</v>
      </c>
      <c r="F337" s="627">
        <v>0.12</v>
      </c>
      <c r="G337" s="627">
        <v>0.112</v>
      </c>
    </row>
    <row r="338" spans="1:7" ht="18.75" x14ac:dyDescent="0.25">
      <c r="A338" s="632" t="s">
        <v>3058</v>
      </c>
      <c r="B338" s="627">
        <v>334</v>
      </c>
      <c r="C338" s="628" t="str">
        <f t="shared" si="7"/>
        <v>Ô tô tự đổ 7 tấn334</v>
      </c>
      <c r="D338" s="627">
        <v>0.189</v>
      </c>
      <c r="E338" s="627">
        <v>0.19800000000000001</v>
      </c>
      <c r="F338" s="627">
        <v>0.12</v>
      </c>
      <c r="G338" s="627">
        <v>0.112</v>
      </c>
    </row>
    <row r="339" spans="1:7" ht="18.75" x14ac:dyDescent="0.25">
      <c r="A339" s="632" t="s">
        <v>3058</v>
      </c>
      <c r="B339" s="627">
        <v>335</v>
      </c>
      <c r="C339" s="628" t="str">
        <f t="shared" si="7"/>
        <v>Ô tô tự đổ 7 tấn335</v>
      </c>
      <c r="D339" s="627">
        <v>0.189</v>
      </c>
      <c r="E339" s="627">
        <v>0.19800000000000001</v>
      </c>
      <c r="F339" s="627">
        <v>0.12</v>
      </c>
      <c r="G339" s="627">
        <v>0.112</v>
      </c>
    </row>
    <row r="340" spans="1:7" ht="18.75" x14ac:dyDescent="0.25">
      <c r="A340" s="632" t="s">
        <v>3058</v>
      </c>
      <c r="B340" s="627">
        <v>336</v>
      </c>
      <c r="C340" s="628" t="str">
        <f t="shared" si="7"/>
        <v>Ô tô tự đổ 7 tấn336</v>
      </c>
      <c r="D340" s="627">
        <v>0.189</v>
      </c>
      <c r="E340" s="627">
        <v>0.19800000000000001</v>
      </c>
      <c r="F340" s="627">
        <v>0.12</v>
      </c>
      <c r="G340" s="627">
        <v>0.112</v>
      </c>
    </row>
    <row r="341" spans="1:7" ht="18.75" x14ac:dyDescent="0.25">
      <c r="A341" s="632" t="s">
        <v>3058</v>
      </c>
      <c r="B341" s="627">
        <v>337</v>
      </c>
      <c r="C341" s="628" t="str">
        <f t="shared" si="7"/>
        <v>Ô tô tự đổ 7 tấn337</v>
      </c>
      <c r="D341" s="627">
        <v>0.189</v>
      </c>
      <c r="E341" s="627">
        <v>0.19800000000000001</v>
      </c>
      <c r="F341" s="627">
        <v>0.12</v>
      </c>
      <c r="G341" s="627">
        <v>0.112</v>
      </c>
    </row>
    <row r="342" spans="1:7" ht="18.75" x14ac:dyDescent="0.25">
      <c r="A342" s="632" t="s">
        <v>3058</v>
      </c>
      <c r="B342" s="627">
        <v>338</v>
      </c>
      <c r="C342" s="628" t="str">
        <f t="shared" si="7"/>
        <v>Ô tô tự đổ 7 tấn338</v>
      </c>
      <c r="D342" s="627">
        <v>0.189</v>
      </c>
      <c r="E342" s="627">
        <v>0.19800000000000001</v>
      </c>
      <c r="F342" s="627">
        <v>0.12</v>
      </c>
      <c r="G342" s="627">
        <v>0.112</v>
      </c>
    </row>
    <row r="343" spans="1:7" ht="18.75" x14ac:dyDescent="0.25">
      <c r="A343" s="632" t="s">
        <v>3058</v>
      </c>
      <c r="B343" s="627">
        <v>339</v>
      </c>
      <c r="C343" s="628" t="str">
        <f t="shared" si="7"/>
        <v>Ô tô tự đổ 7 tấn339</v>
      </c>
      <c r="D343" s="627">
        <v>0.189</v>
      </c>
      <c r="E343" s="627">
        <v>0.19800000000000001</v>
      </c>
      <c r="F343" s="627">
        <v>0.12</v>
      </c>
      <c r="G343" s="627">
        <v>0.112</v>
      </c>
    </row>
    <row r="344" spans="1:7" ht="18.75" x14ac:dyDescent="0.25">
      <c r="A344" s="632" t="s">
        <v>3058</v>
      </c>
      <c r="B344" s="627">
        <v>340</v>
      </c>
      <c r="C344" s="628" t="str">
        <f t="shared" si="7"/>
        <v>Ô tô tự đổ 7 tấn340</v>
      </c>
      <c r="D344" s="627">
        <v>0.189</v>
      </c>
      <c r="E344" s="627">
        <v>0.19800000000000001</v>
      </c>
      <c r="F344" s="627">
        <v>0.12</v>
      </c>
      <c r="G344" s="627">
        <v>0.112</v>
      </c>
    </row>
    <row r="345" spans="1:7" ht="18.75" x14ac:dyDescent="0.25">
      <c r="A345" s="632" t="s">
        <v>3058</v>
      </c>
      <c r="B345" s="627">
        <v>341</v>
      </c>
      <c r="C345" s="628" t="str">
        <f t="shared" si="7"/>
        <v>Ô tô tự đổ 7 tấn341</v>
      </c>
      <c r="D345" s="627">
        <v>0.189</v>
      </c>
      <c r="E345" s="627">
        <v>0.19800000000000001</v>
      </c>
      <c r="F345" s="627">
        <v>0.12</v>
      </c>
      <c r="G345" s="627">
        <v>0.112</v>
      </c>
    </row>
    <row r="346" spans="1:7" ht="18.75" x14ac:dyDescent="0.25">
      <c r="A346" s="632" t="s">
        <v>3058</v>
      </c>
      <c r="B346" s="627">
        <v>342</v>
      </c>
      <c r="C346" s="628" t="str">
        <f t="shared" si="7"/>
        <v>Ô tô tự đổ 7 tấn342</v>
      </c>
      <c r="D346" s="627">
        <v>0.189</v>
      </c>
      <c r="E346" s="627">
        <v>0.19800000000000001</v>
      </c>
      <c r="F346" s="627">
        <v>0.12</v>
      </c>
      <c r="G346" s="627">
        <v>0.112</v>
      </c>
    </row>
    <row r="347" spans="1:7" ht="18.75" x14ac:dyDescent="0.25">
      <c r="A347" s="632" t="s">
        <v>3058</v>
      </c>
      <c r="B347" s="627">
        <v>343</v>
      </c>
      <c r="C347" s="628" t="str">
        <f t="shared" si="7"/>
        <v>Ô tô tự đổ 7 tấn343</v>
      </c>
      <c r="D347" s="627">
        <v>0.189</v>
      </c>
      <c r="E347" s="627">
        <v>0.19800000000000001</v>
      </c>
      <c r="F347" s="627">
        <v>0.12</v>
      </c>
      <c r="G347" s="627">
        <v>0.112</v>
      </c>
    </row>
    <row r="348" spans="1:7" ht="18.75" x14ac:dyDescent="0.25">
      <c r="A348" s="632" t="s">
        <v>3058</v>
      </c>
      <c r="B348" s="627">
        <v>344</v>
      </c>
      <c r="C348" s="628" t="str">
        <f t="shared" si="7"/>
        <v>Ô tô tự đổ 7 tấn344</v>
      </c>
      <c r="D348" s="627">
        <v>0.189</v>
      </c>
      <c r="E348" s="627">
        <v>0.19800000000000001</v>
      </c>
      <c r="F348" s="627">
        <v>0.12</v>
      </c>
      <c r="G348" s="627">
        <v>0.112</v>
      </c>
    </row>
    <row r="349" spans="1:7" ht="18.75" x14ac:dyDescent="0.25">
      <c r="A349" s="632" t="s">
        <v>3058</v>
      </c>
      <c r="B349" s="627">
        <v>345</v>
      </c>
      <c r="C349" s="628" t="str">
        <f t="shared" si="7"/>
        <v>Ô tô tự đổ 7 tấn345</v>
      </c>
      <c r="D349" s="627">
        <v>0.189</v>
      </c>
      <c r="E349" s="627">
        <v>0.19800000000000001</v>
      </c>
      <c r="F349" s="627">
        <v>0.12</v>
      </c>
      <c r="G349" s="627">
        <v>0.112</v>
      </c>
    </row>
    <row r="350" spans="1:7" ht="18.75" x14ac:dyDescent="0.25">
      <c r="A350" s="632" t="s">
        <v>3058</v>
      </c>
      <c r="B350" s="627">
        <v>346</v>
      </c>
      <c r="C350" s="628" t="str">
        <f t="shared" si="7"/>
        <v>Ô tô tự đổ 7 tấn346</v>
      </c>
      <c r="D350" s="627">
        <v>0.189</v>
      </c>
      <c r="E350" s="627">
        <v>0.19800000000000001</v>
      </c>
      <c r="F350" s="627">
        <v>0.12</v>
      </c>
      <c r="G350" s="627">
        <v>0.112</v>
      </c>
    </row>
    <row r="351" spans="1:7" ht="18.75" x14ac:dyDescent="0.25">
      <c r="A351" s="632" t="s">
        <v>3058</v>
      </c>
      <c r="B351" s="627">
        <v>347</v>
      </c>
      <c r="C351" s="628" t="str">
        <f t="shared" si="7"/>
        <v>Ô tô tự đổ 7 tấn347</v>
      </c>
      <c r="D351" s="627">
        <v>0.189</v>
      </c>
      <c r="E351" s="627">
        <v>0.19800000000000001</v>
      </c>
      <c r="F351" s="627">
        <v>0.12</v>
      </c>
      <c r="G351" s="627">
        <v>0.112</v>
      </c>
    </row>
    <row r="352" spans="1:7" ht="18.75" x14ac:dyDescent="0.25">
      <c r="A352" s="632" t="s">
        <v>3058</v>
      </c>
      <c r="B352" s="627">
        <v>348</v>
      </c>
      <c r="C352" s="628" t="str">
        <f t="shared" si="7"/>
        <v>Ô tô tự đổ 7 tấn348</v>
      </c>
      <c r="D352" s="627">
        <v>0.189</v>
      </c>
      <c r="E352" s="627">
        <v>0.19800000000000001</v>
      </c>
      <c r="F352" s="627">
        <v>0.12</v>
      </c>
      <c r="G352" s="627">
        <v>0.112</v>
      </c>
    </row>
    <row r="353" spans="1:7" ht="18.75" x14ac:dyDescent="0.25">
      <c r="A353" s="632" t="s">
        <v>3058</v>
      </c>
      <c r="B353" s="627">
        <v>349</v>
      </c>
      <c r="C353" s="628" t="str">
        <f t="shared" si="7"/>
        <v>Ô tô tự đổ 7 tấn349</v>
      </c>
      <c r="D353" s="627">
        <v>0.189</v>
      </c>
      <c r="E353" s="627">
        <v>0.19800000000000001</v>
      </c>
      <c r="F353" s="627">
        <v>0.12</v>
      </c>
      <c r="G353" s="627">
        <v>0.112</v>
      </c>
    </row>
    <row r="354" spans="1:7" ht="18.75" x14ac:dyDescent="0.25">
      <c r="A354" s="632" t="s">
        <v>3058</v>
      </c>
      <c r="B354" s="627">
        <v>350</v>
      </c>
      <c r="C354" s="628" t="str">
        <f t="shared" si="7"/>
        <v>Ô tô tự đổ 7 tấn350</v>
      </c>
      <c r="D354" s="627">
        <v>0.189</v>
      </c>
      <c r="E354" s="627">
        <v>0.19800000000000001</v>
      </c>
      <c r="F354" s="627">
        <v>0.12</v>
      </c>
      <c r="G354" s="627">
        <v>0.112</v>
      </c>
    </row>
    <row r="355" spans="1:7" ht="18.75" x14ac:dyDescent="0.25">
      <c r="A355" s="632" t="s">
        <v>3058</v>
      </c>
      <c r="B355" s="627">
        <v>351</v>
      </c>
      <c r="C355" s="628" t="str">
        <f t="shared" si="7"/>
        <v>Ô tô tự đổ 7 tấn351</v>
      </c>
      <c r="D355" s="627">
        <v>0.189</v>
      </c>
      <c r="E355" s="627">
        <v>0.19800000000000001</v>
      </c>
      <c r="F355" s="627">
        <v>0.12</v>
      </c>
      <c r="G355" s="627">
        <v>0.112</v>
      </c>
    </row>
    <row r="356" spans="1:7" ht="18.75" x14ac:dyDescent="0.25">
      <c r="A356" s="632" t="s">
        <v>3058</v>
      </c>
      <c r="B356" s="627">
        <v>352</v>
      </c>
      <c r="C356" s="628" t="str">
        <f t="shared" si="7"/>
        <v>Ô tô tự đổ 7 tấn352</v>
      </c>
      <c r="D356" s="627">
        <v>0.189</v>
      </c>
      <c r="E356" s="627">
        <v>0.19800000000000001</v>
      </c>
      <c r="F356" s="627">
        <v>0.12</v>
      </c>
      <c r="G356" s="627">
        <v>0.112</v>
      </c>
    </row>
    <row r="357" spans="1:7" ht="18.75" x14ac:dyDescent="0.25">
      <c r="A357" s="632" t="s">
        <v>3058</v>
      </c>
      <c r="B357" s="627">
        <v>353</v>
      </c>
      <c r="C357" s="628" t="str">
        <f t="shared" si="7"/>
        <v>Ô tô tự đổ 7 tấn353</v>
      </c>
      <c r="D357" s="627">
        <v>0.189</v>
      </c>
      <c r="E357" s="627">
        <v>0.19800000000000001</v>
      </c>
      <c r="F357" s="627">
        <v>0.12</v>
      </c>
      <c r="G357" s="627">
        <v>0.112</v>
      </c>
    </row>
    <row r="358" spans="1:7" ht="18.75" x14ac:dyDescent="0.25">
      <c r="A358" s="632" t="s">
        <v>3058</v>
      </c>
      <c r="B358" s="627">
        <v>354</v>
      </c>
      <c r="C358" s="628" t="str">
        <f t="shared" si="7"/>
        <v>Ô tô tự đổ 7 tấn354</v>
      </c>
      <c r="D358" s="627">
        <v>0.189</v>
      </c>
      <c r="E358" s="627">
        <v>0.19800000000000001</v>
      </c>
      <c r="F358" s="627">
        <v>0.12</v>
      </c>
      <c r="G358" s="627">
        <v>0.112</v>
      </c>
    </row>
    <row r="359" spans="1:7" ht="18.75" x14ac:dyDescent="0.25">
      <c r="A359" s="632" t="s">
        <v>3058</v>
      </c>
      <c r="B359" s="627">
        <v>355</v>
      </c>
      <c r="C359" s="628" t="str">
        <f t="shared" si="7"/>
        <v>Ô tô tự đổ 7 tấn355</v>
      </c>
      <c r="D359" s="627">
        <v>0.189</v>
      </c>
      <c r="E359" s="627">
        <v>0.19800000000000001</v>
      </c>
      <c r="F359" s="627">
        <v>0.12</v>
      </c>
      <c r="G359" s="627">
        <v>0.112</v>
      </c>
    </row>
    <row r="360" spans="1:7" ht="18.75" x14ac:dyDescent="0.25">
      <c r="A360" s="632" t="s">
        <v>3058</v>
      </c>
      <c r="B360" s="627">
        <v>356</v>
      </c>
      <c r="C360" s="628" t="str">
        <f t="shared" si="7"/>
        <v>Ô tô tự đổ 7 tấn356</v>
      </c>
      <c r="D360" s="627">
        <v>0.189</v>
      </c>
      <c r="E360" s="627">
        <v>0.19800000000000001</v>
      </c>
      <c r="F360" s="627">
        <v>0.12</v>
      </c>
      <c r="G360" s="627">
        <v>0.112</v>
      </c>
    </row>
    <row r="361" spans="1:7" ht="18.75" x14ac:dyDescent="0.25">
      <c r="A361" s="632" t="s">
        <v>3058</v>
      </c>
      <c r="B361" s="627">
        <v>357</v>
      </c>
      <c r="C361" s="628" t="str">
        <f t="shared" ref="C361:C424" si="8">A361&amp;B361</f>
        <v>Ô tô tự đổ 7 tấn357</v>
      </c>
      <c r="D361" s="627">
        <v>0.189</v>
      </c>
      <c r="E361" s="627">
        <v>0.19800000000000001</v>
      </c>
      <c r="F361" s="627">
        <v>0.12</v>
      </c>
      <c r="G361" s="627">
        <v>0.112</v>
      </c>
    </row>
    <row r="362" spans="1:7" ht="18.75" x14ac:dyDescent="0.25">
      <c r="A362" s="632" t="s">
        <v>3058</v>
      </c>
      <c r="B362" s="627">
        <v>358</v>
      </c>
      <c r="C362" s="628" t="str">
        <f t="shared" si="8"/>
        <v>Ô tô tự đổ 7 tấn358</v>
      </c>
      <c r="D362" s="627">
        <v>0.189</v>
      </c>
      <c r="E362" s="627">
        <v>0.19800000000000001</v>
      </c>
      <c r="F362" s="627">
        <v>0.12</v>
      </c>
      <c r="G362" s="627">
        <v>0.112</v>
      </c>
    </row>
    <row r="363" spans="1:7" ht="18.75" x14ac:dyDescent="0.25">
      <c r="A363" s="632" t="s">
        <v>3058</v>
      </c>
      <c r="B363" s="627">
        <v>359</v>
      </c>
      <c r="C363" s="628" t="str">
        <f t="shared" si="8"/>
        <v>Ô tô tự đổ 7 tấn359</v>
      </c>
      <c r="D363" s="627">
        <v>0.189</v>
      </c>
      <c r="E363" s="627">
        <v>0.19800000000000001</v>
      </c>
      <c r="F363" s="627">
        <v>0.12</v>
      </c>
      <c r="G363" s="627">
        <v>0.112</v>
      </c>
    </row>
    <row r="364" spans="1:7" ht="18.75" x14ac:dyDescent="0.25">
      <c r="A364" s="632" t="s">
        <v>3058</v>
      </c>
      <c r="B364" s="627">
        <v>360</v>
      </c>
      <c r="C364" s="628" t="str">
        <f t="shared" si="8"/>
        <v>Ô tô tự đổ 7 tấn360</v>
      </c>
      <c r="D364" s="627">
        <v>0.189</v>
      </c>
      <c r="E364" s="627">
        <v>0.19800000000000001</v>
      </c>
      <c r="F364" s="627">
        <v>0.12</v>
      </c>
      <c r="G364" s="627">
        <v>0.112</v>
      </c>
    </row>
    <row r="365" spans="1:7" ht="18.75" x14ac:dyDescent="0.25">
      <c r="A365" s="632" t="s">
        <v>3058</v>
      </c>
      <c r="B365" s="627">
        <v>361</v>
      </c>
      <c r="C365" s="628" t="str">
        <f t="shared" si="8"/>
        <v>Ô tô tự đổ 7 tấn361</v>
      </c>
      <c r="D365" s="627">
        <v>0.189</v>
      </c>
      <c r="E365" s="627">
        <v>0.19800000000000001</v>
      </c>
      <c r="F365" s="627">
        <v>0.12</v>
      </c>
      <c r="G365" s="627">
        <v>0.112</v>
      </c>
    </row>
    <row r="366" spans="1:7" ht="18.75" x14ac:dyDescent="0.25">
      <c r="A366" s="632" t="s">
        <v>3058</v>
      </c>
      <c r="B366" s="627">
        <v>362</v>
      </c>
      <c r="C366" s="628" t="str">
        <f t="shared" si="8"/>
        <v>Ô tô tự đổ 7 tấn362</v>
      </c>
      <c r="D366" s="627">
        <v>0.189</v>
      </c>
      <c r="E366" s="627">
        <v>0.19800000000000001</v>
      </c>
      <c r="F366" s="627">
        <v>0.12</v>
      </c>
      <c r="G366" s="627">
        <v>0.112</v>
      </c>
    </row>
    <row r="367" spans="1:7" ht="18.75" x14ac:dyDescent="0.25">
      <c r="A367" s="632" t="s">
        <v>3058</v>
      </c>
      <c r="B367" s="627">
        <v>363</v>
      </c>
      <c r="C367" s="628" t="str">
        <f t="shared" si="8"/>
        <v>Ô tô tự đổ 7 tấn363</v>
      </c>
      <c r="D367" s="627">
        <v>0.189</v>
      </c>
      <c r="E367" s="627">
        <v>0.19800000000000001</v>
      </c>
      <c r="F367" s="627">
        <v>0.12</v>
      </c>
      <c r="G367" s="627">
        <v>0.112</v>
      </c>
    </row>
    <row r="368" spans="1:7" ht="18.75" x14ac:dyDescent="0.25">
      <c r="A368" s="632" t="s">
        <v>3058</v>
      </c>
      <c r="B368" s="627">
        <v>364</v>
      </c>
      <c r="C368" s="628" t="str">
        <f t="shared" si="8"/>
        <v>Ô tô tự đổ 7 tấn364</v>
      </c>
      <c r="D368" s="627">
        <v>0.189</v>
      </c>
      <c r="E368" s="627">
        <v>0.19800000000000001</v>
      </c>
      <c r="F368" s="627">
        <v>0.12</v>
      </c>
      <c r="G368" s="627">
        <v>0.112</v>
      </c>
    </row>
    <row r="369" spans="1:7" ht="18.75" x14ac:dyDescent="0.25">
      <c r="A369" s="632" t="s">
        <v>3058</v>
      </c>
      <c r="B369" s="627">
        <v>365</v>
      </c>
      <c r="C369" s="628" t="str">
        <f t="shared" si="8"/>
        <v>Ô tô tự đổ 7 tấn365</v>
      </c>
      <c r="D369" s="627">
        <v>0.189</v>
      </c>
      <c r="E369" s="627">
        <v>0.19800000000000001</v>
      </c>
      <c r="F369" s="627">
        <v>0.12</v>
      </c>
      <c r="G369" s="627">
        <v>0.112</v>
      </c>
    </row>
    <row r="370" spans="1:7" ht="18.75" x14ac:dyDescent="0.25">
      <c r="A370" s="632" t="s">
        <v>3058</v>
      </c>
      <c r="B370" s="627">
        <v>366</v>
      </c>
      <c r="C370" s="628" t="str">
        <f t="shared" si="8"/>
        <v>Ô tô tự đổ 7 tấn366</v>
      </c>
      <c r="D370" s="627">
        <v>0.189</v>
      </c>
      <c r="E370" s="627">
        <v>0.19800000000000001</v>
      </c>
      <c r="F370" s="627">
        <v>0.12</v>
      </c>
      <c r="G370" s="627">
        <v>0.112</v>
      </c>
    </row>
    <row r="371" spans="1:7" ht="18.75" x14ac:dyDescent="0.25">
      <c r="A371" s="632" t="s">
        <v>3058</v>
      </c>
      <c r="B371" s="627">
        <v>367</v>
      </c>
      <c r="C371" s="628" t="str">
        <f t="shared" si="8"/>
        <v>Ô tô tự đổ 7 tấn367</v>
      </c>
      <c r="D371" s="627">
        <v>0.189</v>
      </c>
      <c r="E371" s="627">
        <v>0.19800000000000001</v>
      </c>
      <c r="F371" s="627">
        <v>0.12</v>
      </c>
      <c r="G371" s="627">
        <v>0.112</v>
      </c>
    </row>
    <row r="372" spans="1:7" ht="18.75" x14ac:dyDescent="0.25">
      <c r="A372" s="632" t="s">
        <v>3058</v>
      </c>
      <c r="B372" s="627">
        <v>368</v>
      </c>
      <c r="C372" s="628" t="str">
        <f t="shared" si="8"/>
        <v>Ô tô tự đổ 7 tấn368</v>
      </c>
      <c r="D372" s="627">
        <v>0.189</v>
      </c>
      <c r="E372" s="627">
        <v>0.19800000000000001</v>
      </c>
      <c r="F372" s="627">
        <v>0.12</v>
      </c>
      <c r="G372" s="627">
        <v>0.112</v>
      </c>
    </row>
    <row r="373" spans="1:7" ht="18.75" x14ac:dyDescent="0.25">
      <c r="A373" s="632" t="s">
        <v>3058</v>
      </c>
      <c r="B373" s="627">
        <v>369</v>
      </c>
      <c r="C373" s="628" t="str">
        <f t="shared" si="8"/>
        <v>Ô tô tự đổ 7 tấn369</v>
      </c>
      <c r="D373" s="627">
        <v>0.189</v>
      </c>
      <c r="E373" s="627">
        <v>0.19800000000000001</v>
      </c>
      <c r="F373" s="627">
        <v>0.12</v>
      </c>
      <c r="G373" s="627">
        <v>0.112</v>
      </c>
    </row>
    <row r="374" spans="1:7" ht="18.75" x14ac:dyDescent="0.25">
      <c r="A374" s="632" t="s">
        <v>3058</v>
      </c>
      <c r="B374" s="627">
        <v>370</v>
      </c>
      <c r="C374" s="628" t="str">
        <f t="shared" si="8"/>
        <v>Ô tô tự đổ 7 tấn370</v>
      </c>
      <c r="D374" s="627">
        <v>0.189</v>
      </c>
      <c r="E374" s="627">
        <v>0.19800000000000001</v>
      </c>
      <c r="F374" s="627">
        <v>0.12</v>
      </c>
      <c r="G374" s="627">
        <v>0.112</v>
      </c>
    </row>
    <row r="375" spans="1:7" ht="18.75" x14ac:dyDescent="0.25">
      <c r="A375" s="632" t="s">
        <v>3058</v>
      </c>
      <c r="B375" s="627">
        <v>371</v>
      </c>
      <c r="C375" s="628" t="str">
        <f t="shared" si="8"/>
        <v>Ô tô tự đổ 7 tấn371</v>
      </c>
      <c r="D375" s="627">
        <v>0.189</v>
      </c>
      <c r="E375" s="627">
        <v>0.19800000000000001</v>
      </c>
      <c r="F375" s="627">
        <v>0.12</v>
      </c>
      <c r="G375" s="627">
        <v>0.112</v>
      </c>
    </row>
    <row r="376" spans="1:7" ht="18.75" x14ac:dyDescent="0.25">
      <c r="A376" s="632" t="s">
        <v>3058</v>
      </c>
      <c r="B376" s="627">
        <v>372</v>
      </c>
      <c r="C376" s="628" t="str">
        <f t="shared" si="8"/>
        <v>Ô tô tự đổ 7 tấn372</v>
      </c>
      <c r="D376" s="627">
        <v>0.189</v>
      </c>
      <c r="E376" s="627">
        <v>0.19800000000000001</v>
      </c>
      <c r="F376" s="627">
        <v>0.12</v>
      </c>
      <c r="G376" s="627">
        <v>0.112</v>
      </c>
    </row>
    <row r="377" spans="1:7" ht="18.75" x14ac:dyDescent="0.25">
      <c r="A377" s="632" t="s">
        <v>3058</v>
      </c>
      <c r="B377" s="627">
        <v>373</v>
      </c>
      <c r="C377" s="628" t="str">
        <f t="shared" si="8"/>
        <v>Ô tô tự đổ 7 tấn373</v>
      </c>
      <c r="D377" s="627">
        <v>0.189</v>
      </c>
      <c r="E377" s="627">
        <v>0.19800000000000001</v>
      </c>
      <c r="F377" s="627">
        <v>0.12</v>
      </c>
      <c r="G377" s="627">
        <v>0.112</v>
      </c>
    </row>
    <row r="378" spans="1:7" ht="18.75" x14ac:dyDescent="0.25">
      <c r="A378" s="632" t="s">
        <v>3058</v>
      </c>
      <c r="B378" s="627">
        <v>374</v>
      </c>
      <c r="C378" s="628" t="str">
        <f t="shared" si="8"/>
        <v>Ô tô tự đổ 7 tấn374</v>
      </c>
      <c r="D378" s="627">
        <v>0.189</v>
      </c>
      <c r="E378" s="627">
        <v>0.19800000000000001</v>
      </c>
      <c r="F378" s="627">
        <v>0.12</v>
      </c>
      <c r="G378" s="627">
        <v>0.112</v>
      </c>
    </row>
    <row r="379" spans="1:7" ht="18.75" x14ac:dyDescent="0.25">
      <c r="A379" s="632" t="s">
        <v>3058</v>
      </c>
      <c r="B379" s="627">
        <v>375</v>
      </c>
      <c r="C379" s="628" t="str">
        <f t="shared" si="8"/>
        <v>Ô tô tự đổ 7 tấn375</v>
      </c>
      <c r="D379" s="627">
        <v>0.189</v>
      </c>
      <c r="E379" s="627">
        <v>0.19800000000000001</v>
      </c>
      <c r="F379" s="627">
        <v>0.12</v>
      </c>
      <c r="G379" s="627">
        <v>0.112</v>
      </c>
    </row>
    <row r="380" spans="1:7" ht="18.75" x14ac:dyDescent="0.25">
      <c r="A380" s="632" t="s">
        <v>3058</v>
      </c>
      <c r="B380" s="627">
        <v>376</v>
      </c>
      <c r="C380" s="628" t="str">
        <f t="shared" si="8"/>
        <v>Ô tô tự đổ 7 tấn376</v>
      </c>
      <c r="D380" s="627">
        <v>0.189</v>
      </c>
      <c r="E380" s="627">
        <v>0.19800000000000001</v>
      </c>
      <c r="F380" s="627">
        <v>0.12</v>
      </c>
      <c r="G380" s="627">
        <v>0.112</v>
      </c>
    </row>
    <row r="381" spans="1:7" ht="18.75" x14ac:dyDescent="0.25">
      <c r="A381" s="632" t="s">
        <v>3058</v>
      </c>
      <c r="B381" s="627">
        <v>377</v>
      </c>
      <c r="C381" s="628" t="str">
        <f t="shared" si="8"/>
        <v>Ô tô tự đổ 7 tấn377</v>
      </c>
      <c r="D381" s="627">
        <v>0.189</v>
      </c>
      <c r="E381" s="627">
        <v>0.19800000000000001</v>
      </c>
      <c r="F381" s="627">
        <v>0.12</v>
      </c>
      <c r="G381" s="627">
        <v>0.112</v>
      </c>
    </row>
    <row r="382" spans="1:7" ht="18.75" x14ac:dyDescent="0.25">
      <c r="A382" s="632" t="s">
        <v>3058</v>
      </c>
      <c r="B382" s="627">
        <v>378</v>
      </c>
      <c r="C382" s="628" t="str">
        <f t="shared" si="8"/>
        <v>Ô tô tự đổ 7 tấn378</v>
      </c>
      <c r="D382" s="627">
        <v>0.189</v>
      </c>
      <c r="E382" s="627">
        <v>0.19800000000000001</v>
      </c>
      <c r="F382" s="627">
        <v>0.12</v>
      </c>
      <c r="G382" s="627">
        <v>0.112</v>
      </c>
    </row>
    <row r="383" spans="1:7" ht="18.75" x14ac:dyDescent="0.25">
      <c r="A383" s="632" t="s">
        <v>3058</v>
      </c>
      <c r="B383" s="627">
        <v>379</v>
      </c>
      <c r="C383" s="628" t="str">
        <f t="shared" si="8"/>
        <v>Ô tô tự đổ 7 tấn379</v>
      </c>
      <c r="D383" s="627">
        <v>0.189</v>
      </c>
      <c r="E383" s="627">
        <v>0.19800000000000001</v>
      </c>
      <c r="F383" s="627">
        <v>0.12</v>
      </c>
      <c r="G383" s="627">
        <v>0.112</v>
      </c>
    </row>
    <row r="384" spans="1:7" ht="18.75" x14ac:dyDescent="0.25">
      <c r="A384" s="632" t="s">
        <v>3058</v>
      </c>
      <c r="B384" s="627">
        <v>380</v>
      </c>
      <c r="C384" s="628" t="str">
        <f t="shared" si="8"/>
        <v>Ô tô tự đổ 7 tấn380</v>
      </c>
      <c r="D384" s="627">
        <v>0.189</v>
      </c>
      <c r="E384" s="627">
        <v>0.19800000000000001</v>
      </c>
      <c r="F384" s="627">
        <v>0.12</v>
      </c>
      <c r="G384" s="627">
        <v>0.112</v>
      </c>
    </row>
    <row r="385" spans="1:7" ht="18.75" x14ac:dyDescent="0.25">
      <c r="A385" s="632" t="s">
        <v>3058</v>
      </c>
      <c r="B385" s="627">
        <v>381</v>
      </c>
      <c r="C385" s="628" t="str">
        <f t="shared" si="8"/>
        <v>Ô tô tự đổ 7 tấn381</v>
      </c>
      <c r="D385" s="627">
        <v>0.189</v>
      </c>
      <c r="E385" s="627">
        <v>0.19800000000000001</v>
      </c>
      <c r="F385" s="627">
        <v>0.12</v>
      </c>
      <c r="G385" s="627">
        <v>0.112</v>
      </c>
    </row>
    <row r="386" spans="1:7" ht="18.75" x14ac:dyDescent="0.25">
      <c r="A386" s="632" t="s">
        <v>3058</v>
      </c>
      <c r="B386" s="627">
        <v>382</v>
      </c>
      <c r="C386" s="628" t="str">
        <f t="shared" si="8"/>
        <v>Ô tô tự đổ 7 tấn382</v>
      </c>
      <c r="D386" s="627">
        <v>0.189</v>
      </c>
      <c r="E386" s="627">
        <v>0.19800000000000001</v>
      </c>
      <c r="F386" s="627">
        <v>0.12</v>
      </c>
      <c r="G386" s="627">
        <v>0.112</v>
      </c>
    </row>
    <row r="387" spans="1:7" ht="18.75" x14ac:dyDescent="0.25">
      <c r="A387" s="632" t="s">
        <v>3058</v>
      </c>
      <c r="B387" s="627">
        <v>383</v>
      </c>
      <c r="C387" s="628" t="str">
        <f t="shared" si="8"/>
        <v>Ô tô tự đổ 7 tấn383</v>
      </c>
      <c r="D387" s="627">
        <v>0.189</v>
      </c>
      <c r="E387" s="627">
        <v>0.19800000000000001</v>
      </c>
      <c r="F387" s="627">
        <v>0.12</v>
      </c>
      <c r="G387" s="627">
        <v>0.112</v>
      </c>
    </row>
    <row r="388" spans="1:7" ht="18.75" x14ac:dyDescent="0.25">
      <c r="A388" s="632" t="s">
        <v>3058</v>
      </c>
      <c r="B388" s="627">
        <v>384</v>
      </c>
      <c r="C388" s="628" t="str">
        <f t="shared" si="8"/>
        <v>Ô tô tự đổ 7 tấn384</v>
      </c>
      <c r="D388" s="627">
        <v>0.189</v>
      </c>
      <c r="E388" s="627">
        <v>0.19800000000000001</v>
      </c>
      <c r="F388" s="627">
        <v>0.12</v>
      </c>
      <c r="G388" s="627">
        <v>0.112</v>
      </c>
    </row>
    <row r="389" spans="1:7" ht="18.75" x14ac:dyDescent="0.25">
      <c r="A389" s="632" t="s">
        <v>3058</v>
      </c>
      <c r="B389" s="627">
        <v>385</v>
      </c>
      <c r="C389" s="628" t="str">
        <f t="shared" si="8"/>
        <v>Ô tô tự đổ 7 tấn385</v>
      </c>
      <c r="D389" s="627">
        <v>0.189</v>
      </c>
      <c r="E389" s="627">
        <v>0.19800000000000001</v>
      </c>
      <c r="F389" s="627">
        <v>0.12</v>
      </c>
      <c r="G389" s="627">
        <v>0.112</v>
      </c>
    </row>
    <row r="390" spans="1:7" ht="18.75" x14ac:dyDescent="0.25">
      <c r="A390" s="632" t="s">
        <v>3058</v>
      </c>
      <c r="B390" s="627">
        <v>386</v>
      </c>
      <c r="C390" s="628" t="str">
        <f t="shared" si="8"/>
        <v>Ô tô tự đổ 7 tấn386</v>
      </c>
      <c r="D390" s="627">
        <v>0.189</v>
      </c>
      <c r="E390" s="627">
        <v>0.19800000000000001</v>
      </c>
      <c r="F390" s="627">
        <v>0.12</v>
      </c>
      <c r="G390" s="627">
        <v>0.112</v>
      </c>
    </row>
    <row r="391" spans="1:7" ht="18.75" x14ac:dyDescent="0.25">
      <c r="A391" s="632" t="s">
        <v>3058</v>
      </c>
      <c r="B391" s="627">
        <v>387</v>
      </c>
      <c r="C391" s="628" t="str">
        <f t="shared" si="8"/>
        <v>Ô tô tự đổ 7 tấn387</v>
      </c>
      <c r="D391" s="627">
        <v>0.189</v>
      </c>
      <c r="E391" s="627">
        <v>0.19800000000000001</v>
      </c>
      <c r="F391" s="627">
        <v>0.12</v>
      </c>
      <c r="G391" s="627">
        <v>0.112</v>
      </c>
    </row>
    <row r="392" spans="1:7" ht="18.75" x14ac:dyDescent="0.25">
      <c r="A392" s="632" t="s">
        <v>3058</v>
      </c>
      <c r="B392" s="627">
        <v>388</v>
      </c>
      <c r="C392" s="628" t="str">
        <f t="shared" si="8"/>
        <v>Ô tô tự đổ 7 tấn388</v>
      </c>
      <c r="D392" s="627">
        <v>0.189</v>
      </c>
      <c r="E392" s="627">
        <v>0.19800000000000001</v>
      </c>
      <c r="F392" s="627">
        <v>0.12</v>
      </c>
      <c r="G392" s="627">
        <v>0.112</v>
      </c>
    </row>
    <row r="393" spans="1:7" ht="18.75" x14ac:dyDescent="0.25">
      <c r="A393" s="632" t="s">
        <v>3058</v>
      </c>
      <c r="B393" s="627">
        <v>389</v>
      </c>
      <c r="C393" s="628" t="str">
        <f t="shared" si="8"/>
        <v>Ô tô tự đổ 7 tấn389</v>
      </c>
      <c r="D393" s="627">
        <v>0.189</v>
      </c>
      <c r="E393" s="627">
        <v>0.19800000000000001</v>
      </c>
      <c r="F393" s="627">
        <v>0.12</v>
      </c>
      <c r="G393" s="627">
        <v>0.112</v>
      </c>
    </row>
    <row r="394" spans="1:7" ht="18.75" x14ac:dyDescent="0.25">
      <c r="A394" s="632" t="s">
        <v>3058</v>
      </c>
      <c r="B394" s="627">
        <v>390</v>
      </c>
      <c r="C394" s="628" t="str">
        <f t="shared" si="8"/>
        <v>Ô tô tự đổ 7 tấn390</v>
      </c>
      <c r="D394" s="627">
        <v>0.189</v>
      </c>
      <c r="E394" s="627">
        <v>0.19800000000000001</v>
      </c>
      <c r="F394" s="627">
        <v>0.12</v>
      </c>
      <c r="G394" s="627">
        <v>0.112</v>
      </c>
    </row>
    <row r="395" spans="1:7" ht="18.75" x14ac:dyDescent="0.25">
      <c r="A395" s="632" t="s">
        <v>3058</v>
      </c>
      <c r="B395" s="627">
        <v>391</v>
      </c>
      <c r="C395" s="628" t="str">
        <f t="shared" si="8"/>
        <v>Ô tô tự đổ 7 tấn391</v>
      </c>
      <c r="D395" s="627">
        <v>0.189</v>
      </c>
      <c r="E395" s="627">
        <v>0.19800000000000001</v>
      </c>
      <c r="F395" s="627">
        <v>0.12</v>
      </c>
      <c r="G395" s="627">
        <v>0.112</v>
      </c>
    </row>
    <row r="396" spans="1:7" ht="18.75" x14ac:dyDescent="0.25">
      <c r="A396" s="632" t="s">
        <v>3058</v>
      </c>
      <c r="B396" s="627">
        <v>392</v>
      </c>
      <c r="C396" s="628" t="str">
        <f t="shared" si="8"/>
        <v>Ô tô tự đổ 7 tấn392</v>
      </c>
      <c r="D396" s="627">
        <v>0.189</v>
      </c>
      <c r="E396" s="627">
        <v>0.19800000000000001</v>
      </c>
      <c r="F396" s="627">
        <v>0.12</v>
      </c>
      <c r="G396" s="627">
        <v>0.112</v>
      </c>
    </row>
    <row r="397" spans="1:7" ht="18.75" x14ac:dyDescent="0.25">
      <c r="A397" s="632" t="s">
        <v>3058</v>
      </c>
      <c r="B397" s="627">
        <v>393</v>
      </c>
      <c r="C397" s="628" t="str">
        <f t="shared" si="8"/>
        <v>Ô tô tự đổ 7 tấn393</v>
      </c>
      <c r="D397" s="627">
        <v>0.189</v>
      </c>
      <c r="E397" s="627">
        <v>0.19800000000000001</v>
      </c>
      <c r="F397" s="627">
        <v>0.12</v>
      </c>
      <c r="G397" s="627">
        <v>0.112</v>
      </c>
    </row>
    <row r="398" spans="1:7" ht="18.75" x14ac:dyDescent="0.25">
      <c r="A398" s="632" t="s">
        <v>3058</v>
      </c>
      <c r="B398" s="627">
        <v>394</v>
      </c>
      <c r="C398" s="628" t="str">
        <f t="shared" si="8"/>
        <v>Ô tô tự đổ 7 tấn394</v>
      </c>
      <c r="D398" s="627">
        <v>0.189</v>
      </c>
      <c r="E398" s="627">
        <v>0.19800000000000001</v>
      </c>
      <c r="F398" s="627">
        <v>0.12</v>
      </c>
      <c r="G398" s="627">
        <v>0.112</v>
      </c>
    </row>
    <row r="399" spans="1:7" ht="18.75" x14ac:dyDescent="0.25">
      <c r="A399" s="632" t="s">
        <v>3058</v>
      </c>
      <c r="B399" s="627">
        <v>395</v>
      </c>
      <c r="C399" s="628" t="str">
        <f t="shared" si="8"/>
        <v>Ô tô tự đổ 7 tấn395</v>
      </c>
      <c r="D399" s="627">
        <v>0.189</v>
      </c>
      <c r="E399" s="627">
        <v>0.19800000000000001</v>
      </c>
      <c r="F399" s="627">
        <v>0.12</v>
      </c>
      <c r="G399" s="627">
        <v>0.112</v>
      </c>
    </row>
    <row r="400" spans="1:7" ht="18.75" x14ac:dyDescent="0.25">
      <c r="A400" s="632" t="s">
        <v>3058</v>
      </c>
      <c r="B400" s="627">
        <v>396</v>
      </c>
      <c r="C400" s="628" t="str">
        <f t="shared" si="8"/>
        <v>Ô tô tự đổ 7 tấn396</v>
      </c>
      <c r="D400" s="627">
        <v>0.189</v>
      </c>
      <c r="E400" s="627">
        <v>0.19800000000000001</v>
      </c>
      <c r="F400" s="627">
        <v>0.12</v>
      </c>
      <c r="G400" s="627">
        <v>0.112</v>
      </c>
    </row>
    <row r="401" spans="1:7" ht="18.75" x14ac:dyDescent="0.25">
      <c r="A401" s="632" t="s">
        <v>3058</v>
      </c>
      <c r="B401" s="627">
        <v>397</v>
      </c>
      <c r="C401" s="628" t="str">
        <f t="shared" si="8"/>
        <v>Ô tô tự đổ 7 tấn397</v>
      </c>
      <c r="D401" s="627">
        <v>0.189</v>
      </c>
      <c r="E401" s="627">
        <v>0.19800000000000001</v>
      </c>
      <c r="F401" s="627">
        <v>0.12</v>
      </c>
      <c r="G401" s="627">
        <v>0.112</v>
      </c>
    </row>
    <row r="402" spans="1:7" ht="18.75" x14ac:dyDescent="0.25">
      <c r="A402" s="632" t="s">
        <v>3058</v>
      </c>
      <c r="B402" s="627">
        <v>398</v>
      </c>
      <c r="C402" s="628" t="str">
        <f t="shared" si="8"/>
        <v>Ô tô tự đổ 7 tấn398</v>
      </c>
      <c r="D402" s="627">
        <v>0.189</v>
      </c>
      <c r="E402" s="627">
        <v>0.19800000000000001</v>
      </c>
      <c r="F402" s="627">
        <v>0.12</v>
      </c>
      <c r="G402" s="627">
        <v>0.112</v>
      </c>
    </row>
    <row r="403" spans="1:7" ht="18.75" x14ac:dyDescent="0.25">
      <c r="A403" s="632" t="s">
        <v>3058</v>
      </c>
      <c r="B403" s="627">
        <v>399</v>
      </c>
      <c r="C403" s="628" t="str">
        <f t="shared" si="8"/>
        <v>Ô tô tự đổ 7 tấn399</v>
      </c>
      <c r="D403" s="627">
        <v>0.189</v>
      </c>
      <c r="E403" s="627">
        <v>0.19800000000000001</v>
      </c>
      <c r="F403" s="627">
        <v>0.12</v>
      </c>
      <c r="G403" s="627">
        <v>0.112</v>
      </c>
    </row>
    <row r="404" spans="1:7" ht="18.75" x14ac:dyDescent="0.25">
      <c r="A404" s="632" t="s">
        <v>3058</v>
      </c>
      <c r="B404" s="627">
        <v>400</v>
      </c>
      <c r="C404" s="628" t="str">
        <f t="shared" si="8"/>
        <v>Ô tô tự đổ 7 tấn400</v>
      </c>
      <c r="D404" s="627">
        <v>0.189</v>
      </c>
      <c r="E404" s="627">
        <v>0.19800000000000001</v>
      </c>
      <c r="F404" s="627">
        <v>0.12</v>
      </c>
      <c r="G404" s="627">
        <v>0.112</v>
      </c>
    </row>
    <row r="405" spans="1:7" ht="18.75" x14ac:dyDescent="0.25">
      <c r="A405" s="632" t="s">
        <v>3058</v>
      </c>
      <c r="B405" s="627">
        <v>401</v>
      </c>
      <c r="C405" s="628" t="str">
        <f t="shared" si="8"/>
        <v>Ô tô tự đổ 7 tấn401</v>
      </c>
      <c r="D405" s="627">
        <v>0.189</v>
      </c>
      <c r="E405" s="627">
        <v>0.19800000000000001</v>
      </c>
      <c r="F405" s="627">
        <v>0.12</v>
      </c>
      <c r="G405" s="627">
        <v>0.112</v>
      </c>
    </row>
    <row r="406" spans="1:7" ht="18.75" x14ac:dyDescent="0.25">
      <c r="A406" s="632" t="s">
        <v>3058</v>
      </c>
      <c r="B406" s="627">
        <v>402</v>
      </c>
      <c r="C406" s="628" t="str">
        <f t="shared" si="8"/>
        <v>Ô tô tự đổ 7 tấn402</v>
      </c>
      <c r="D406" s="627">
        <v>0.189</v>
      </c>
      <c r="E406" s="627">
        <v>0.19800000000000001</v>
      </c>
      <c r="F406" s="627">
        <v>0.12</v>
      </c>
      <c r="G406" s="627">
        <v>0.112</v>
      </c>
    </row>
    <row r="407" spans="1:7" ht="18.75" x14ac:dyDescent="0.25">
      <c r="A407" s="632" t="s">
        <v>3058</v>
      </c>
      <c r="B407" s="627">
        <v>403</v>
      </c>
      <c r="C407" s="628" t="str">
        <f t="shared" si="8"/>
        <v>Ô tô tự đổ 7 tấn403</v>
      </c>
      <c r="D407" s="627">
        <v>0.189</v>
      </c>
      <c r="E407" s="627">
        <v>0.19800000000000001</v>
      </c>
      <c r="F407" s="627">
        <v>0.12</v>
      </c>
      <c r="G407" s="627">
        <v>0.112</v>
      </c>
    </row>
    <row r="408" spans="1:7" ht="18.75" x14ac:dyDescent="0.25">
      <c r="A408" s="632" t="s">
        <v>3058</v>
      </c>
      <c r="B408" s="627">
        <v>404</v>
      </c>
      <c r="C408" s="628" t="str">
        <f t="shared" si="8"/>
        <v>Ô tô tự đổ 7 tấn404</v>
      </c>
      <c r="D408" s="627">
        <v>0.189</v>
      </c>
      <c r="E408" s="627">
        <v>0.19800000000000001</v>
      </c>
      <c r="F408" s="627">
        <v>0.12</v>
      </c>
      <c r="G408" s="627">
        <v>0.112</v>
      </c>
    </row>
    <row r="409" spans="1:7" ht="18.75" x14ac:dyDescent="0.25">
      <c r="A409" s="632" t="s">
        <v>3058</v>
      </c>
      <c r="B409" s="627">
        <v>405</v>
      </c>
      <c r="C409" s="628" t="str">
        <f t="shared" si="8"/>
        <v>Ô tô tự đổ 7 tấn405</v>
      </c>
      <c r="D409" s="627">
        <v>0.189</v>
      </c>
      <c r="E409" s="627">
        <v>0.19800000000000001</v>
      </c>
      <c r="F409" s="627">
        <v>0.12</v>
      </c>
      <c r="G409" s="627">
        <v>0.112</v>
      </c>
    </row>
    <row r="410" spans="1:7" ht="18.75" x14ac:dyDescent="0.25">
      <c r="A410" s="632" t="s">
        <v>3058</v>
      </c>
      <c r="B410" s="627">
        <v>406</v>
      </c>
      <c r="C410" s="628" t="str">
        <f t="shared" si="8"/>
        <v>Ô tô tự đổ 7 tấn406</v>
      </c>
      <c r="D410" s="627">
        <v>0.189</v>
      </c>
      <c r="E410" s="627">
        <v>0.19800000000000001</v>
      </c>
      <c r="F410" s="627">
        <v>0.12</v>
      </c>
      <c r="G410" s="627">
        <v>0.112</v>
      </c>
    </row>
    <row r="411" spans="1:7" ht="18.75" x14ac:dyDescent="0.25">
      <c r="A411" s="632" t="s">
        <v>3058</v>
      </c>
      <c r="B411" s="627">
        <v>407</v>
      </c>
      <c r="C411" s="628" t="str">
        <f t="shared" si="8"/>
        <v>Ô tô tự đổ 7 tấn407</v>
      </c>
      <c r="D411" s="627">
        <v>0.189</v>
      </c>
      <c r="E411" s="627">
        <v>0.19800000000000001</v>
      </c>
      <c r="F411" s="627">
        <v>0.12</v>
      </c>
      <c r="G411" s="627">
        <v>0.112</v>
      </c>
    </row>
    <row r="412" spans="1:7" ht="18.75" x14ac:dyDescent="0.25">
      <c r="A412" s="632" t="s">
        <v>3058</v>
      </c>
      <c r="B412" s="627">
        <v>408</v>
      </c>
      <c r="C412" s="628" t="str">
        <f t="shared" si="8"/>
        <v>Ô tô tự đổ 7 tấn408</v>
      </c>
      <c r="D412" s="627">
        <v>0.189</v>
      </c>
      <c r="E412" s="627">
        <v>0.19800000000000001</v>
      </c>
      <c r="F412" s="627">
        <v>0.12</v>
      </c>
      <c r="G412" s="627">
        <v>0.112</v>
      </c>
    </row>
    <row r="413" spans="1:7" ht="18.75" x14ac:dyDescent="0.25">
      <c r="A413" s="632" t="s">
        <v>3058</v>
      </c>
      <c r="B413" s="627">
        <v>409</v>
      </c>
      <c r="C413" s="628" t="str">
        <f t="shared" si="8"/>
        <v>Ô tô tự đổ 7 tấn409</v>
      </c>
      <c r="D413" s="627">
        <v>0.189</v>
      </c>
      <c r="E413" s="627">
        <v>0.19800000000000001</v>
      </c>
      <c r="F413" s="627">
        <v>0.12</v>
      </c>
      <c r="G413" s="627">
        <v>0.112</v>
      </c>
    </row>
    <row r="414" spans="1:7" ht="18.75" x14ac:dyDescent="0.25">
      <c r="A414" s="632" t="s">
        <v>3058</v>
      </c>
      <c r="B414" s="627">
        <v>410</v>
      </c>
      <c r="C414" s="628" t="str">
        <f t="shared" si="8"/>
        <v>Ô tô tự đổ 7 tấn410</v>
      </c>
      <c r="D414" s="627">
        <v>0.189</v>
      </c>
      <c r="E414" s="627">
        <v>0.19800000000000001</v>
      </c>
      <c r="F414" s="627">
        <v>0.12</v>
      </c>
      <c r="G414" s="627">
        <v>0.112</v>
      </c>
    </row>
    <row r="415" spans="1:7" ht="18.75" x14ac:dyDescent="0.25">
      <c r="A415" s="632" t="s">
        <v>3058</v>
      </c>
      <c r="B415" s="627">
        <v>411</v>
      </c>
      <c r="C415" s="628" t="str">
        <f t="shared" si="8"/>
        <v>Ô tô tự đổ 7 tấn411</v>
      </c>
      <c r="D415" s="627">
        <v>0.189</v>
      </c>
      <c r="E415" s="627">
        <v>0.19800000000000001</v>
      </c>
      <c r="F415" s="627">
        <v>0.12</v>
      </c>
      <c r="G415" s="627">
        <v>0.112</v>
      </c>
    </row>
    <row r="416" spans="1:7" ht="18.75" x14ac:dyDescent="0.25">
      <c r="A416" s="632" t="s">
        <v>3058</v>
      </c>
      <c r="B416" s="627">
        <v>412</v>
      </c>
      <c r="C416" s="628" t="str">
        <f t="shared" si="8"/>
        <v>Ô tô tự đổ 7 tấn412</v>
      </c>
      <c r="D416" s="627">
        <v>0.189</v>
      </c>
      <c r="E416" s="627">
        <v>0.19800000000000001</v>
      </c>
      <c r="F416" s="627">
        <v>0.12</v>
      </c>
      <c r="G416" s="627">
        <v>0.112</v>
      </c>
    </row>
    <row r="417" spans="1:7" ht="18.75" x14ac:dyDescent="0.25">
      <c r="A417" s="632" t="s">
        <v>3058</v>
      </c>
      <c r="B417" s="627">
        <v>413</v>
      </c>
      <c r="C417" s="628" t="str">
        <f t="shared" si="8"/>
        <v>Ô tô tự đổ 7 tấn413</v>
      </c>
      <c r="D417" s="627">
        <v>0.189</v>
      </c>
      <c r="E417" s="627">
        <v>0.19800000000000001</v>
      </c>
      <c r="F417" s="627">
        <v>0.12</v>
      </c>
      <c r="G417" s="627">
        <v>0.112</v>
      </c>
    </row>
    <row r="418" spans="1:7" ht="18.75" x14ac:dyDescent="0.25">
      <c r="A418" s="632" t="s">
        <v>3058</v>
      </c>
      <c r="B418" s="627">
        <v>414</v>
      </c>
      <c r="C418" s="628" t="str">
        <f t="shared" si="8"/>
        <v>Ô tô tự đổ 7 tấn414</v>
      </c>
      <c r="D418" s="627">
        <v>0.189</v>
      </c>
      <c r="E418" s="627">
        <v>0.19800000000000001</v>
      </c>
      <c r="F418" s="627">
        <v>0.12</v>
      </c>
      <c r="G418" s="627">
        <v>0.112</v>
      </c>
    </row>
    <row r="419" spans="1:7" ht="18.75" x14ac:dyDescent="0.25">
      <c r="A419" s="632" t="s">
        <v>3058</v>
      </c>
      <c r="B419" s="627">
        <v>415</v>
      </c>
      <c r="C419" s="628" t="str">
        <f t="shared" si="8"/>
        <v>Ô tô tự đổ 7 tấn415</v>
      </c>
      <c r="D419" s="627">
        <v>0.189</v>
      </c>
      <c r="E419" s="627">
        <v>0.19800000000000001</v>
      </c>
      <c r="F419" s="627">
        <v>0.12</v>
      </c>
      <c r="G419" s="627">
        <v>0.112</v>
      </c>
    </row>
    <row r="420" spans="1:7" ht="18.75" x14ac:dyDescent="0.25">
      <c r="A420" s="632" t="s">
        <v>3058</v>
      </c>
      <c r="B420" s="627">
        <v>416</v>
      </c>
      <c r="C420" s="628" t="str">
        <f t="shared" si="8"/>
        <v>Ô tô tự đổ 7 tấn416</v>
      </c>
      <c r="D420" s="627">
        <v>0.189</v>
      </c>
      <c r="E420" s="627">
        <v>0.19800000000000001</v>
      </c>
      <c r="F420" s="627">
        <v>0.12</v>
      </c>
      <c r="G420" s="627">
        <v>0.112</v>
      </c>
    </row>
    <row r="421" spans="1:7" ht="18.75" x14ac:dyDescent="0.25">
      <c r="A421" s="632" t="s">
        <v>3058</v>
      </c>
      <c r="B421" s="627">
        <v>417</v>
      </c>
      <c r="C421" s="628" t="str">
        <f t="shared" si="8"/>
        <v>Ô tô tự đổ 7 tấn417</v>
      </c>
      <c r="D421" s="627">
        <v>0.189</v>
      </c>
      <c r="E421" s="627">
        <v>0.19800000000000001</v>
      </c>
      <c r="F421" s="627">
        <v>0.12</v>
      </c>
      <c r="G421" s="627">
        <v>0.112</v>
      </c>
    </row>
    <row r="422" spans="1:7" ht="18.75" x14ac:dyDescent="0.25">
      <c r="A422" s="632" t="s">
        <v>3058</v>
      </c>
      <c r="B422" s="627">
        <v>418</v>
      </c>
      <c r="C422" s="628" t="str">
        <f t="shared" si="8"/>
        <v>Ô tô tự đổ 7 tấn418</v>
      </c>
      <c r="D422" s="627">
        <v>0.189</v>
      </c>
      <c r="E422" s="627">
        <v>0.19800000000000001</v>
      </c>
      <c r="F422" s="627">
        <v>0.12</v>
      </c>
      <c r="G422" s="627">
        <v>0.112</v>
      </c>
    </row>
    <row r="423" spans="1:7" ht="18.75" x14ac:dyDescent="0.25">
      <c r="A423" s="632" t="s">
        <v>3058</v>
      </c>
      <c r="B423" s="627">
        <v>419</v>
      </c>
      <c r="C423" s="628" t="str">
        <f t="shared" si="8"/>
        <v>Ô tô tự đổ 7 tấn419</v>
      </c>
      <c r="D423" s="627">
        <v>0.189</v>
      </c>
      <c r="E423" s="627">
        <v>0.19800000000000001</v>
      </c>
      <c r="F423" s="627">
        <v>0.12</v>
      </c>
      <c r="G423" s="627">
        <v>0.112</v>
      </c>
    </row>
    <row r="424" spans="1:7" ht="18.75" x14ac:dyDescent="0.25">
      <c r="A424" s="632" t="s">
        <v>3058</v>
      </c>
      <c r="B424" s="627">
        <v>420</v>
      </c>
      <c r="C424" s="628" t="str">
        <f t="shared" si="8"/>
        <v>Ô tô tự đổ 7 tấn420</v>
      </c>
      <c r="D424" s="627">
        <v>0.189</v>
      </c>
      <c r="E424" s="627">
        <v>0.19800000000000001</v>
      </c>
      <c r="F424" s="627">
        <v>0.12</v>
      </c>
      <c r="G424" s="627">
        <v>0.112</v>
      </c>
    </row>
    <row r="425" spans="1:7" ht="18.75" x14ac:dyDescent="0.25">
      <c r="A425" s="632" t="s">
        <v>3058</v>
      </c>
      <c r="B425" s="627">
        <v>421</v>
      </c>
      <c r="C425" s="628" t="str">
        <f t="shared" ref="C425:C488" si="9">A425&amp;B425</f>
        <v>Ô tô tự đổ 7 tấn421</v>
      </c>
      <c r="D425" s="627">
        <v>0.189</v>
      </c>
      <c r="E425" s="627">
        <v>0.19800000000000001</v>
      </c>
      <c r="F425" s="627">
        <v>0.12</v>
      </c>
      <c r="G425" s="627">
        <v>0.112</v>
      </c>
    </row>
    <row r="426" spans="1:7" ht="18.75" x14ac:dyDescent="0.25">
      <c r="A426" s="632" t="s">
        <v>3058</v>
      </c>
      <c r="B426" s="627">
        <v>422</v>
      </c>
      <c r="C426" s="628" t="str">
        <f t="shared" si="9"/>
        <v>Ô tô tự đổ 7 tấn422</v>
      </c>
      <c r="D426" s="627">
        <v>0.189</v>
      </c>
      <c r="E426" s="627">
        <v>0.19800000000000001</v>
      </c>
      <c r="F426" s="627">
        <v>0.12</v>
      </c>
      <c r="G426" s="627">
        <v>0.112</v>
      </c>
    </row>
    <row r="427" spans="1:7" ht="18.75" x14ac:dyDescent="0.25">
      <c r="A427" s="632" t="s">
        <v>3058</v>
      </c>
      <c r="B427" s="627">
        <v>423</v>
      </c>
      <c r="C427" s="628" t="str">
        <f t="shared" si="9"/>
        <v>Ô tô tự đổ 7 tấn423</v>
      </c>
      <c r="D427" s="627">
        <v>0.189</v>
      </c>
      <c r="E427" s="627">
        <v>0.19800000000000001</v>
      </c>
      <c r="F427" s="627">
        <v>0.12</v>
      </c>
      <c r="G427" s="627">
        <v>0.112</v>
      </c>
    </row>
    <row r="428" spans="1:7" ht="18.75" x14ac:dyDescent="0.25">
      <c r="A428" s="632" t="s">
        <v>3058</v>
      </c>
      <c r="B428" s="627">
        <v>424</v>
      </c>
      <c r="C428" s="628" t="str">
        <f t="shared" si="9"/>
        <v>Ô tô tự đổ 7 tấn424</v>
      </c>
      <c r="D428" s="627">
        <v>0.189</v>
      </c>
      <c r="E428" s="627">
        <v>0.19800000000000001</v>
      </c>
      <c r="F428" s="627">
        <v>0.12</v>
      </c>
      <c r="G428" s="627">
        <v>0.112</v>
      </c>
    </row>
    <row r="429" spans="1:7" ht="18.75" x14ac:dyDescent="0.25">
      <c r="A429" s="632" t="s">
        <v>3058</v>
      </c>
      <c r="B429" s="627">
        <v>425</v>
      </c>
      <c r="C429" s="628" t="str">
        <f t="shared" si="9"/>
        <v>Ô tô tự đổ 7 tấn425</v>
      </c>
      <c r="D429" s="627">
        <v>0.189</v>
      </c>
      <c r="E429" s="627">
        <v>0.19800000000000001</v>
      </c>
      <c r="F429" s="627">
        <v>0.12</v>
      </c>
      <c r="G429" s="627">
        <v>0.112</v>
      </c>
    </row>
    <row r="430" spans="1:7" ht="18.75" x14ac:dyDescent="0.25">
      <c r="A430" s="632" t="s">
        <v>3058</v>
      </c>
      <c r="B430" s="627">
        <v>426</v>
      </c>
      <c r="C430" s="628" t="str">
        <f t="shared" si="9"/>
        <v>Ô tô tự đổ 7 tấn426</v>
      </c>
      <c r="D430" s="627">
        <v>0.189</v>
      </c>
      <c r="E430" s="627">
        <v>0.19800000000000001</v>
      </c>
      <c r="F430" s="627">
        <v>0.12</v>
      </c>
      <c r="G430" s="627">
        <v>0.112</v>
      </c>
    </row>
    <row r="431" spans="1:7" ht="18.75" x14ac:dyDescent="0.25">
      <c r="A431" s="632" t="s">
        <v>3058</v>
      </c>
      <c r="B431" s="627">
        <v>427</v>
      </c>
      <c r="C431" s="628" t="str">
        <f t="shared" si="9"/>
        <v>Ô tô tự đổ 7 tấn427</v>
      </c>
      <c r="D431" s="627">
        <v>0.189</v>
      </c>
      <c r="E431" s="627">
        <v>0.19800000000000001</v>
      </c>
      <c r="F431" s="627">
        <v>0.12</v>
      </c>
      <c r="G431" s="627">
        <v>0.112</v>
      </c>
    </row>
    <row r="432" spans="1:7" ht="18.75" x14ac:dyDescent="0.25">
      <c r="A432" s="632" t="s">
        <v>3058</v>
      </c>
      <c r="B432" s="627">
        <v>428</v>
      </c>
      <c r="C432" s="628" t="str">
        <f t="shared" si="9"/>
        <v>Ô tô tự đổ 7 tấn428</v>
      </c>
      <c r="D432" s="627">
        <v>0.189</v>
      </c>
      <c r="E432" s="627">
        <v>0.19800000000000001</v>
      </c>
      <c r="F432" s="627">
        <v>0.12</v>
      </c>
      <c r="G432" s="627">
        <v>0.112</v>
      </c>
    </row>
    <row r="433" spans="1:7" ht="18.75" x14ac:dyDescent="0.25">
      <c r="A433" s="632" t="s">
        <v>3058</v>
      </c>
      <c r="B433" s="627">
        <v>429</v>
      </c>
      <c r="C433" s="628" t="str">
        <f t="shared" si="9"/>
        <v>Ô tô tự đổ 7 tấn429</v>
      </c>
      <c r="D433" s="627">
        <v>0.189</v>
      </c>
      <c r="E433" s="627">
        <v>0.19800000000000001</v>
      </c>
      <c r="F433" s="627">
        <v>0.12</v>
      </c>
      <c r="G433" s="627">
        <v>0.112</v>
      </c>
    </row>
    <row r="434" spans="1:7" ht="18.75" x14ac:dyDescent="0.25">
      <c r="A434" s="632" t="s">
        <v>3058</v>
      </c>
      <c r="B434" s="627">
        <v>430</v>
      </c>
      <c r="C434" s="628" t="str">
        <f t="shared" si="9"/>
        <v>Ô tô tự đổ 7 tấn430</v>
      </c>
      <c r="D434" s="627">
        <v>0.189</v>
      </c>
      <c r="E434" s="627">
        <v>0.19800000000000001</v>
      </c>
      <c r="F434" s="627">
        <v>0.12</v>
      </c>
      <c r="G434" s="627">
        <v>0.112</v>
      </c>
    </row>
    <row r="435" spans="1:7" ht="18.75" x14ac:dyDescent="0.25">
      <c r="A435" s="632" t="s">
        <v>3058</v>
      </c>
      <c r="B435" s="627">
        <v>431</v>
      </c>
      <c r="C435" s="628" t="str">
        <f t="shared" si="9"/>
        <v>Ô tô tự đổ 7 tấn431</v>
      </c>
      <c r="D435" s="627">
        <v>0.189</v>
      </c>
      <c r="E435" s="627">
        <v>0.19800000000000001</v>
      </c>
      <c r="F435" s="627">
        <v>0.12</v>
      </c>
      <c r="G435" s="627">
        <v>0.112</v>
      </c>
    </row>
    <row r="436" spans="1:7" ht="18.75" x14ac:dyDescent="0.25">
      <c r="A436" s="632" t="s">
        <v>3058</v>
      </c>
      <c r="B436" s="627">
        <v>432</v>
      </c>
      <c r="C436" s="628" t="str">
        <f t="shared" si="9"/>
        <v>Ô tô tự đổ 7 tấn432</v>
      </c>
      <c r="D436" s="627">
        <v>0.189</v>
      </c>
      <c r="E436" s="627">
        <v>0.19800000000000001</v>
      </c>
      <c r="F436" s="627">
        <v>0.12</v>
      </c>
      <c r="G436" s="627">
        <v>0.112</v>
      </c>
    </row>
    <row r="437" spans="1:7" ht="18.75" x14ac:dyDescent="0.25">
      <c r="A437" s="632" t="s">
        <v>3058</v>
      </c>
      <c r="B437" s="627">
        <v>433</v>
      </c>
      <c r="C437" s="628" t="str">
        <f t="shared" si="9"/>
        <v>Ô tô tự đổ 7 tấn433</v>
      </c>
      <c r="D437" s="627">
        <v>0.189</v>
      </c>
      <c r="E437" s="627">
        <v>0.19800000000000001</v>
      </c>
      <c r="F437" s="627">
        <v>0.12</v>
      </c>
      <c r="G437" s="627">
        <v>0.112</v>
      </c>
    </row>
    <row r="438" spans="1:7" ht="18.75" x14ac:dyDescent="0.25">
      <c r="A438" s="632" t="s">
        <v>3058</v>
      </c>
      <c r="B438" s="627">
        <v>434</v>
      </c>
      <c r="C438" s="628" t="str">
        <f t="shared" si="9"/>
        <v>Ô tô tự đổ 7 tấn434</v>
      </c>
      <c r="D438" s="627">
        <v>0.189</v>
      </c>
      <c r="E438" s="627">
        <v>0.19800000000000001</v>
      </c>
      <c r="F438" s="627">
        <v>0.12</v>
      </c>
      <c r="G438" s="627">
        <v>0.112</v>
      </c>
    </row>
    <row r="439" spans="1:7" ht="18.75" x14ac:dyDescent="0.25">
      <c r="A439" s="632" t="s">
        <v>3058</v>
      </c>
      <c r="B439" s="627">
        <v>435</v>
      </c>
      <c r="C439" s="628" t="str">
        <f t="shared" si="9"/>
        <v>Ô tô tự đổ 7 tấn435</v>
      </c>
      <c r="D439" s="627">
        <v>0.189</v>
      </c>
      <c r="E439" s="627">
        <v>0.19800000000000001</v>
      </c>
      <c r="F439" s="627">
        <v>0.12</v>
      </c>
      <c r="G439" s="627">
        <v>0.112</v>
      </c>
    </row>
    <row r="440" spans="1:7" ht="18.75" x14ac:dyDescent="0.25">
      <c r="A440" s="632" t="s">
        <v>3058</v>
      </c>
      <c r="B440" s="627">
        <v>436</v>
      </c>
      <c r="C440" s="628" t="str">
        <f t="shared" si="9"/>
        <v>Ô tô tự đổ 7 tấn436</v>
      </c>
      <c r="D440" s="627">
        <v>0.189</v>
      </c>
      <c r="E440" s="627">
        <v>0.19800000000000001</v>
      </c>
      <c r="F440" s="627">
        <v>0.12</v>
      </c>
      <c r="G440" s="627">
        <v>0.112</v>
      </c>
    </row>
    <row r="441" spans="1:7" ht="18.75" x14ac:dyDescent="0.25">
      <c r="A441" s="632" t="s">
        <v>3058</v>
      </c>
      <c r="B441" s="627">
        <v>437</v>
      </c>
      <c r="C441" s="628" t="str">
        <f t="shared" si="9"/>
        <v>Ô tô tự đổ 7 tấn437</v>
      </c>
      <c r="D441" s="627">
        <v>0.189</v>
      </c>
      <c r="E441" s="627">
        <v>0.19800000000000001</v>
      </c>
      <c r="F441" s="627">
        <v>0.12</v>
      </c>
      <c r="G441" s="627">
        <v>0.112</v>
      </c>
    </row>
    <row r="442" spans="1:7" ht="18.75" x14ac:dyDescent="0.25">
      <c r="A442" s="632" t="s">
        <v>3058</v>
      </c>
      <c r="B442" s="627">
        <v>438</v>
      </c>
      <c r="C442" s="628" t="str">
        <f t="shared" si="9"/>
        <v>Ô tô tự đổ 7 tấn438</v>
      </c>
      <c r="D442" s="627">
        <v>0.189</v>
      </c>
      <c r="E442" s="627">
        <v>0.19800000000000001</v>
      </c>
      <c r="F442" s="627">
        <v>0.12</v>
      </c>
      <c r="G442" s="627">
        <v>0.112</v>
      </c>
    </row>
    <row r="443" spans="1:7" ht="18.75" x14ac:dyDescent="0.25">
      <c r="A443" s="632" t="s">
        <v>3058</v>
      </c>
      <c r="B443" s="627">
        <v>439</v>
      </c>
      <c r="C443" s="628" t="str">
        <f t="shared" si="9"/>
        <v>Ô tô tự đổ 7 tấn439</v>
      </c>
      <c r="D443" s="627">
        <v>0.189</v>
      </c>
      <c r="E443" s="627">
        <v>0.19800000000000001</v>
      </c>
      <c r="F443" s="627">
        <v>0.12</v>
      </c>
      <c r="G443" s="627">
        <v>0.112</v>
      </c>
    </row>
    <row r="444" spans="1:7" ht="18.75" x14ac:dyDescent="0.25">
      <c r="A444" s="632" t="s">
        <v>3058</v>
      </c>
      <c r="B444" s="627">
        <v>440</v>
      </c>
      <c r="C444" s="628" t="str">
        <f t="shared" si="9"/>
        <v>Ô tô tự đổ 7 tấn440</v>
      </c>
      <c r="D444" s="627">
        <v>0.189</v>
      </c>
      <c r="E444" s="627">
        <v>0.19800000000000001</v>
      </c>
      <c r="F444" s="627">
        <v>0.12</v>
      </c>
      <c r="G444" s="627">
        <v>0.112</v>
      </c>
    </row>
    <row r="445" spans="1:7" ht="18.75" x14ac:dyDescent="0.25">
      <c r="A445" s="632" t="s">
        <v>3058</v>
      </c>
      <c r="B445" s="627">
        <v>441</v>
      </c>
      <c r="C445" s="628" t="str">
        <f t="shared" si="9"/>
        <v>Ô tô tự đổ 7 tấn441</v>
      </c>
      <c r="D445" s="627">
        <v>0.189</v>
      </c>
      <c r="E445" s="627">
        <v>0.19800000000000001</v>
      </c>
      <c r="F445" s="627">
        <v>0.12</v>
      </c>
      <c r="G445" s="627">
        <v>0.112</v>
      </c>
    </row>
    <row r="446" spans="1:7" ht="18.75" x14ac:dyDescent="0.25">
      <c r="A446" s="632" t="s">
        <v>3058</v>
      </c>
      <c r="B446" s="627">
        <v>442</v>
      </c>
      <c r="C446" s="628" t="str">
        <f t="shared" si="9"/>
        <v>Ô tô tự đổ 7 tấn442</v>
      </c>
      <c r="D446" s="627">
        <v>0.189</v>
      </c>
      <c r="E446" s="627">
        <v>0.19800000000000001</v>
      </c>
      <c r="F446" s="627">
        <v>0.12</v>
      </c>
      <c r="G446" s="627">
        <v>0.112</v>
      </c>
    </row>
    <row r="447" spans="1:7" ht="18.75" x14ac:dyDescent="0.25">
      <c r="A447" s="632" t="s">
        <v>3058</v>
      </c>
      <c r="B447" s="627">
        <v>443</v>
      </c>
      <c r="C447" s="628" t="str">
        <f t="shared" si="9"/>
        <v>Ô tô tự đổ 7 tấn443</v>
      </c>
      <c r="D447" s="627">
        <v>0.189</v>
      </c>
      <c r="E447" s="627">
        <v>0.19800000000000001</v>
      </c>
      <c r="F447" s="627">
        <v>0.12</v>
      </c>
      <c r="G447" s="627">
        <v>0.112</v>
      </c>
    </row>
    <row r="448" spans="1:7" ht="18.75" x14ac:dyDescent="0.25">
      <c r="A448" s="632" t="s">
        <v>3058</v>
      </c>
      <c r="B448" s="627">
        <v>444</v>
      </c>
      <c r="C448" s="628" t="str">
        <f t="shared" si="9"/>
        <v>Ô tô tự đổ 7 tấn444</v>
      </c>
      <c r="D448" s="627">
        <v>0.189</v>
      </c>
      <c r="E448" s="627">
        <v>0.19800000000000001</v>
      </c>
      <c r="F448" s="627">
        <v>0.12</v>
      </c>
      <c r="G448" s="627">
        <v>0.112</v>
      </c>
    </row>
    <row r="449" spans="1:7" ht="18.75" x14ac:dyDescent="0.25">
      <c r="A449" s="632" t="s">
        <v>3058</v>
      </c>
      <c r="B449" s="627">
        <v>445</v>
      </c>
      <c r="C449" s="628" t="str">
        <f t="shared" si="9"/>
        <v>Ô tô tự đổ 7 tấn445</v>
      </c>
      <c r="D449" s="627">
        <v>0.189</v>
      </c>
      <c r="E449" s="627">
        <v>0.19800000000000001</v>
      </c>
      <c r="F449" s="627">
        <v>0.12</v>
      </c>
      <c r="G449" s="627">
        <v>0.112</v>
      </c>
    </row>
    <row r="450" spans="1:7" ht="18.75" x14ac:dyDescent="0.25">
      <c r="A450" s="632" t="s">
        <v>3058</v>
      </c>
      <c r="B450" s="627">
        <v>446</v>
      </c>
      <c r="C450" s="628" t="str">
        <f t="shared" si="9"/>
        <v>Ô tô tự đổ 7 tấn446</v>
      </c>
      <c r="D450" s="627">
        <v>0.189</v>
      </c>
      <c r="E450" s="627">
        <v>0.19800000000000001</v>
      </c>
      <c r="F450" s="627">
        <v>0.12</v>
      </c>
      <c r="G450" s="627">
        <v>0.112</v>
      </c>
    </row>
    <row r="451" spans="1:7" ht="18.75" x14ac:dyDescent="0.25">
      <c r="A451" s="632" t="s">
        <v>3058</v>
      </c>
      <c r="B451" s="627">
        <v>447</v>
      </c>
      <c r="C451" s="628" t="str">
        <f t="shared" si="9"/>
        <v>Ô tô tự đổ 7 tấn447</v>
      </c>
      <c r="D451" s="627">
        <v>0.189</v>
      </c>
      <c r="E451" s="627">
        <v>0.19800000000000001</v>
      </c>
      <c r="F451" s="627">
        <v>0.12</v>
      </c>
      <c r="G451" s="627">
        <v>0.112</v>
      </c>
    </row>
    <row r="452" spans="1:7" ht="18.75" x14ac:dyDescent="0.25">
      <c r="A452" s="632" t="s">
        <v>3058</v>
      </c>
      <c r="B452" s="627">
        <v>448</v>
      </c>
      <c r="C452" s="628" t="str">
        <f t="shared" si="9"/>
        <v>Ô tô tự đổ 7 tấn448</v>
      </c>
      <c r="D452" s="627">
        <v>0.189</v>
      </c>
      <c r="E452" s="627">
        <v>0.19800000000000001</v>
      </c>
      <c r="F452" s="627">
        <v>0.12</v>
      </c>
      <c r="G452" s="627">
        <v>0.112</v>
      </c>
    </row>
    <row r="453" spans="1:7" ht="18.75" x14ac:dyDescent="0.25">
      <c r="A453" s="632" t="s">
        <v>3058</v>
      </c>
      <c r="B453" s="627">
        <v>449</v>
      </c>
      <c r="C453" s="628" t="str">
        <f t="shared" si="9"/>
        <v>Ô tô tự đổ 7 tấn449</v>
      </c>
      <c r="D453" s="627">
        <v>0.189</v>
      </c>
      <c r="E453" s="627">
        <v>0.19800000000000001</v>
      </c>
      <c r="F453" s="627">
        <v>0.12</v>
      </c>
      <c r="G453" s="627">
        <v>0.112</v>
      </c>
    </row>
    <row r="454" spans="1:7" ht="18.75" x14ac:dyDescent="0.25">
      <c r="A454" s="632" t="s">
        <v>3058</v>
      </c>
      <c r="B454" s="627">
        <v>450</v>
      </c>
      <c r="C454" s="628" t="str">
        <f t="shared" si="9"/>
        <v>Ô tô tự đổ 7 tấn450</v>
      </c>
      <c r="D454" s="627">
        <v>0.189</v>
      </c>
      <c r="E454" s="627">
        <v>0.19800000000000001</v>
      </c>
      <c r="F454" s="627">
        <v>0.12</v>
      </c>
      <c r="G454" s="627">
        <v>0.112</v>
      </c>
    </row>
    <row r="455" spans="1:7" ht="18.75" x14ac:dyDescent="0.25">
      <c r="A455" s="632" t="s">
        <v>3058</v>
      </c>
      <c r="B455" s="627">
        <v>451</v>
      </c>
      <c r="C455" s="628" t="str">
        <f t="shared" si="9"/>
        <v>Ô tô tự đổ 7 tấn451</v>
      </c>
      <c r="D455" s="627">
        <v>0.189</v>
      </c>
      <c r="E455" s="627">
        <v>0.19800000000000001</v>
      </c>
      <c r="F455" s="627">
        <v>0.12</v>
      </c>
      <c r="G455" s="627">
        <v>0.112</v>
      </c>
    </row>
    <row r="456" spans="1:7" ht="18.75" x14ac:dyDescent="0.25">
      <c r="A456" s="632" t="s">
        <v>3058</v>
      </c>
      <c r="B456" s="627">
        <v>452</v>
      </c>
      <c r="C456" s="628" t="str">
        <f t="shared" si="9"/>
        <v>Ô tô tự đổ 7 tấn452</v>
      </c>
      <c r="D456" s="627">
        <v>0.189</v>
      </c>
      <c r="E456" s="627">
        <v>0.19800000000000001</v>
      </c>
      <c r="F456" s="627">
        <v>0.12</v>
      </c>
      <c r="G456" s="627">
        <v>0.112</v>
      </c>
    </row>
    <row r="457" spans="1:7" ht="18.75" x14ac:dyDescent="0.25">
      <c r="A457" s="632" t="s">
        <v>3058</v>
      </c>
      <c r="B457" s="627">
        <v>453</v>
      </c>
      <c r="C457" s="628" t="str">
        <f t="shared" si="9"/>
        <v>Ô tô tự đổ 7 tấn453</v>
      </c>
      <c r="D457" s="627">
        <v>0.189</v>
      </c>
      <c r="E457" s="627">
        <v>0.19800000000000001</v>
      </c>
      <c r="F457" s="627">
        <v>0.12</v>
      </c>
      <c r="G457" s="627">
        <v>0.112</v>
      </c>
    </row>
    <row r="458" spans="1:7" ht="18.75" x14ac:dyDescent="0.25">
      <c r="A458" s="632" t="s">
        <v>3058</v>
      </c>
      <c r="B458" s="627">
        <v>454</v>
      </c>
      <c r="C458" s="628" t="str">
        <f t="shared" si="9"/>
        <v>Ô tô tự đổ 7 tấn454</v>
      </c>
      <c r="D458" s="627">
        <v>0.189</v>
      </c>
      <c r="E458" s="627">
        <v>0.19800000000000001</v>
      </c>
      <c r="F458" s="627">
        <v>0.12</v>
      </c>
      <c r="G458" s="627">
        <v>0.112</v>
      </c>
    </row>
    <row r="459" spans="1:7" ht="18.75" x14ac:dyDescent="0.25">
      <c r="A459" s="632" t="s">
        <v>3058</v>
      </c>
      <c r="B459" s="627">
        <v>455</v>
      </c>
      <c r="C459" s="628" t="str">
        <f t="shared" si="9"/>
        <v>Ô tô tự đổ 7 tấn455</v>
      </c>
      <c r="D459" s="627">
        <v>0.189</v>
      </c>
      <c r="E459" s="627">
        <v>0.19800000000000001</v>
      </c>
      <c r="F459" s="627">
        <v>0.12</v>
      </c>
      <c r="G459" s="627">
        <v>0.112</v>
      </c>
    </row>
    <row r="460" spans="1:7" ht="18.75" x14ac:dyDescent="0.25">
      <c r="A460" s="632" t="s">
        <v>3058</v>
      </c>
      <c r="B460" s="627">
        <v>456</v>
      </c>
      <c r="C460" s="628" t="str">
        <f t="shared" si="9"/>
        <v>Ô tô tự đổ 7 tấn456</v>
      </c>
      <c r="D460" s="627">
        <v>0.189</v>
      </c>
      <c r="E460" s="627">
        <v>0.19800000000000001</v>
      </c>
      <c r="F460" s="627">
        <v>0.12</v>
      </c>
      <c r="G460" s="627">
        <v>0.112</v>
      </c>
    </row>
    <row r="461" spans="1:7" ht="18.75" x14ac:dyDescent="0.25">
      <c r="A461" s="632" t="s">
        <v>3058</v>
      </c>
      <c r="B461" s="627">
        <v>457</v>
      </c>
      <c r="C461" s="628" t="str">
        <f t="shared" si="9"/>
        <v>Ô tô tự đổ 7 tấn457</v>
      </c>
      <c r="D461" s="627">
        <v>0.189</v>
      </c>
      <c r="E461" s="627">
        <v>0.19800000000000001</v>
      </c>
      <c r="F461" s="627">
        <v>0.12</v>
      </c>
      <c r="G461" s="627">
        <v>0.112</v>
      </c>
    </row>
    <row r="462" spans="1:7" ht="18.75" x14ac:dyDescent="0.25">
      <c r="A462" s="632" t="s">
        <v>3058</v>
      </c>
      <c r="B462" s="627">
        <v>458</v>
      </c>
      <c r="C462" s="628" t="str">
        <f t="shared" si="9"/>
        <v>Ô tô tự đổ 7 tấn458</v>
      </c>
      <c r="D462" s="627">
        <v>0.189</v>
      </c>
      <c r="E462" s="627">
        <v>0.19800000000000001</v>
      </c>
      <c r="F462" s="627">
        <v>0.12</v>
      </c>
      <c r="G462" s="627">
        <v>0.112</v>
      </c>
    </row>
    <row r="463" spans="1:7" ht="18.75" x14ac:dyDescent="0.25">
      <c r="A463" s="632" t="s">
        <v>3058</v>
      </c>
      <c r="B463" s="627">
        <v>459</v>
      </c>
      <c r="C463" s="628" t="str">
        <f t="shared" si="9"/>
        <v>Ô tô tự đổ 7 tấn459</v>
      </c>
      <c r="D463" s="627">
        <v>0.189</v>
      </c>
      <c r="E463" s="627">
        <v>0.19800000000000001</v>
      </c>
      <c r="F463" s="627">
        <v>0.12</v>
      </c>
      <c r="G463" s="627">
        <v>0.112</v>
      </c>
    </row>
    <row r="464" spans="1:7" ht="18.75" x14ac:dyDescent="0.25">
      <c r="A464" s="632" t="s">
        <v>3058</v>
      </c>
      <c r="B464" s="627">
        <v>460</v>
      </c>
      <c r="C464" s="628" t="str">
        <f t="shared" si="9"/>
        <v>Ô tô tự đổ 7 tấn460</v>
      </c>
      <c r="D464" s="627">
        <v>0.189</v>
      </c>
      <c r="E464" s="627">
        <v>0.19800000000000001</v>
      </c>
      <c r="F464" s="627">
        <v>0.12</v>
      </c>
      <c r="G464" s="627">
        <v>0.112</v>
      </c>
    </row>
    <row r="465" spans="1:7" ht="18.75" x14ac:dyDescent="0.25">
      <c r="A465" s="632" t="s">
        <v>3058</v>
      </c>
      <c r="B465" s="627">
        <v>461</v>
      </c>
      <c r="C465" s="628" t="str">
        <f t="shared" si="9"/>
        <v>Ô tô tự đổ 7 tấn461</v>
      </c>
      <c r="D465" s="627">
        <v>0.189</v>
      </c>
      <c r="E465" s="627">
        <v>0.19800000000000001</v>
      </c>
      <c r="F465" s="627">
        <v>0.12</v>
      </c>
      <c r="G465" s="627">
        <v>0.112</v>
      </c>
    </row>
    <row r="466" spans="1:7" ht="18.75" x14ac:dyDescent="0.25">
      <c r="A466" s="632" t="s">
        <v>3058</v>
      </c>
      <c r="B466" s="627">
        <v>462</v>
      </c>
      <c r="C466" s="628" t="str">
        <f t="shared" si="9"/>
        <v>Ô tô tự đổ 7 tấn462</v>
      </c>
      <c r="D466" s="627">
        <v>0.189</v>
      </c>
      <c r="E466" s="627">
        <v>0.19800000000000001</v>
      </c>
      <c r="F466" s="627">
        <v>0.12</v>
      </c>
      <c r="G466" s="627">
        <v>0.112</v>
      </c>
    </row>
    <row r="467" spans="1:7" ht="18.75" x14ac:dyDescent="0.25">
      <c r="A467" s="632" t="s">
        <v>3058</v>
      </c>
      <c r="B467" s="627">
        <v>463</v>
      </c>
      <c r="C467" s="628" t="str">
        <f t="shared" si="9"/>
        <v>Ô tô tự đổ 7 tấn463</v>
      </c>
      <c r="D467" s="627">
        <v>0.189</v>
      </c>
      <c r="E467" s="627">
        <v>0.19800000000000001</v>
      </c>
      <c r="F467" s="627">
        <v>0.12</v>
      </c>
      <c r="G467" s="627">
        <v>0.112</v>
      </c>
    </row>
    <row r="468" spans="1:7" ht="18.75" x14ac:dyDescent="0.25">
      <c r="A468" s="632" t="s">
        <v>3058</v>
      </c>
      <c r="B468" s="627">
        <v>464</v>
      </c>
      <c r="C468" s="628" t="str">
        <f t="shared" si="9"/>
        <v>Ô tô tự đổ 7 tấn464</v>
      </c>
      <c r="D468" s="627">
        <v>0.189</v>
      </c>
      <c r="E468" s="627">
        <v>0.19800000000000001</v>
      </c>
      <c r="F468" s="627">
        <v>0.12</v>
      </c>
      <c r="G468" s="627">
        <v>0.112</v>
      </c>
    </row>
    <row r="469" spans="1:7" ht="18.75" x14ac:dyDescent="0.25">
      <c r="A469" s="632" t="s">
        <v>3058</v>
      </c>
      <c r="B469" s="627">
        <v>465</v>
      </c>
      <c r="C469" s="628" t="str">
        <f t="shared" si="9"/>
        <v>Ô tô tự đổ 7 tấn465</v>
      </c>
      <c r="D469" s="627">
        <v>0.189</v>
      </c>
      <c r="E469" s="627">
        <v>0.19800000000000001</v>
      </c>
      <c r="F469" s="627">
        <v>0.12</v>
      </c>
      <c r="G469" s="627">
        <v>0.112</v>
      </c>
    </row>
    <row r="470" spans="1:7" ht="18.75" x14ac:dyDescent="0.25">
      <c r="A470" s="632" t="s">
        <v>3058</v>
      </c>
      <c r="B470" s="627">
        <v>466</v>
      </c>
      <c r="C470" s="628" t="str">
        <f t="shared" si="9"/>
        <v>Ô tô tự đổ 7 tấn466</v>
      </c>
      <c r="D470" s="627">
        <v>0.189</v>
      </c>
      <c r="E470" s="627">
        <v>0.19800000000000001</v>
      </c>
      <c r="F470" s="627">
        <v>0.12</v>
      </c>
      <c r="G470" s="627">
        <v>0.112</v>
      </c>
    </row>
    <row r="471" spans="1:7" ht="18.75" x14ac:dyDescent="0.25">
      <c r="A471" s="632" t="s">
        <v>3058</v>
      </c>
      <c r="B471" s="627">
        <v>467</v>
      </c>
      <c r="C471" s="628" t="str">
        <f t="shared" si="9"/>
        <v>Ô tô tự đổ 7 tấn467</v>
      </c>
      <c r="D471" s="627">
        <v>0.189</v>
      </c>
      <c r="E471" s="627">
        <v>0.19800000000000001</v>
      </c>
      <c r="F471" s="627">
        <v>0.12</v>
      </c>
      <c r="G471" s="627">
        <v>0.112</v>
      </c>
    </row>
    <row r="472" spans="1:7" ht="18.75" x14ac:dyDescent="0.25">
      <c r="A472" s="632" t="s">
        <v>3058</v>
      </c>
      <c r="B472" s="627">
        <v>468</v>
      </c>
      <c r="C472" s="628" t="str">
        <f t="shared" si="9"/>
        <v>Ô tô tự đổ 7 tấn468</v>
      </c>
      <c r="D472" s="627">
        <v>0.189</v>
      </c>
      <c r="E472" s="627">
        <v>0.19800000000000001</v>
      </c>
      <c r="F472" s="627">
        <v>0.12</v>
      </c>
      <c r="G472" s="627">
        <v>0.112</v>
      </c>
    </row>
    <row r="473" spans="1:7" ht="18.75" x14ac:dyDescent="0.25">
      <c r="A473" s="632" t="s">
        <v>3058</v>
      </c>
      <c r="B473" s="627">
        <v>469</v>
      </c>
      <c r="C473" s="628" t="str">
        <f t="shared" si="9"/>
        <v>Ô tô tự đổ 7 tấn469</v>
      </c>
      <c r="D473" s="627">
        <v>0.189</v>
      </c>
      <c r="E473" s="627">
        <v>0.19800000000000001</v>
      </c>
      <c r="F473" s="627">
        <v>0.12</v>
      </c>
      <c r="G473" s="627">
        <v>0.112</v>
      </c>
    </row>
    <row r="474" spans="1:7" ht="18.75" x14ac:dyDescent="0.25">
      <c r="A474" s="632" t="s">
        <v>3058</v>
      </c>
      <c r="B474" s="627">
        <v>470</v>
      </c>
      <c r="C474" s="628" t="str">
        <f t="shared" si="9"/>
        <v>Ô tô tự đổ 7 tấn470</v>
      </c>
      <c r="D474" s="627">
        <v>0.189</v>
      </c>
      <c r="E474" s="627">
        <v>0.19800000000000001</v>
      </c>
      <c r="F474" s="627">
        <v>0.12</v>
      </c>
      <c r="G474" s="627">
        <v>0.112</v>
      </c>
    </row>
    <row r="475" spans="1:7" ht="18.75" x14ac:dyDescent="0.25">
      <c r="A475" s="632" t="s">
        <v>3058</v>
      </c>
      <c r="B475" s="627">
        <v>471</v>
      </c>
      <c r="C475" s="628" t="str">
        <f t="shared" si="9"/>
        <v>Ô tô tự đổ 7 tấn471</v>
      </c>
      <c r="D475" s="627">
        <v>0.189</v>
      </c>
      <c r="E475" s="627">
        <v>0.19800000000000001</v>
      </c>
      <c r="F475" s="627">
        <v>0.12</v>
      </c>
      <c r="G475" s="627">
        <v>0.112</v>
      </c>
    </row>
    <row r="476" spans="1:7" ht="18.75" x14ac:dyDescent="0.25">
      <c r="A476" s="632" t="s">
        <v>3058</v>
      </c>
      <c r="B476" s="627">
        <v>472</v>
      </c>
      <c r="C476" s="628" t="str">
        <f t="shared" si="9"/>
        <v>Ô tô tự đổ 7 tấn472</v>
      </c>
      <c r="D476" s="627">
        <v>0.189</v>
      </c>
      <c r="E476" s="627">
        <v>0.19800000000000001</v>
      </c>
      <c r="F476" s="627">
        <v>0.12</v>
      </c>
      <c r="G476" s="627">
        <v>0.112</v>
      </c>
    </row>
    <row r="477" spans="1:7" ht="18.75" x14ac:dyDescent="0.25">
      <c r="A477" s="632" t="s">
        <v>3058</v>
      </c>
      <c r="B477" s="627">
        <v>473</v>
      </c>
      <c r="C477" s="628" t="str">
        <f t="shared" si="9"/>
        <v>Ô tô tự đổ 7 tấn473</v>
      </c>
      <c r="D477" s="627">
        <v>0.189</v>
      </c>
      <c r="E477" s="627">
        <v>0.19800000000000001</v>
      </c>
      <c r="F477" s="627">
        <v>0.12</v>
      </c>
      <c r="G477" s="627">
        <v>0.112</v>
      </c>
    </row>
    <row r="478" spans="1:7" ht="18.75" x14ac:dyDescent="0.25">
      <c r="A478" s="632" t="s">
        <v>3058</v>
      </c>
      <c r="B478" s="627">
        <v>474</v>
      </c>
      <c r="C478" s="628" t="str">
        <f t="shared" si="9"/>
        <v>Ô tô tự đổ 7 tấn474</v>
      </c>
      <c r="D478" s="627">
        <v>0.189</v>
      </c>
      <c r="E478" s="627">
        <v>0.19800000000000001</v>
      </c>
      <c r="F478" s="627">
        <v>0.12</v>
      </c>
      <c r="G478" s="627">
        <v>0.112</v>
      </c>
    </row>
    <row r="479" spans="1:7" ht="18.75" x14ac:dyDescent="0.25">
      <c r="A479" s="632" t="s">
        <v>3058</v>
      </c>
      <c r="B479" s="627">
        <v>475</v>
      </c>
      <c r="C479" s="628" t="str">
        <f t="shared" si="9"/>
        <v>Ô tô tự đổ 7 tấn475</v>
      </c>
      <c r="D479" s="627">
        <v>0.189</v>
      </c>
      <c r="E479" s="627">
        <v>0.19800000000000001</v>
      </c>
      <c r="F479" s="627">
        <v>0.12</v>
      </c>
      <c r="G479" s="627">
        <v>0.112</v>
      </c>
    </row>
    <row r="480" spans="1:7" ht="18.75" x14ac:dyDescent="0.25">
      <c r="A480" s="632" t="s">
        <v>3058</v>
      </c>
      <c r="B480" s="627">
        <v>476</v>
      </c>
      <c r="C480" s="628" t="str">
        <f t="shared" si="9"/>
        <v>Ô tô tự đổ 7 tấn476</v>
      </c>
      <c r="D480" s="627">
        <v>0.189</v>
      </c>
      <c r="E480" s="627">
        <v>0.19800000000000001</v>
      </c>
      <c r="F480" s="627">
        <v>0.12</v>
      </c>
      <c r="G480" s="627">
        <v>0.112</v>
      </c>
    </row>
    <row r="481" spans="1:7" ht="18.75" x14ac:dyDescent="0.25">
      <c r="A481" s="632" t="s">
        <v>3058</v>
      </c>
      <c r="B481" s="627">
        <v>477</v>
      </c>
      <c r="C481" s="628" t="str">
        <f t="shared" si="9"/>
        <v>Ô tô tự đổ 7 tấn477</v>
      </c>
      <c r="D481" s="627">
        <v>0.189</v>
      </c>
      <c r="E481" s="627">
        <v>0.19800000000000001</v>
      </c>
      <c r="F481" s="627">
        <v>0.12</v>
      </c>
      <c r="G481" s="627">
        <v>0.112</v>
      </c>
    </row>
    <row r="482" spans="1:7" ht="18.75" x14ac:dyDescent="0.25">
      <c r="A482" s="632" t="s">
        <v>3058</v>
      </c>
      <c r="B482" s="627">
        <v>478</v>
      </c>
      <c r="C482" s="628" t="str">
        <f t="shared" si="9"/>
        <v>Ô tô tự đổ 7 tấn478</v>
      </c>
      <c r="D482" s="627">
        <v>0.189</v>
      </c>
      <c r="E482" s="627">
        <v>0.19800000000000001</v>
      </c>
      <c r="F482" s="627">
        <v>0.12</v>
      </c>
      <c r="G482" s="627">
        <v>0.112</v>
      </c>
    </row>
    <row r="483" spans="1:7" ht="18.75" x14ac:dyDescent="0.25">
      <c r="A483" s="632" t="s">
        <v>3058</v>
      </c>
      <c r="B483" s="627">
        <v>479</v>
      </c>
      <c r="C483" s="628" t="str">
        <f t="shared" si="9"/>
        <v>Ô tô tự đổ 7 tấn479</v>
      </c>
      <c r="D483" s="627">
        <v>0.189</v>
      </c>
      <c r="E483" s="627">
        <v>0.19800000000000001</v>
      </c>
      <c r="F483" s="627">
        <v>0.12</v>
      </c>
      <c r="G483" s="627">
        <v>0.112</v>
      </c>
    </row>
    <row r="484" spans="1:7" ht="18.75" x14ac:dyDescent="0.25">
      <c r="A484" s="632" t="s">
        <v>3058</v>
      </c>
      <c r="B484" s="627">
        <v>480</v>
      </c>
      <c r="C484" s="628" t="str">
        <f t="shared" si="9"/>
        <v>Ô tô tự đổ 7 tấn480</v>
      </c>
      <c r="D484" s="627">
        <v>0.189</v>
      </c>
      <c r="E484" s="627">
        <v>0.19800000000000001</v>
      </c>
      <c r="F484" s="627">
        <v>0.12</v>
      </c>
      <c r="G484" s="627">
        <v>0.112</v>
      </c>
    </row>
    <row r="485" spans="1:7" ht="18.75" x14ac:dyDescent="0.25">
      <c r="A485" s="632" t="s">
        <v>3058</v>
      </c>
      <c r="B485" s="627">
        <v>481</v>
      </c>
      <c r="C485" s="628" t="str">
        <f t="shared" si="9"/>
        <v>Ô tô tự đổ 7 tấn481</v>
      </c>
      <c r="D485" s="627">
        <v>0.189</v>
      </c>
      <c r="E485" s="627">
        <v>0.19800000000000001</v>
      </c>
      <c r="F485" s="627">
        <v>0.12</v>
      </c>
      <c r="G485" s="627">
        <v>0.112</v>
      </c>
    </row>
    <row r="486" spans="1:7" ht="18.75" x14ac:dyDescent="0.25">
      <c r="A486" s="632" t="s">
        <v>3058</v>
      </c>
      <c r="B486" s="627">
        <v>482</v>
      </c>
      <c r="C486" s="628" t="str">
        <f t="shared" si="9"/>
        <v>Ô tô tự đổ 7 tấn482</v>
      </c>
      <c r="D486" s="627">
        <v>0.189</v>
      </c>
      <c r="E486" s="627">
        <v>0.19800000000000001</v>
      </c>
      <c r="F486" s="627">
        <v>0.12</v>
      </c>
      <c r="G486" s="627">
        <v>0.112</v>
      </c>
    </row>
    <row r="487" spans="1:7" ht="18.75" x14ac:dyDescent="0.25">
      <c r="A487" s="632" t="s">
        <v>3058</v>
      </c>
      <c r="B487" s="627">
        <v>483</v>
      </c>
      <c r="C487" s="628" t="str">
        <f t="shared" si="9"/>
        <v>Ô tô tự đổ 7 tấn483</v>
      </c>
      <c r="D487" s="627">
        <v>0.189</v>
      </c>
      <c r="E487" s="627">
        <v>0.19800000000000001</v>
      </c>
      <c r="F487" s="627">
        <v>0.12</v>
      </c>
      <c r="G487" s="627">
        <v>0.112</v>
      </c>
    </row>
    <row r="488" spans="1:7" ht="18.75" x14ac:dyDescent="0.25">
      <c r="A488" s="632" t="s">
        <v>3058</v>
      </c>
      <c r="B488" s="627">
        <v>484</v>
      </c>
      <c r="C488" s="628" t="str">
        <f t="shared" si="9"/>
        <v>Ô tô tự đổ 7 tấn484</v>
      </c>
      <c r="D488" s="627">
        <v>0.189</v>
      </c>
      <c r="E488" s="627">
        <v>0.19800000000000001</v>
      </c>
      <c r="F488" s="627">
        <v>0.12</v>
      </c>
      <c r="G488" s="627">
        <v>0.112</v>
      </c>
    </row>
    <row r="489" spans="1:7" ht="18.75" x14ac:dyDescent="0.25">
      <c r="A489" s="632" t="s">
        <v>3058</v>
      </c>
      <c r="B489" s="627">
        <v>485</v>
      </c>
      <c r="C489" s="628" t="str">
        <f t="shared" ref="C489:C504" si="10">A489&amp;B489</f>
        <v>Ô tô tự đổ 7 tấn485</v>
      </c>
      <c r="D489" s="627">
        <v>0.189</v>
      </c>
      <c r="E489" s="627">
        <v>0.19800000000000001</v>
      </c>
      <c r="F489" s="627">
        <v>0.12</v>
      </c>
      <c r="G489" s="627">
        <v>0.112</v>
      </c>
    </row>
    <row r="490" spans="1:7" ht="18.75" x14ac:dyDescent="0.25">
      <c r="A490" s="632" t="s">
        <v>3058</v>
      </c>
      <c r="B490" s="627">
        <v>486</v>
      </c>
      <c r="C490" s="628" t="str">
        <f t="shared" si="10"/>
        <v>Ô tô tự đổ 7 tấn486</v>
      </c>
      <c r="D490" s="627">
        <v>0.189</v>
      </c>
      <c r="E490" s="627">
        <v>0.19800000000000001</v>
      </c>
      <c r="F490" s="627">
        <v>0.12</v>
      </c>
      <c r="G490" s="627">
        <v>0.112</v>
      </c>
    </row>
    <row r="491" spans="1:7" ht="18.75" x14ac:dyDescent="0.25">
      <c r="A491" s="632" t="s">
        <v>3058</v>
      </c>
      <c r="B491" s="627">
        <v>487</v>
      </c>
      <c r="C491" s="628" t="str">
        <f t="shared" si="10"/>
        <v>Ô tô tự đổ 7 tấn487</v>
      </c>
      <c r="D491" s="627">
        <v>0.189</v>
      </c>
      <c r="E491" s="627">
        <v>0.19800000000000001</v>
      </c>
      <c r="F491" s="627">
        <v>0.12</v>
      </c>
      <c r="G491" s="627">
        <v>0.112</v>
      </c>
    </row>
    <row r="492" spans="1:7" ht="18.75" x14ac:dyDescent="0.25">
      <c r="A492" s="632" t="s">
        <v>3058</v>
      </c>
      <c r="B492" s="627">
        <v>488</v>
      </c>
      <c r="C492" s="628" t="str">
        <f t="shared" si="10"/>
        <v>Ô tô tự đổ 7 tấn488</v>
      </c>
      <c r="D492" s="627">
        <v>0.189</v>
      </c>
      <c r="E492" s="627">
        <v>0.19800000000000001</v>
      </c>
      <c r="F492" s="627">
        <v>0.12</v>
      </c>
      <c r="G492" s="627">
        <v>0.112</v>
      </c>
    </row>
    <row r="493" spans="1:7" ht="18.75" x14ac:dyDescent="0.25">
      <c r="A493" s="632" t="s">
        <v>3058</v>
      </c>
      <c r="B493" s="627">
        <v>489</v>
      </c>
      <c r="C493" s="628" t="str">
        <f t="shared" si="10"/>
        <v>Ô tô tự đổ 7 tấn489</v>
      </c>
      <c r="D493" s="627">
        <v>0.189</v>
      </c>
      <c r="E493" s="627">
        <v>0.19800000000000001</v>
      </c>
      <c r="F493" s="627">
        <v>0.12</v>
      </c>
      <c r="G493" s="627">
        <v>0.112</v>
      </c>
    </row>
    <row r="494" spans="1:7" ht="18.75" x14ac:dyDescent="0.25">
      <c r="A494" s="632" t="s">
        <v>3058</v>
      </c>
      <c r="B494" s="627">
        <v>490</v>
      </c>
      <c r="C494" s="628" t="str">
        <f t="shared" si="10"/>
        <v>Ô tô tự đổ 7 tấn490</v>
      </c>
      <c r="D494" s="627">
        <v>0.189</v>
      </c>
      <c r="E494" s="627">
        <v>0.19800000000000001</v>
      </c>
      <c r="F494" s="627">
        <v>0.12</v>
      </c>
      <c r="G494" s="627">
        <v>0.112</v>
      </c>
    </row>
    <row r="495" spans="1:7" ht="18.75" x14ac:dyDescent="0.25">
      <c r="A495" s="632" t="s">
        <v>3058</v>
      </c>
      <c r="B495" s="627">
        <v>491</v>
      </c>
      <c r="C495" s="628" t="str">
        <f t="shared" si="10"/>
        <v>Ô tô tự đổ 7 tấn491</v>
      </c>
      <c r="D495" s="627">
        <v>0.189</v>
      </c>
      <c r="E495" s="627">
        <v>0.19800000000000001</v>
      </c>
      <c r="F495" s="627">
        <v>0.12</v>
      </c>
      <c r="G495" s="627">
        <v>0.112</v>
      </c>
    </row>
    <row r="496" spans="1:7" ht="18.75" x14ac:dyDescent="0.25">
      <c r="A496" s="632" t="s">
        <v>3058</v>
      </c>
      <c r="B496" s="627">
        <v>492</v>
      </c>
      <c r="C496" s="628" t="str">
        <f t="shared" si="10"/>
        <v>Ô tô tự đổ 7 tấn492</v>
      </c>
      <c r="D496" s="627">
        <v>0.189</v>
      </c>
      <c r="E496" s="627">
        <v>0.19800000000000001</v>
      </c>
      <c r="F496" s="627">
        <v>0.12</v>
      </c>
      <c r="G496" s="627">
        <v>0.112</v>
      </c>
    </row>
    <row r="497" spans="1:7" ht="18.75" x14ac:dyDescent="0.25">
      <c r="A497" s="632" t="s">
        <v>3058</v>
      </c>
      <c r="B497" s="627">
        <v>493</v>
      </c>
      <c r="C497" s="628" t="str">
        <f t="shared" si="10"/>
        <v>Ô tô tự đổ 7 tấn493</v>
      </c>
      <c r="D497" s="627">
        <v>0.189</v>
      </c>
      <c r="E497" s="627">
        <v>0.19800000000000001</v>
      </c>
      <c r="F497" s="627">
        <v>0.12</v>
      </c>
      <c r="G497" s="627">
        <v>0.112</v>
      </c>
    </row>
    <row r="498" spans="1:7" ht="18.75" x14ac:dyDescent="0.25">
      <c r="A498" s="632" t="s">
        <v>3058</v>
      </c>
      <c r="B498" s="627">
        <v>494</v>
      </c>
      <c r="C498" s="628" t="str">
        <f t="shared" si="10"/>
        <v>Ô tô tự đổ 7 tấn494</v>
      </c>
      <c r="D498" s="627">
        <v>0.189</v>
      </c>
      <c r="E498" s="627">
        <v>0.19800000000000001</v>
      </c>
      <c r="F498" s="627">
        <v>0.12</v>
      </c>
      <c r="G498" s="627">
        <v>0.112</v>
      </c>
    </row>
    <row r="499" spans="1:7" ht="18.75" x14ac:dyDescent="0.25">
      <c r="A499" s="632" t="s">
        <v>3058</v>
      </c>
      <c r="B499" s="627">
        <v>495</v>
      </c>
      <c r="C499" s="628" t="str">
        <f t="shared" si="10"/>
        <v>Ô tô tự đổ 7 tấn495</v>
      </c>
      <c r="D499" s="627">
        <v>0.189</v>
      </c>
      <c r="E499" s="627">
        <v>0.19800000000000001</v>
      </c>
      <c r="F499" s="627">
        <v>0.12</v>
      </c>
      <c r="G499" s="627">
        <v>0.112</v>
      </c>
    </row>
    <row r="500" spans="1:7" ht="18.75" x14ac:dyDescent="0.25">
      <c r="A500" s="632" t="s">
        <v>3058</v>
      </c>
      <c r="B500" s="627">
        <v>496</v>
      </c>
      <c r="C500" s="628" t="str">
        <f t="shared" si="10"/>
        <v>Ô tô tự đổ 7 tấn496</v>
      </c>
      <c r="D500" s="627">
        <v>0.189</v>
      </c>
      <c r="E500" s="627">
        <v>0.19800000000000001</v>
      </c>
      <c r="F500" s="627">
        <v>0.12</v>
      </c>
      <c r="G500" s="627">
        <v>0.112</v>
      </c>
    </row>
    <row r="501" spans="1:7" ht="18.75" x14ac:dyDescent="0.25">
      <c r="A501" s="632" t="s">
        <v>3058</v>
      </c>
      <c r="B501" s="627">
        <v>497</v>
      </c>
      <c r="C501" s="628" t="str">
        <f t="shared" si="10"/>
        <v>Ô tô tự đổ 7 tấn497</v>
      </c>
      <c r="D501" s="627">
        <v>0.189</v>
      </c>
      <c r="E501" s="627">
        <v>0.19800000000000001</v>
      </c>
      <c r="F501" s="627">
        <v>0.12</v>
      </c>
      <c r="G501" s="627">
        <v>0.112</v>
      </c>
    </row>
    <row r="502" spans="1:7" ht="18.75" x14ac:dyDescent="0.25">
      <c r="A502" s="632" t="s">
        <v>3058</v>
      </c>
      <c r="B502" s="627">
        <v>498</v>
      </c>
      <c r="C502" s="628" t="str">
        <f t="shared" si="10"/>
        <v>Ô tô tự đổ 7 tấn498</v>
      </c>
      <c r="D502" s="627">
        <v>0.189</v>
      </c>
      <c r="E502" s="627">
        <v>0.19800000000000001</v>
      </c>
      <c r="F502" s="627">
        <v>0.12</v>
      </c>
      <c r="G502" s="627">
        <v>0.112</v>
      </c>
    </row>
    <row r="503" spans="1:7" ht="18.75" x14ac:dyDescent="0.25">
      <c r="A503" s="632" t="s">
        <v>3058</v>
      </c>
      <c r="B503" s="627">
        <v>499</v>
      </c>
      <c r="C503" s="628" t="str">
        <f t="shared" si="10"/>
        <v>Ô tô tự đổ 7 tấn499</v>
      </c>
      <c r="D503" s="627">
        <v>0.189</v>
      </c>
      <c r="E503" s="627">
        <v>0.19800000000000001</v>
      </c>
      <c r="F503" s="627">
        <v>0.12</v>
      </c>
      <c r="G503" s="627">
        <v>0.112</v>
      </c>
    </row>
    <row r="504" spans="1:7" ht="18.75" x14ac:dyDescent="0.25">
      <c r="A504" s="632" t="s">
        <v>3058</v>
      </c>
      <c r="B504" s="627">
        <v>500</v>
      </c>
      <c r="C504" s="628" t="str">
        <f t="shared" si="10"/>
        <v>Ô tô tự đổ 7 tấn500</v>
      </c>
      <c r="D504" s="627">
        <v>0.189</v>
      </c>
      <c r="E504" s="627">
        <v>0.19800000000000001</v>
      </c>
      <c r="F504" s="627">
        <v>0.12</v>
      </c>
      <c r="G504" s="627">
        <v>0.112</v>
      </c>
    </row>
    <row r="505" spans="1:7" ht="18.75" x14ac:dyDescent="0.25">
      <c r="A505" s="629" t="s">
        <v>3081</v>
      </c>
      <c r="B505" s="630">
        <v>1</v>
      </c>
      <c r="C505" s="631" t="str">
        <f>A505&amp;B505</f>
        <v>Ô tô tự đổ 5 tấn1</v>
      </c>
      <c r="D505" s="633">
        <v>0.86</v>
      </c>
      <c r="E505" s="633">
        <v>0.89</v>
      </c>
      <c r="F505" s="633"/>
      <c r="G505" s="633"/>
    </row>
    <row r="506" spans="1:7" ht="18.75" x14ac:dyDescent="0.25">
      <c r="A506" s="629" t="s">
        <v>3081</v>
      </c>
      <c r="B506" s="630">
        <v>2</v>
      </c>
      <c r="C506" s="631" t="str">
        <f t="shared" ref="C506:C569" si="11">A506&amp;B506</f>
        <v>Ô tô tự đổ 5 tấn2</v>
      </c>
      <c r="D506" s="633">
        <v>0.42</v>
      </c>
      <c r="E506" s="633">
        <v>0.44</v>
      </c>
      <c r="F506" s="633"/>
      <c r="G506" s="633"/>
    </row>
    <row r="507" spans="1:7" ht="18.75" x14ac:dyDescent="0.25">
      <c r="A507" s="629" t="s">
        <v>3081</v>
      </c>
      <c r="B507" s="630">
        <v>3</v>
      </c>
      <c r="C507" s="631" t="str">
        <f t="shared" si="11"/>
        <v>Ô tô tự đổ 5 tấn3</v>
      </c>
      <c r="D507" s="633">
        <v>0.42</v>
      </c>
      <c r="E507" s="633">
        <v>0.44</v>
      </c>
      <c r="F507" s="633"/>
      <c r="G507" s="633"/>
    </row>
    <row r="508" spans="1:7" ht="18.75" x14ac:dyDescent="0.25">
      <c r="A508" s="629" t="s">
        <v>3081</v>
      </c>
      <c r="B508" s="630">
        <v>4</v>
      </c>
      <c r="C508" s="631" t="str">
        <f t="shared" si="11"/>
        <v>Ô tô tự đổ 5 tấn4</v>
      </c>
      <c r="D508" s="633">
        <v>0.42</v>
      </c>
      <c r="E508" s="633">
        <v>0.44</v>
      </c>
      <c r="F508" s="633"/>
      <c r="G508" s="633"/>
    </row>
    <row r="509" spans="1:7" ht="18.75" x14ac:dyDescent="0.25">
      <c r="A509" s="629" t="s">
        <v>3081</v>
      </c>
      <c r="B509" s="630">
        <v>5</v>
      </c>
      <c r="C509" s="631" t="str">
        <f t="shared" si="11"/>
        <v>Ô tô tự đổ 5 tấn5</v>
      </c>
      <c r="D509" s="633">
        <v>0.42</v>
      </c>
      <c r="E509" s="633">
        <v>0.44</v>
      </c>
      <c r="F509" s="633"/>
      <c r="G509" s="633"/>
    </row>
    <row r="510" spans="1:7" ht="18.75" x14ac:dyDescent="0.25">
      <c r="A510" s="629" t="s">
        <v>3081</v>
      </c>
      <c r="B510" s="630">
        <v>6</v>
      </c>
      <c r="C510" s="631" t="str">
        <f t="shared" si="11"/>
        <v>Ô tô tự đổ 5 tấn6</v>
      </c>
      <c r="D510" s="633">
        <v>0.33</v>
      </c>
      <c r="E510" s="633">
        <v>0.34</v>
      </c>
      <c r="F510" s="633"/>
      <c r="G510" s="633"/>
    </row>
    <row r="511" spans="1:7" ht="18.75" x14ac:dyDescent="0.25">
      <c r="A511" s="629" t="s">
        <v>3081</v>
      </c>
      <c r="B511" s="630">
        <v>7</v>
      </c>
      <c r="C511" s="631" t="str">
        <f t="shared" si="11"/>
        <v>Ô tô tự đổ 5 tấn7</v>
      </c>
      <c r="D511" s="633">
        <v>0.33</v>
      </c>
      <c r="E511" s="633">
        <v>0.34</v>
      </c>
      <c r="F511" s="633"/>
      <c r="G511" s="633"/>
    </row>
    <row r="512" spans="1:7" ht="18.75" x14ac:dyDescent="0.25">
      <c r="A512" s="629" t="s">
        <v>3081</v>
      </c>
      <c r="B512" s="630">
        <v>8</v>
      </c>
      <c r="C512" s="631" t="str">
        <f t="shared" si="11"/>
        <v>Ô tô tự đổ 5 tấn8</v>
      </c>
      <c r="D512" s="633">
        <v>0.33</v>
      </c>
      <c r="E512" s="633">
        <v>0.34</v>
      </c>
      <c r="F512" s="633"/>
      <c r="G512" s="633"/>
    </row>
    <row r="513" spans="1:7" ht="18.75" x14ac:dyDescent="0.25">
      <c r="A513" s="629" t="s">
        <v>3081</v>
      </c>
      <c r="B513" s="630">
        <v>9</v>
      </c>
      <c r="C513" s="631" t="str">
        <f t="shared" si="11"/>
        <v>Ô tô tự đổ 5 tấn9</v>
      </c>
      <c r="D513" s="633">
        <v>0.33</v>
      </c>
      <c r="E513" s="633">
        <v>0.34</v>
      </c>
      <c r="F513" s="633"/>
      <c r="G513" s="633"/>
    </row>
    <row r="514" spans="1:7" ht="18.75" x14ac:dyDescent="0.25">
      <c r="A514" s="629" t="s">
        <v>3081</v>
      </c>
      <c r="B514" s="630">
        <v>10</v>
      </c>
      <c r="C514" s="631" t="str">
        <f t="shared" si="11"/>
        <v>Ô tô tự đổ 5 tấn10</v>
      </c>
      <c r="D514" s="633">
        <v>0.33</v>
      </c>
      <c r="E514" s="633">
        <v>0.34</v>
      </c>
      <c r="F514" s="633"/>
      <c r="G514" s="633"/>
    </row>
    <row r="515" spans="1:7" ht="18.75" x14ac:dyDescent="0.25">
      <c r="A515" s="629" t="s">
        <v>3081</v>
      </c>
      <c r="B515" s="630">
        <v>11</v>
      </c>
      <c r="C515" s="631" t="str">
        <f t="shared" si="11"/>
        <v>Ô tô tự đổ 5 tấn11</v>
      </c>
      <c r="D515" s="633">
        <v>0.28999999999999998</v>
      </c>
      <c r="E515" s="633">
        <v>0.3</v>
      </c>
      <c r="F515" s="633"/>
      <c r="G515" s="633"/>
    </row>
    <row r="516" spans="1:7" ht="18.75" x14ac:dyDescent="0.25">
      <c r="A516" s="629" t="s">
        <v>3081</v>
      </c>
      <c r="B516" s="630">
        <v>12</v>
      </c>
      <c r="C516" s="631" t="str">
        <f t="shared" si="11"/>
        <v>Ô tô tự đổ 5 tấn12</v>
      </c>
      <c r="D516" s="633">
        <v>0.28999999999999998</v>
      </c>
      <c r="E516" s="633">
        <v>0.3</v>
      </c>
      <c r="F516" s="633"/>
      <c r="G516" s="633"/>
    </row>
    <row r="517" spans="1:7" ht="18.75" x14ac:dyDescent="0.25">
      <c r="A517" s="629" t="s">
        <v>3081</v>
      </c>
      <c r="B517" s="630">
        <v>13</v>
      </c>
      <c r="C517" s="631" t="str">
        <f t="shared" si="11"/>
        <v>Ô tô tự đổ 5 tấn13</v>
      </c>
      <c r="D517" s="633">
        <v>0.28999999999999998</v>
      </c>
      <c r="E517" s="633">
        <v>0.3</v>
      </c>
      <c r="F517" s="633"/>
      <c r="G517" s="633"/>
    </row>
    <row r="518" spans="1:7" ht="18.75" x14ac:dyDescent="0.25">
      <c r="A518" s="629" t="s">
        <v>3081</v>
      </c>
      <c r="B518" s="630">
        <v>14</v>
      </c>
      <c r="C518" s="631" t="str">
        <f t="shared" si="11"/>
        <v>Ô tô tự đổ 5 tấn14</v>
      </c>
      <c r="D518" s="633">
        <v>0.28999999999999998</v>
      </c>
      <c r="E518" s="633">
        <v>0.3</v>
      </c>
      <c r="F518" s="633"/>
      <c r="G518" s="633"/>
    </row>
    <row r="519" spans="1:7" ht="18.75" x14ac:dyDescent="0.25">
      <c r="A519" s="629" t="s">
        <v>3081</v>
      </c>
      <c r="B519" s="630">
        <v>15</v>
      </c>
      <c r="C519" s="631" t="str">
        <f t="shared" si="11"/>
        <v>Ô tô tự đổ 5 tấn15</v>
      </c>
      <c r="D519" s="633">
        <v>0.28999999999999998</v>
      </c>
      <c r="E519" s="633">
        <v>0.3</v>
      </c>
      <c r="F519" s="633"/>
      <c r="G519" s="633"/>
    </row>
    <row r="520" spans="1:7" ht="18.75" x14ac:dyDescent="0.25">
      <c r="A520" s="629" t="s">
        <v>3081</v>
      </c>
      <c r="B520" s="630">
        <v>16</v>
      </c>
      <c r="C520" s="631" t="str">
        <f t="shared" si="11"/>
        <v>Ô tô tự đổ 5 tấn16</v>
      </c>
      <c r="D520" s="633">
        <v>0.26</v>
      </c>
      <c r="E520" s="633">
        <v>0.27</v>
      </c>
      <c r="F520" s="633"/>
      <c r="G520" s="633"/>
    </row>
    <row r="521" spans="1:7" ht="18.75" x14ac:dyDescent="0.25">
      <c r="A521" s="629" t="s">
        <v>3081</v>
      </c>
      <c r="B521" s="630">
        <v>17</v>
      </c>
      <c r="C521" s="631" t="str">
        <f t="shared" si="11"/>
        <v>Ô tô tự đổ 5 tấn17</v>
      </c>
      <c r="D521" s="633">
        <v>0.26</v>
      </c>
      <c r="E521" s="633">
        <v>0.27</v>
      </c>
      <c r="F521" s="633"/>
      <c r="G521" s="633"/>
    </row>
    <row r="522" spans="1:7" ht="18.75" x14ac:dyDescent="0.25">
      <c r="A522" s="629" t="s">
        <v>3081</v>
      </c>
      <c r="B522" s="630">
        <v>18</v>
      </c>
      <c r="C522" s="631" t="str">
        <f t="shared" si="11"/>
        <v>Ô tô tự đổ 5 tấn18</v>
      </c>
      <c r="D522" s="633">
        <v>0.26</v>
      </c>
      <c r="E522" s="633">
        <v>0.27</v>
      </c>
      <c r="F522" s="633"/>
      <c r="G522" s="633"/>
    </row>
    <row r="523" spans="1:7" ht="18.75" x14ac:dyDescent="0.25">
      <c r="A523" s="629" t="s">
        <v>3081</v>
      </c>
      <c r="B523" s="630">
        <v>19</v>
      </c>
      <c r="C523" s="631" t="str">
        <f t="shared" si="11"/>
        <v>Ô tô tự đổ 5 tấn19</v>
      </c>
      <c r="D523" s="633">
        <v>0.26</v>
      </c>
      <c r="E523" s="633">
        <v>0.27</v>
      </c>
      <c r="F523" s="633"/>
      <c r="G523" s="633"/>
    </row>
    <row r="524" spans="1:7" ht="18.75" x14ac:dyDescent="0.25">
      <c r="A524" s="629" t="s">
        <v>3081</v>
      </c>
      <c r="B524" s="630">
        <v>20</v>
      </c>
      <c r="C524" s="631" t="str">
        <f t="shared" si="11"/>
        <v>Ô tô tự đổ 5 tấn20</v>
      </c>
      <c r="D524" s="633">
        <v>0.26</v>
      </c>
      <c r="E524" s="633">
        <v>0.27</v>
      </c>
      <c r="F524" s="633"/>
      <c r="G524" s="633"/>
    </row>
    <row r="525" spans="1:7" ht="18.75" x14ac:dyDescent="0.25">
      <c r="A525" s="629" t="s">
        <v>3081</v>
      </c>
      <c r="B525" s="630">
        <v>21</v>
      </c>
      <c r="C525" s="631" t="str">
        <f t="shared" si="11"/>
        <v>Ô tô tự đổ 5 tấn21</v>
      </c>
      <c r="D525" s="630"/>
      <c r="E525" s="630"/>
      <c r="F525" s="630"/>
      <c r="G525" s="630"/>
    </row>
    <row r="526" spans="1:7" ht="18.75" x14ac:dyDescent="0.25">
      <c r="A526" s="629" t="s">
        <v>3081</v>
      </c>
      <c r="B526" s="630">
        <v>22</v>
      </c>
      <c r="C526" s="631" t="str">
        <f t="shared" si="11"/>
        <v>Ô tô tự đổ 5 tấn22</v>
      </c>
      <c r="D526" s="630"/>
      <c r="E526" s="630"/>
      <c r="F526" s="630"/>
      <c r="G526" s="630"/>
    </row>
    <row r="527" spans="1:7" ht="18.75" x14ac:dyDescent="0.25">
      <c r="A527" s="629" t="s">
        <v>3081</v>
      </c>
      <c r="B527" s="630">
        <v>23</v>
      </c>
      <c r="C527" s="631" t="str">
        <f t="shared" si="11"/>
        <v>Ô tô tự đổ 5 tấn23</v>
      </c>
      <c r="D527" s="630"/>
      <c r="E527" s="630"/>
      <c r="F527" s="630"/>
      <c r="G527" s="630"/>
    </row>
    <row r="528" spans="1:7" ht="18.75" x14ac:dyDescent="0.25">
      <c r="A528" s="629" t="s">
        <v>3081</v>
      </c>
      <c r="B528" s="630">
        <v>24</v>
      </c>
      <c r="C528" s="631" t="str">
        <f t="shared" si="11"/>
        <v>Ô tô tự đổ 5 tấn24</v>
      </c>
      <c r="D528" s="630"/>
      <c r="E528" s="630"/>
      <c r="F528" s="630"/>
      <c r="G528" s="630"/>
    </row>
    <row r="529" spans="1:7" ht="18.75" x14ac:dyDescent="0.25">
      <c r="A529" s="629" t="s">
        <v>3081</v>
      </c>
      <c r="B529" s="630">
        <v>25</v>
      </c>
      <c r="C529" s="631" t="str">
        <f t="shared" si="11"/>
        <v>Ô tô tự đổ 5 tấn25</v>
      </c>
      <c r="D529" s="630"/>
      <c r="E529" s="630"/>
      <c r="F529" s="630"/>
      <c r="G529" s="630"/>
    </row>
    <row r="530" spans="1:7" ht="18.75" x14ac:dyDescent="0.25">
      <c r="A530" s="629" t="s">
        <v>3081</v>
      </c>
      <c r="B530" s="630">
        <v>26</v>
      </c>
      <c r="C530" s="631" t="str">
        <f t="shared" si="11"/>
        <v>Ô tô tự đổ 5 tấn26</v>
      </c>
      <c r="D530" s="630"/>
      <c r="E530" s="630"/>
      <c r="F530" s="630"/>
      <c r="G530" s="630"/>
    </row>
    <row r="531" spans="1:7" ht="18.75" x14ac:dyDescent="0.25">
      <c r="A531" s="629" t="s">
        <v>3081</v>
      </c>
      <c r="B531" s="630">
        <v>27</v>
      </c>
      <c r="C531" s="631" t="str">
        <f t="shared" si="11"/>
        <v>Ô tô tự đổ 5 tấn27</v>
      </c>
      <c r="D531" s="630"/>
      <c r="E531" s="630"/>
      <c r="F531" s="630"/>
      <c r="G531" s="630"/>
    </row>
    <row r="532" spans="1:7" ht="18.75" x14ac:dyDescent="0.25">
      <c r="A532" s="629" t="s">
        <v>3081</v>
      </c>
      <c r="B532" s="630">
        <v>28</v>
      </c>
      <c r="C532" s="631" t="str">
        <f t="shared" si="11"/>
        <v>Ô tô tự đổ 5 tấn28</v>
      </c>
      <c r="D532" s="630"/>
      <c r="E532" s="630"/>
      <c r="F532" s="630"/>
      <c r="G532" s="630"/>
    </row>
    <row r="533" spans="1:7" ht="18.75" x14ac:dyDescent="0.25">
      <c r="A533" s="629" t="s">
        <v>3081</v>
      </c>
      <c r="B533" s="630">
        <v>29</v>
      </c>
      <c r="C533" s="631" t="str">
        <f t="shared" si="11"/>
        <v>Ô tô tự đổ 5 tấn29</v>
      </c>
      <c r="D533" s="630"/>
      <c r="E533" s="630"/>
      <c r="F533" s="630"/>
      <c r="G533" s="630"/>
    </row>
    <row r="534" spans="1:7" ht="18.75" x14ac:dyDescent="0.25">
      <c r="A534" s="629" t="s">
        <v>3081</v>
      </c>
      <c r="B534" s="630">
        <v>30</v>
      </c>
      <c r="C534" s="631" t="str">
        <f t="shared" si="11"/>
        <v>Ô tô tự đổ 5 tấn30</v>
      </c>
      <c r="D534" s="630"/>
      <c r="E534" s="630"/>
      <c r="F534" s="630"/>
      <c r="G534" s="630"/>
    </row>
    <row r="535" spans="1:7" ht="18.75" x14ac:dyDescent="0.25">
      <c r="A535" s="629" t="s">
        <v>3081</v>
      </c>
      <c r="B535" s="630">
        <v>31</v>
      </c>
      <c r="C535" s="631" t="str">
        <f t="shared" si="11"/>
        <v>Ô tô tự đổ 5 tấn31</v>
      </c>
      <c r="D535" s="630"/>
      <c r="E535" s="630"/>
      <c r="F535" s="630"/>
      <c r="G535" s="630"/>
    </row>
    <row r="536" spans="1:7" ht="18.75" x14ac:dyDescent="0.25">
      <c r="A536" s="629" t="s">
        <v>3081</v>
      </c>
      <c r="B536" s="630">
        <v>32</v>
      </c>
      <c r="C536" s="631" t="str">
        <f t="shared" si="11"/>
        <v>Ô tô tự đổ 5 tấn32</v>
      </c>
      <c r="D536" s="630"/>
      <c r="E536" s="630"/>
      <c r="F536" s="630"/>
      <c r="G536" s="630"/>
    </row>
    <row r="537" spans="1:7" ht="18.75" x14ac:dyDescent="0.25">
      <c r="A537" s="629" t="s">
        <v>3081</v>
      </c>
      <c r="B537" s="630">
        <v>33</v>
      </c>
      <c r="C537" s="631" t="str">
        <f t="shared" si="11"/>
        <v>Ô tô tự đổ 5 tấn33</v>
      </c>
      <c r="D537" s="630"/>
      <c r="E537" s="630"/>
      <c r="F537" s="630"/>
      <c r="G537" s="630"/>
    </row>
    <row r="538" spans="1:7" ht="18.75" x14ac:dyDescent="0.25">
      <c r="A538" s="629" t="s">
        <v>3081</v>
      </c>
      <c r="B538" s="630">
        <v>34</v>
      </c>
      <c r="C538" s="631" t="str">
        <f t="shared" si="11"/>
        <v>Ô tô tự đổ 5 tấn34</v>
      </c>
      <c r="D538" s="630"/>
      <c r="E538" s="630"/>
      <c r="F538" s="630"/>
      <c r="G538" s="630"/>
    </row>
    <row r="539" spans="1:7" ht="18.75" x14ac:dyDescent="0.25">
      <c r="A539" s="629" t="s">
        <v>3081</v>
      </c>
      <c r="B539" s="630">
        <v>35</v>
      </c>
      <c r="C539" s="631" t="str">
        <f t="shared" si="11"/>
        <v>Ô tô tự đổ 5 tấn35</v>
      </c>
      <c r="D539" s="630"/>
      <c r="E539" s="630"/>
      <c r="F539" s="630"/>
      <c r="G539" s="630"/>
    </row>
    <row r="540" spans="1:7" ht="18.75" x14ac:dyDescent="0.25">
      <c r="A540" s="629" t="s">
        <v>3081</v>
      </c>
      <c r="B540" s="630">
        <v>36</v>
      </c>
      <c r="C540" s="631" t="str">
        <f t="shared" si="11"/>
        <v>Ô tô tự đổ 5 tấn36</v>
      </c>
      <c r="D540" s="630"/>
      <c r="E540" s="630"/>
      <c r="F540" s="630"/>
      <c r="G540" s="630"/>
    </row>
    <row r="541" spans="1:7" ht="18.75" x14ac:dyDescent="0.25">
      <c r="A541" s="629" t="s">
        <v>3081</v>
      </c>
      <c r="B541" s="630">
        <v>37</v>
      </c>
      <c r="C541" s="631" t="str">
        <f t="shared" si="11"/>
        <v>Ô tô tự đổ 5 tấn37</v>
      </c>
      <c r="D541" s="630"/>
      <c r="E541" s="630"/>
      <c r="F541" s="630"/>
      <c r="G541" s="630"/>
    </row>
    <row r="542" spans="1:7" ht="18.75" x14ac:dyDescent="0.25">
      <c r="A542" s="629" t="s">
        <v>3081</v>
      </c>
      <c r="B542" s="630">
        <v>38</v>
      </c>
      <c r="C542" s="631" t="str">
        <f t="shared" si="11"/>
        <v>Ô tô tự đổ 5 tấn38</v>
      </c>
      <c r="D542" s="630"/>
      <c r="E542" s="630"/>
      <c r="F542" s="630"/>
      <c r="G542" s="630"/>
    </row>
    <row r="543" spans="1:7" ht="18.75" x14ac:dyDescent="0.25">
      <c r="A543" s="629" t="s">
        <v>3081</v>
      </c>
      <c r="B543" s="630">
        <v>39</v>
      </c>
      <c r="C543" s="631" t="str">
        <f t="shared" si="11"/>
        <v>Ô tô tự đổ 5 tấn39</v>
      </c>
      <c r="D543" s="630"/>
      <c r="E543" s="630"/>
      <c r="F543" s="630"/>
      <c r="G543" s="630"/>
    </row>
    <row r="544" spans="1:7" ht="18.75" x14ac:dyDescent="0.25">
      <c r="A544" s="629" t="s">
        <v>3081</v>
      </c>
      <c r="B544" s="630">
        <v>40</v>
      </c>
      <c r="C544" s="631" t="str">
        <f t="shared" si="11"/>
        <v>Ô tô tự đổ 5 tấn40</v>
      </c>
      <c r="D544" s="630"/>
      <c r="E544" s="630"/>
      <c r="F544" s="630"/>
      <c r="G544" s="630"/>
    </row>
    <row r="545" spans="1:7" ht="18.75" x14ac:dyDescent="0.25">
      <c r="A545" s="629" t="s">
        <v>3081</v>
      </c>
      <c r="B545" s="630">
        <v>41</v>
      </c>
      <c r="C545" s="631" t="str">
        <f t="shared" si="11"/>
        <v>Ô tô tự đổ 5 tấn41</v>
      </c>
      <c r="D545" s="630"/>
      <c r="E545" s="630"/>
      <c r="F545" s="630"/>
      <c r="G545" s="630"/>
    </row>
    <row r="546" spans="1:7" ht="18.75" x14ac:dyDescent="0.25">
      <c r="A546" s="629" t="s">
        <v>3081</v>
      </c>
      <c r="B546" s="630">
        <v>42</v>
      </c>
      <c r="C546" s="631" t="str">
        <f t="shared" si="11"/>
        <v>Ô tô tự đổ 5 tấn42</v>
      </c>
      <c r="D546" s="630"/>
      <c r="E546" s="630"/>
      <c r="F546" s="630"/>
      <c r="G546" s="630"/>
    </row>
    <row r="547" spans="1:7" ht="18.75" x14ac:dyDescent="0.25">
      <c r="A547" s="629" t="s">
        <v>3081</v>
      </c>
      <c r="B547" s="630">
        <v>43</v>
      </c>
      <c r="C547" s="631" t="str">
        <f t="shared" si="11"/>
        <v>Ô tô tự đổ 5 tấn43</v>
      </c>
      <c r="D547" s="630"/>
      <c r="E547" s="630"/>
      <c r="F547" s="630"/>
      <c r="G547" s="630"/>
    </row>
    <row r="548" spans="1:7" ht="18.75" x14ac:dyDescent="0.25">
      <c r="A548" s="629" t="s">
        <v>3081</v>
      </c>
      <c r="B548" s="630">
        <v>44</v>
      </c>
      <c r="C548" s="631" t="str">
        <f t="shared" si="11"/>
        <v>Ô tô tự đổ 5 tấn44</v>
      </c>
      <c r="D548" s="630"/>
      <c r="E548" s="630"/>
      <c r="F548" s="630"/>
      <c r="G548" s="630"/>
    </row>
    <row r="549" spans="1:7" ht="18.75" x14ac:dyDescent="0.25">
      <c r="A549" s="629" t="s">
        <v>3081</v>
      </c>
      <c r="B549" s="630">
        <v>45</v>
      </c>
      <c r="C549" s="631" t="str">
        <f t="shared" si="11"/>
        <v>Ô tô tự đổ 5 tấn45</v>
      </c>
      <c r="D549" s="630"/>
      <c r="E549" s="630"/>
      <c r="F549" s="630"/>
      <c r="G549" s="630"/>
    </row>
    <row r="550" spans="1:7" ht="18.75" x14ac:dyDescent="0.25">
      <c r="A550" s="629" t="s">
        <v>3081</v>
      </c>
      <c r="B550" s="630">
        <v>46</v>
      </c>
      <c r="C550" s="631" t="str">
        <f t="shared" si="11"/>
        <v>Ô tô tự đổ 5 tấn46</v>
      </c>
      <c r="D550" s="630"/>
      <c r="E550" s="630"/>
      <c r="F550" s="630"/>
      <c r="G550" s="630"/>
    </row>
    <row r="551" spans="1:7" ht="18.75" x14ac:dyDescent="0.25">
      <c r="A551" s="629" t="s">
        <v>3081</v>
      </c>
      <c r="B551" s="630">
        <v>47</v>
      </c>
      <c r="C551" s="631" t="str">
        <f t="shared" si="11"/>
        <v>Ô tô tự đổ 5 tấn47</v>
      </c>
      <c r="D551" s="630"/>
      <c r="E551" s="630"/>
      <c r="F551" s="630"/>
      <c r="G551" s="630"/>
    </row>
    <row r="552" spans="1:7" ht="18.75" x14ac:dyDescent="0.25">
      <c r="A552" s="629" t="s">
        <v>3081</v>
      </c>
      <c r="B552" s="630">
        <v>48</v>
      </c>
      <c r="C552" s="631" t="str">
        <f t="shared" si="11"/>
        <v>Ô tô tự đổ 5 tấn48</v>
      </c>
      <c r="D552" s="630"/>
      <c r="E552" s="630"/>
      <c r="F552" s="630"/>
      <c r="G552" s="630"/>
    </row>
    <row r="553" spans="1:7" ht="18.75" x14ac:dyDescent="0.25">
      <c r="A553" s="629" t="s">
        <v>3081</v>
      </c>
      <c r="B553" s="630">
        <v>49</v>
      </c>
      <c r="C553" s="631" t="str">
        <f t="shared" si="11"/>
        <v>Ô tô tự đổ 5 tấn49</v>
      </c>
      <c r="D553" s="630"/>
      <c r="E553" s="630"/>
      <c r="F553" s="630"/>
      <c r="G553" s="630"/>
    </row>
    <row r="554" spans="1:7" ht="18.75" x14ac:dyDescent="0.25">
      <c r="A554" s="629" t="s">
        <v>3081</v>
      </c>
      <c r="B554" s="630">
        <v>50</v>
      </c>
      <c r="C554" s="631" t="str">
        <f t="shared" si="11"/>
        <v>Ô tô tự đổ 5 tấn50</v>
      </c>
      <c r="D554" s="630"/>
      <c r="E554" s="630"/>
      <c r="F554" s="630"/>
      <c r="G554" s="630"/>
    </row>
    <row r="555" spans="1:7" ht="18.75" x14ac:dyDescent="0.25">
      <c r="A555" s="629" t="s">
        <v>3081</v>
      </c>
      <c r="B555" s="630">
        <v>51</v>
      </c>
      <c r="C555" s="631" t="str">
        <f t="shared" si="11"/>
        <v>Ô tô tự đổ 5 tấn51</v>
      </c>
      <c r="D555" s="630"/>
      <c r="E555" s="630"/>
      <c r="F555" s="630"/>
      <c r="G555" s="630"/>
    </row>
    <row r="556" spans="1:7" ht="18.75" x14ac:dyDescent="0.25">
      <c r="A556" s="629" t="s">
        <v>3081</v>
      </c>
      <c r="B556" s="630">
        <v>52</v>
      </c>
      <c r="C556" s="631" t="str">
        <f t="shared" si="11"/>
        <v>Ô tô tự đổ 5 tấn52</v>
      </c>
      <c r="D556" s="630"/>
      <c r="E556" s="630"/>
      <c r="F556" s="630"/>
      <c r="G556" s="630"/>
    </row>
    <row r="557" spans="1:7" ht="18.75" x14ac:dyDescent="0.25">
      <c r="A557" s="629" t="s">
        <v>3081</v>
      </c>
      <c r="B557" s="630">
        <v>53</v>
      </c>
      <c r="C557" s="631" t="str">
        <f t="shared" si="11"/>
        <v>Ô tô tự đổ 5 tấn53</v>
      </c>
      <c r="D557" s="630"/>
      <c r="E557" s="630"/>
      <c r="F557" s="630"/>
      <c r="G557" s="630"/>
    </row>
    <row r="558" spans="1:7" ht="18.75" x14ac:dyDescent="0.25">
      <c r="A558" s="629" t="s">
        <v>3081</v>
      </c>
      <c r="B558" s="630">
        <v>54</v>
      </c>
      <c r="C558" s="631" t="str">
        <f t="shared" si="11"/>
        <v>Ô tô tự đổ 5 tấn54</v>
      </c>
      <c r="D558" s="630"/>
      <c r="E558" s="630"/>
      <c r="F558" s="630"/>
      <c r="G558" s="630"/>
    </row>
    <row r="559" spans="1:7" ht="18.75" x14ac:dyDescent="0.25">
      <c r="A559" s="629" t="s">
        <v>3081</v>
      </c>
      <c r="B559" s="630">
        <v>55</v>
      </c>
      <c r="C559" s="631" t="str">
        <f t="shared" si="11"/>
        <v>Ô tô tự đổ 5 tấn55</v>
      </c>
      <c r="D559" s="630"/>
      <c r="E559" s="630"/>
      <c r="F559" s="630"/>
      <c r="G559" s="630"/>
    </row>
    <row r="560" spans="1:7" ht="18.75" x14ac:dyDescent="0.25">
      <c r="A560" s="629" t="s">
        <v>3081</v>
      </c>
      <c r="B560" s="630">
        <v>56</v>
      </c>
      <c r="C560" s="631" t="str">
        <f t="shared" si="11"/>
        <v>Ô tô tự đổ 5 tấn56</v>
      </c>
      <c r="D560" s="630"/>
      <c r="E560" s="630"/>
      <c r="F560" s="630"/>
      <c r="G560" s="630"/>
    </row>
    <row r="561" spans="1:7" ht="18.75" x14ac:dyDescent="0.25">
      <c r="A561" s="629" t="s">
        <v>3081</v>
      </c>
      <c r="B561" s="630">
        <v>57</v>
      </c>
      <c r="C561" s="631" t="str">
        <f t="shared" si="11"/>
        <v>Ô tô tự đổ 5 tấn57</v>
      </c>
      <c r="D561" s="630"/>
      <c r="E561" s="630"/>
      <c r="F561" s="630"/>
      <c r="G561" s="630"/>
    </row>
    <row r="562" spans="1:7" ht="18.75" x14ac:dyDescent="0.25">
      <c r="A562" s="629" t="s">
        <v>3081</v>
      </c>
      <c r="B562" s="630">
        <v>58</v>
      </c>
      <c r="C562" s="631" t="str">
        <f t="shared" si="11"/>
        <v>Ô tô tự đổ 5 tấn58</v>
      </c>
      <c r="D562" s="630"/>
      <c r="E562" s="630"/>
      <c r="F562" s="630"/>
      <c r="G562" s="630"/>
    </row>
    <row r="563" spans="1:7" ht="18.75" x14ac:dyDescent="0.25">
      <c r="A563" s="629" t="s">
        <v>3081</v>
      </c>
      <c r="B563" s="630">
        <v>59</v>
      </c>
      <c r="C563" s="631" t="str">
        <f t="shared" si="11"/>
        <v>Ô tô tự đổ 5 tấn59</v>
      </c>
      <c r="D563" s="630"/>
      <c r="E563" s="630"/>
      <c r="F563" s="630"/>
      <c r="G563" s="630"/>
    </row>
    <row r="564" spans="1:7" ht="18.75" x14ac:dyDescent="0.25">
      <c r="A564" s="629" t="s">
        <v>3081</v>
      </c>
      <c r="B564" s="630">
        <v>60</v>
      </c>
      <c r="C564" s="631" t="str">
        <f t="shared" si="11"/>
        <v>Ô tô tự đổ 5 tấn60</v>
      </c>
      <c r="D564" s="630"/>
      <c r="E564" s="630"/>
      <c r="F564" s="630"/>
      <c r="G564" s="630"/>
    </row>
    <row r="565" spans="1:7" ht="18.75" x14ac:dyDescent="0.25">
      <c r="A565" s="629" t="s">
        <v>3081</v>
      </c>
      <c r="B565" s="630">
        <v>61</v>
      </c>
      <c r="C565" s="631" t="str">
        <f t="shared" si="11"/>
        <v>Ô tô tự đổ 5 tấn61</v>
      </c>
      <c r="D565" s="630"/>
      <c r="E565" s="630"/>
      <c r="F565" s="630"/>
      <c r="G565" s="630"/>
    </row>
    <row r="566" spans="1:7" ht="18.75" x14ac:dyDescent="0.25">
      <c r="A566" s="629" t="s">
        <v>3081</v>
      </c>
      <c r="B566" s="630">
        <v>62</v>
      </c>
      <c r="C566" s="631" t="str">
        <f t="shared" si="11"/>
        <v>Ô tô tự đổ 5 tấn62</v>
      </c>
      <c r="D566" s="630"/>
      <c r="E566" s="630"/>
      <c r="F566" s="630"/>
      <c r="G566" s="630"/>
    </row>
    <row r="567" spans="1:7" ht="18.75" x14ac:dyDescent="0.25">
      <c r="A567" s="629" t="s">
        <v>3081</v>
      </c>
      <c r="B567" s="630">
        <v>63</v>
      </c>
      <c r="C567" s="631" t="str">
        <f t="shared" si="11"/>
        <v>Ô tô tự đổ 5 tấn63</v>
      </c>
      <c r="D567" s="630"/>
      <c r="E567" s="630"/>
      <c r="F567" s="630"/>
      <c r="G567" s="630"/>
    </row>
    <row r="568" spans="1:7" ht="18.75" x14ac:dyDescent="0.25">
      <c r="A568" s="629" t="s">
        <v>3081</v>
      </c>
      <c r="B568" s="630">
        <v>64</v>
      </c>
      <c r="C568" s="631" t="str">
        <f t="shared" si="11"/>
        <v>Ô tô tự đổ 5 tấn64</v>
      </c>
      <c r="D568" s="630"/>
      <c r="E568" s="630"/>
      <c r="F568" s="630"/>
      <c r="G568" s="630"/>
    </row>
    <row r="569" spans="1:7" ht="18.75" x14ac:dyDescent="0.25">
      <c r="A569" s="629" t="s">
        <v>3081</v>
      </c>
      <c r="B569" s="630">
        <v>65</v>
      </c>
      <c r="C569" s="631" t="str">
        <f t="shared" si="11"/>
        <v>Ô tô tự đổ 5 tấn65</v>
      </c>
      <c r="D569" s="630"/>
      <c r="E569" s="630"/>
      <c r="F569" s="630"/>
      <c r="G569" s="630"/>
    </row>
    <row r="570" spans="1:7" ht="18.75" x14ac:dyDescent="0.25">
      <c r="A570" s="629" t="s">
        <v>3081</v>
      </c>
      <c r="B570" s="630">
        <v>66</v>
      </c>
      <c r="C570" s="631" t="str">
        <f t="shared" ref="C570:C633" si="12">A570&amp;B570</f>
        <v>Ô tô tự đổ 5 tấn66</v>
      </c>
      <c r="D570" s="630"/>
      <c r="E570" s="630"/>
      <c r="F570" s="630"/>
      <c r="G570" s="630"/>
    </row>
    <row r="571" spans="1:7" ht="18.75" x14ac:dyDescent="0.25">
      <c r="A571" s="629" t="s">
        <v>3081</v>
      </c>
      <c r="B571" s="630">
        <v>67</v>
      </c>
      <c r="C571" s="631" t="str">
        <f t="shared" si="12"/>
        <v>Ô tô tự đổ 5 tấn67</v>
      </c>
      <c r="D571" s="630"/>
      <c r="E571" s="630"/>
      <c r="F571" s="630"/>
      <c r="G571" s="630"/>
    </row>
    <row r="572" spans="1:7" ht="18.75" x14ac:dyDescent="0.25">
      <c r="A572" s="629" t="s">
        <v>3081</v>
      </c>
      <c r="B572" s="630">
        <v>68</v>
      </c>
      <c r="C572" s="631" t="str">
        <f t="shared" si="12"/>
        <v>Ô tô tự đổ 5 tấn68</v>
      </c>
      <c r="D572" s="630"/>
      <c r="E572" s="630"/>
      <c r="F572" s="630"/>
      <c r="G572" s="630"/>
    </row>
    <row r="573" spans="1:7" ht="18.75" x14ac:dyDescent="0.25">
      <c r="A573" s="629" t="s">
        <v>3081</v>
      </c>
      <c r="B573" s="630">
        <v>69</v>
      </c>
      <c r="C573" s="631" t="str">
        <f t="shared" si="12"/>
        <v>Ô tô tự đổ 5 tấn69</v>
      </c>
      <c r="D573" s="630"/>
      <c r="E573" s="630"/>
      <c r="F573" s="630"/>
      <c r="G573" s="630"/>
    </row>
    <row r="574" spans="1:7" ht="18.75" x14ac:dyDescent="0.25">
      <c r="A574" s="629" t="s">
        <v>3081</v>
      </c>
      <c r="B574" s="630">
        <v>70</v>
      </c>
      <c r="C574" s="631" t="str">
        <f t="shared" si="12"/>
        <v>Ô tô tự đổ 5 tấn70</v>
      </c>
      <c r="D574" s="630"/>
      <c r="E574" s="630"/>
      <c r="F574" s="630"/>
      <c r="G574" s="630"/>
    </row>
    <row r="575" spans="1:7" ht="18.75" x14ac:dyDescent="0.25">
      <c r="A575" s="629" t="s">
        <v>3081</v>
      </c>
      <c r="B575" s="630">
        <v>71</v>
      </c>
      <c r="C575" s="631" t="str">
        <f t="shared" si="12"/>
        <v>Ô tô tự đổ 5 tấn71</v>
      </c>
      <c r="D575" s="630"/>
      <c r="E575" s="630"/>
      <c r="F575" s="630"/>
      <c r="G575" s="630"/>
    </row>
    <row r="576" spans="1:7" ht="18.75" x14ac:dyDescent="0.25">
      <c r="A576" s="629" t="s">
        <v>3081</v>
      </c>
      <c r="B576" s="630">
        <v>72</v>
      </c>
      <c r="C576" s="631" t="str">
        <f t="shared" si="12"/>
        <v>Ô tô tự đổ 5 tấn72</v>
      </c>
      <c r="D576" s="630"/>
      <c r="E576" s="630"/>
      <c r="F576" s="630"/>
      <c r="G576" s="630"/>
    </row>
    <row r="577" spans="1:7" ht="18.75" x14ac:dyDescent="0.25">
      <c r="A577" s="629" t="s">
        <v>3081</v>
      </c>
      <c r="B577" s="630">
        <v>73</v>
      </c>
      <c r="C577" s="631" t="str">
        <f t="shared" si="12"/>
        <v>Ô tô tự đổ 5 tấn73</v>
      </c>
      <c r="D577" s="630"/>
      <c r="E577" s="630"/>
      <c r="F577" s="630"/>
      <c r="G577" s="630"/>
    </row>
    <row r="578" spans="1:7" ht="18.75" x14ac:dyDescent="0.25">
      <c r="A578" s="629" t="s">
        <v>3081</v>
      </c>
      <c r="B578" s="630">
        <v>74</v>
      </c>
      <c r="C578" s="631" t="str">
        <f t="shared" si="12"/>
        <v>Ô tô tự đổ 5 tấn74</v>
      </c>
      <c r="D578" s="630"/>
      <c r="E578" s="630"/>
      <c r="F578" s="630"/>
      <c r="G578" s="630"/>
    </row>
    <row r="579" spans="1:7" ht="18.75" x14ac:dyDescent="0.25">
      <c r="A579" s="629" t="s">
        <v>3081</v>
      </c>
      <c r="B579" s="630">
        <v>75</v>
      </c>
      <c r="C579" s="631" t="str">
        <f t="shared" si="12"/>
        <v>Ô tô tự đổ 5 tấn75</v>
      </c>
      <c r="D579" s="630"/>
      <c r="E579" s="630"/>
      <c r="F579" s="630"/>
      <c r="G579" s="630"/>
    </row>
    <row r="580" spans="1:7" ht="18.75" x14ac:dyDescent="0.25">
      <c r="A580" s="629" t="s">
        <v>3081</v>
      </c>
      <c r="B580" s="630">
        <v>76</v>
      </c>
      <c r="C580" s="631" t="str">
        <f t="shared" si="12"/>
        <v>Ô tô tự đổ 5 tấn76</v>
      </c>
      <c r="D580" s="630"/>
      <c r="E580" s="630"/>
      <c r="F580" s="630"/>
      <c r="G580" s="630"/>
    </row>
    <row r="581" spans="1:7" ht="18.75" x14ac:dyDescent="0.25">
      <c r="A581" s="629" t="s">
        <v>3081</v>
      </c>
      <c r="B581" s="630">
        <v>77</v>
      </c>
      <c r="C581" s="631" t="str">
        <f t="shared" si="12"/>
        <v>Ô tô tự đổ 5 tấn77</v>
      </c>
      <c r="D581" s="630"/>
      <c r="E581" s="630"/>
      <c r="F581" s="630"/>
      <c r="G581" s="630"/>
    </row>
    <row r="582" spans="1:7" ht="18.75" x14ac:dyDescent="0.25">
      <c r="A582" s="629" t="s">
        <v>3081</v>
      </c>
      <c r="B582" s="630">
        <v>78</v>
      </c>
      <c r="C582" s="631" t="str">
        <f t="shared" si="12"/>
        <v>Ô tô tự đổ 5 tấn78</v>
      </c>
      <c r="D582" s="630"/>
      <c r="E582" s="630"/>
      <c r="F582" s="630"/>
      <c r="G582" s="630"/>
    </row>
    <row r="583" spans="1:7" ht="18.75" x14ac:dyDescent="0.25">
      <c r="A583" s="629" t="s">
        <v>3081</v>
      </c>
      <c r="B583" s="630">
        <v>79</v>
      </c>
      <c r="C583" s="631" t="str">
        <f t="shared" si="12"/>
        <v>Ô tô tự đổ 5 tấn79</v>
      </c>
      <c r="D583" s="630"/>
      <c r="E583" s="630"/>
      <c r="F583" s="630"/>
      <c r="G583" s="630"/>
    </row>
    <row r="584" spans="1:7" ht="18.75" x14ac:dyDescent="0.25">
      <c r="A584" s="629" t="s">
        <v>3081</v>
      </c>
      <c r="B584" s="630">
        <v>80</v>
      </c>
      <c r="C584" s="631" t="str">
        <f t="shared" si="12"/>
        <v>Ô tô tự đổ 5 tấn80</v>
      </c>
      <c r="D584" s="630"/>
      <c r="E584" s="630"/>
      <c r="F584" s="630"/>
      <c r="G584" s="630"/>
    </row>
    <row r="585" spans="1:7" ht="18.75" x14ac:dyDescent="0.25">
      <c r="A585" s="629" t="s">
        <v>3081</v>
      </c>
      <c r="B585" s="630">
        <v>81</v>
      </c>
      <c r="C585" s="631" t="str">
        <f t="shared" si="12"/>
        <v>Ô tô tự đổ 5 tấn81</v>
      </c>
      <c r="D585" s="630"/>
      <c r="E585" s="630"/>
      <c r="F585" s="630"/>
      <c r="G585" s="630"/>
    </row>
    <row r="586" spans="1:7" ht="18.75" x14ac:dyDescent="0.25">
      <c r="A586" s="629" t="s">
        <v>3081</v>
      </c>
      <c r="B586" s="630">
        <v>82</v>
      </c>
      <c r="C586" s="631" t="str">
        <f t="shared" si="12"/>
        <v>Ô tô tự đổ 5 tấn82</v>
      </c>
      <c r="D586" s="630"/>
      <c r="E586" s="630"/>
      <c r="F586" s="630"/>
      <c r="G586" s="630"/>
    </row>
    <row r="587" spans="1:7" ht="18.75" x14ac:dyDescent="0.25">
      <c r="A587" s="629" t="s">
        <v>3081</v>
      </c>
      <c r="B587" s="630">
        <v>83</v>
      </c>
      <c r="C587" s="631" t="str">
        <f t="shared" si="12"/>
        <v>Ô tô tự đổ 5 tấn83</v>
      </c>
      <c r="D587" s="630"/>
      <c r="E587" s="630"/>
      <c r="F587" s="630"/>
      <c r="G587" s="630"/>
    </row>
    <row r="588" spans="1:7" ht="18.75" x14ac:dyDescent="0.25">
      <c r="A588" s="629" t="s">
        <v>3081</v>
      </c>
      <c r="B588" s="630">
        <v>84</v>
      </c>
      <c r="C588" s="631" t="str">
        <f t="shared" si="12"/>
        <v>Ô tô tự đổ 5 tấn84</v>
      </c>
      <c r="D588" s="630"/>
      <c r="E588" s="630"/>
      <c r="F588" s="630"/>
      <c r="G588" s="630"/>
    </row>
    <row r="589" spans="1:7" ht="18.75" x14ac:dyDescent="0.25">
      <c r="A589" s="629" t="s">
        <v>3081</v>
      </c>
      <c r="B589" s="630">
        <v>85</v>
      </c>
      <c r="C589" s="631" t="str">
        <f t="shared" si="12"/>
        <v>Ô tô tự đổ 5 tấn85</v>
      </c>
      <c r="D589" s="630"/>
      <c r="E589" s="630"/>
      <c r="F589" s="630"/>
      <c r="G589" s="630"/>
    </row>
    <row r="590" spans="1:7" ht="18.75" x14ac:dyDescent="0.25">
      <c r="A590" s="629" t="s">
        <v>3081</v>
      </c>
      <c r="B590" s="630">
        <v>86</v>
      </c>
      <c r="C590" s="631" t="str">
        <f t="shared" si="12"/>
        <v>Ô tô tự đổ 5 tấn86</v>
      </c>
      <c r="D590" s="630"/>
      <c r="E590" s="630"/>
      <c r="F590" s="630"/>
      <c r="G590" s="630"/>
    </row>
    <row r="591" spans="1:7" ht="18.75" x14ac:dyDescent="0.25">
      <c r="A591" s="629" t="s">
        <v>3081</v>
      </c>
      <c r="B591" s="630">
        <v>87</v>
      </c>
      <c r="C591" s="631" t="str">
        <f t="shared" si="12"/>
        <v>Ô tô tự đổ 5 tấn87</v>
      </c>
      <c r="D591" s="630"/>
      <c r="E591" s="630"/>
      <c r="F591" s="630"/>
      <c r="G591" s="630"/>
    </row>
    <row r="592" spans="1:7" ht="18.75" x14ac:dyDescent="0.25">
      <c r="A592" s="629" t="s">
        <v>3081</v>
      </c>
      <c r="B592" s="630">
        <v>88</v>
      </c>
      <c r="C592" s="631" t="str">
        <f t="shared" si="12"/>
        <v>Ô tô tự đổ 5 tấn88</v>
      </c>
      <c r="D592" s="630"/>
      <c r="E592" s="630"/>
      <c r="F592" s="630"/>
      <c r="G592" s="630"/>
    </row>
    <row r="593" spans="1:7" ht="18.75" x14ac:dyDescent="0.25">
      <c r="A593" s="629" t="s">
        <v>3081</v>
      </c>
      <c r="B593" s="630">
        <v>89</v>
      </c>
      <c r="C593" s="631" t="str">
        <f t="shared" si="12"/>
        <v>Ô tô tự đổ 5 tấn89</v>
      </c>
      <c r="D593" s="630"/>
      <c r="E593" s="630"/>
      <c r="F593" s="630"/>
      <c r="G593" s="630"/>
    </row>
    <row r="594" spans="1:7" ht="18.75" x14ac:dyDescent="0.25">
      <c r="A594" s="629" t="s">
        <v>3081</v>
      </c>
      <c r="B594" s="630">
        <v>90</v>
      </c>
      <c r="C594" s="631" t="str">
        <f t="shared" si="12"/>
        <v>Ô tô tự đổ 5 tấn90</v>
      </c>
      <c r="D594" s="630"/>
      <c r="E594" s="630"/>
      <c r="F594" s="630"/>
      <c r="G594" s="630"/>
    </row>
    <row r="595" spans="1:7" ht="18.75" x14ac:dyDescent="0.25">
      <c r="A595" s="629" t="s">
        <v>3081</v>
      </c>
      <c r="B595" s="630">
        <v>91</v>
      </c>
      <c r="C595" s="631" t="str">
        <f t="shared" si="12"/>
        <v>Ô tô tự đổ 5 tấn91</v>
      </c>
      <c r="D595" s="630"/>
      <c r="E595" s="630"/>
      <c r="F595" s="630"/>
      <c r="G595" s="630"/>
    </row>
    <row r="596" spans="1:7" ht="18.75" x14ac:dyDescent="0.25">
      <c r="A596" s="629" t="s">
        <v>3081</v>
      </c>
      <c r="B596" s="630">
        <v>92</v>
      </c>
      <c r="C596" s="631" t="str">
        <f t="shared" si="12"/>
        <v>Ô tô tự đổ 5 tấn92</v>
      </c>
      <c r="D596" s="630"/>
      <c r="E596" s="630"/>
      <c r="F596" s="630"/>
      <c r="G596" s="630"/>
    </row>
    <row r="597" spans="1:7" ht="18.75" x14ac:dyDescent="0.25">
      <c r="A597" s="629" t="s">
        <v>3081</v>
      </c>
      <c r="B597" s="630">
        <v>93</v>
      </c>
      <c r="C597" s="631" t="str">
        <f t="shared" si="12"/>
        <v>Ô tô tự đổ 5 tấn93</v>
      </c>
      <c r="D597" s="630"/>
      <c r="E597" s="630"/>
      <c r="F597" s="630"/>
      <c r="G597" s="630"/>
    </row>
    <row r="598" spans="1:7" ht="18.75" x14ac:dyDescent="0.25">
      <c r="A598" s="629" t="s">
        <v>3081</v>
      </c>
      <c r="B598" s="630">
        <v>94</v>
      </c>
      <c r="C598" s="631" t="str">
        <f t="shared" si="12"/>
        <v>Ô tô tự đổ 5 tấn94</v>
      </c>
      <c r="D598" s="630"/>
      <c r="E598" s="630"/>
      <c r="F598" s="630"/>
      <c r="G598" s="630"/>
    </row>
    <row r="599" spans="1:7" ht="18.75" x14ac:dyDescent="0.25">
      <c r="A599" s="629" t="s">
        <v>3081</v>
      </c>
      <c r="B599" s="630">
        <v>95</v>
      </c>
      <c r="C599" s="631" t="str">
        <f t="shared" si="12"/>
        <v>Ô tô tự đổ 5 tấn95</v>
      </c>
      <c r="D599" s="630"/>
      <c r="E599" s="630"/>
      <c r="F599" s="630"/>
      <c r="G599" s="630"/>
    </row>
    <row r="600" spans="1:7" ht="18.75" x14ac:dyDescent="0.25">
      <c r="A600" s="629" t="s">
        <v>3081</v>
      </c>
      <c r="B600" s="630">
        <v>96</v>
      </c>
      <c r="C600" s="631" t="str">
        <f t="shared" si="12"/>
        <v>Ô tô tự đổ 5 tấn96</v>
      </c>
      <c r="D600" s="630"/>
      <c r="E600" s="630"/>
      <c r="F600" s="630"/>
      <c r="G600" s="630"/>
    </row>
    <row r="601" spans="1:7" ht="18.75" x14ac:dyDescent="0.25">
      <c r="A601" s="629" t="s">
        <v>3081</v>
      </c>
      <c r="B601" s="630">
        <v>97</v>
      </c>
      <c r="C601" s="631" t="str">
        <f t="shared" si="12"/>
        <v>Ô tô tự đổ 5 tấn97</v>
      </c>
      <c r="D601" s="630"/>
      <c r="E601" s="630"/>
      <c r="F601" s="630"/>
      <c r="G601" s="630"/>
    </row>
    <row r="602" spans="1:7" ht="18.75" x14ac:dyDescent="0.25">
      <c r="A602" s="629" t="s">
        <v>3081</v>
      </c>
      <c r="B602" s="630">
        <v>98</v>
      </c>
      <c r="C602" s="631" t="str">
        <f t="shared" si="12"/>
        <v>Ô tô tự đổ 5 tấn98</v>
      </c>
      <c r="D602" s="630"/>
      <c r="E602" s="630"/>
      <c r="F602" s="630"/>
      <c r="G602" s="630"/>
    </row>
    <row r="603" spans="1:7" ht="18.75" x14ac:dyDescent="0.25">
      <c r="A603" s="629" t="s">
        <v>3081</v>
      </c>
      <c r="B603" s="630">
        <v>99</v>
      </c>
      <c r="C603" s="631" t="str">
        <f t="shared" si="12"/>
        <v>Ô tô tự đổ 5 tấn99</v>
      </c>
      <c r="D603" s="630"/>
      <c r="E603" s="630"/>
      <c r="F603" s="630"/>
      <c r="G603" s="630"/>
    </row>
    <row r="604" spans="1:7" ht="18.75" x14ac:dyDescent="0.25">
      <c r="A604" s="629" t="s">
        <v>3081</v>
      </c>
      <c r="B604" s="630">
        <v>100</v>
      </c>
      <c r="C604" s="631" t="str">
        <f t="shared" si="12"/>
        <v>Ô tô tự đổ 5 tấn100</v>
      </c>
      <c r="D604" s="630"/>
      <c r="E604" s="630"/>
      <c r="F604" s="630"/>
      <c r="G604" s="630"/>
    </row>
    <row r="605" spans="1:7" ht="18.75" x14ac:dyDescent="0.25">
      <c r="A605" s="629" t="s">
        <v>3081</v>
      </c>
      <c r="B605" s="630">
        <v>101</v>
      </c>
      <c r="C605" s="631" t="str">
        <f t="shared" si="12"/>
        <v>Ô tô tự đổ 5 tấn101</v>
      </c>
      <c r="D605" s="630"/>
      <c r="E605" s="630"/>
      <c r="F605" s="630"/>
      <c r="G605" s="630"/>
    </row>
    <row r="606" spans="1:7" ht="18.75" x14ac:dyDescent="0.25">
      <c r="A606" s="629" t="s">
        <v>3081</v>
      </c>
      <c r="B606" s="630">
        <v>102</v>
      </c>
      <c r="C606" s="631" t="str">
        <f t="shared" si="12"/>
        <v>Ô tô tự đổ 5 tấn102</v>
      </c>
      <c r="D606" s="630"/>
      <c r="E606" s="630"/>
      <c r="F606" s="630"/>
      <c r="G606" s="630"/>
    </row>
    <row r="607" spans="1:7" ht="18.75" x14ac:dyDescent="0.25">
      <c r="A607" s="629" t="s">
        <v>3081</v>
      </c>
      <c r="B607" s="630">
        <v>103</v>
      </c>
      <c r="C607" s="631" t="str">
        <f t="shared" si="12"/>
        <v>Ô tô tự đổ 5 tấn103</v>
      </c>
      <c r="D607" s="630"/>
      <c r="E607" s="630"/>
      <c r="F607" s="630"/>
      <c r="G607" s="630"/>
    </row>
    <row r="608" spans="1:7" ht="18.75" x14ac:dyDescent="0.25">
      <c r="A608" s="629" t="s">
        <v>3081</v>
      </c>
      <c r="B608" s="630">
        <v>104</v>
      </c>
      <c r="C608" s="631" t="str">
        <f t="shared" si="12"/>
        <v>Ô tô tự đổ 5 tấn104</v>
      </c>
      <c r="D608" s="630"/>
      <c r="E608" s="630"/>
      <c r="F608" s="630"/>
      <c r="G608" s="630"/>
    </row>
    <row r="609" spans="1:7" ht="18.75" x14ac:dyDescent="0.25">
      <c r="A609" s="629" t="s">
        <v>3081</v>
      </c>
      <c r="B609" s="630">
        <v>105</v>
      </c>
      <c r="C609" s="631" t="str">
        <f t="shared" si="12"/>
        <v>Ô tô tự đổ 5 tấn105</v>
      </c>
      <c r="D609" s="630"/>
      <c r="E609" s="630"/>
      <c r="F609" s="630"/>
      <c r="G609" s="630"/>
    </row>
    <row r="610" spans="1:7" ht="18.75" x14ac:dyDescent="0.25">
      <c r="A610" s="629" t="s">
        <v>3081</v>
      </c>
      <c r="B610" s="630">
        <v>106</v>
      </c>
      <c r="C610" s="631" t="str">
        <f t="shared" si="12"/>
        <v>Ô tô tự đổ 5 tấn106</v>
      </c>
      <c r="D610" s="630"/>
      <c r="E610" s="630"/>
      <c r="F610" s="630"/>
      <c r="G610" s="630"/>
    </row>
    <row r="611" spans="1:7" ht="18.75" x14ac:dyDescent="0.25">
      <c r="A611" s="629" t="s">
        <v>3081</v>
      </c>
      <c r="B611" s="630">
        <v>107</v>
      </c>
      <c r="C611" s="631" t="str">
        <f t="shared" si="12"/>
        <v>Ô tô tự đổ 5 tấn107</v>
      </c>
      <c r="D611" s="630"/>
      <c r="E611" s="630"/>
      <c r="F611" s="630"/>
      <c r="G611" s="630"/>
    </row>
    <row r="612" spans="1:7" ht="18.75" x14ac:dyDescent="0.25">
      <c r="A612" s="629" t="s">
        <v>3081</v>
      </c>
      <c r="B612" s="630">
        <v>108</v>
      </c>
      <c r="C612" s="631" t="str">
        <f t="shared" si="12"/>
        <v>Ô tô tự đổ 5 tấn108</v>
      </c>
      <c r="D612" s="630"/>
      <c r="E612" s="630"/>
      <c r="F612" s="630"/>
      <c r="G612" s="630"/>
    </row>
    <row r="613" spans="1:7" ht="18.75" x14ac:dyDescent="0.25">
      <c r="A613" s="629" t="s">
        <v>3081</v>
      </c>
      <c r="B613" s="630">
        <v>109</v>
      </c>
      <c r="C613" s="631" t="str">
        <f t="shared" si="12"/>
        <v>Ô tô tự đổ 5 tấn109</v>
      </c>
      <c r="D613" s="630"/>
      <c r="E613" s="630"/>
      <c r="F613" s="630"/>
      <c r="G613" s="630"/>
    </row>
    <row r="614" spans="1:7" ht="18.75" x14ac:dyDescent="0.25">
      <c r="A614" s="629" t="s">
        <v>3081</v>
      </c>
      <c r="B614" s="630">
        <v>110</v>
      </c>
      <c r="C614" s="631" t="str">
        <f t="shared" si="12"/>
        <v>Ô tô tự đổ 5 tấn110</v>
      </c>
      <c r="D614" s="630"/>
      <c r="E614" s="630"/>
      <c r="F614" s="630"/>
      <c r="G614" s="630"/>
    </row>
    <row r="615" spans="1:7" ht="18.75" x14ac:dyDescent="0.25">
      <c r="A615" s="629" t="s">
        <v>3081</v>
      </c>
      <c r="B615" s="630">
        <v>111</v>
      </c>
      <c r="C615" s="631" t="str">
        <f t="shared" si="12"/>
        <v>Ô tô tự đổ 5 tấn111</v>
      </c>
      <c r="D615" s="630"/>
      <c r="E615" s="630"/>
      <c r="F615" s="630"/>
      <c r="G615" s="630"/>
    </row>
    <row r="616" spans="1:7" ht="18.75" x14ac:dyDescent="0.25">
      <c r="A616" s="629" t="s">
        <v>3081</v>
      </c>
      <c r="B616" s="630">
        <v>112</v>
      </c>
      <c r="C616" s="631" t="str">
        <f t="shared" si="12"/>
        <v>Ô tô tự đổ 5 tấn112</v>
      </c>
      <c r="D616" s="630"/>
      <c r="E616" s="630"/>
      <c r="F616" s="630"/>
      <c r="G616" s="630"/>
    </row>
    <row r="617" spans="1:7" ht="18.75" x14ac:dyDescent="0.25">
      <c r="A617" s="629" t="s">
        <v>3081</v>
      </c>
      <c r="B617" s="630">
        <v>113</v>
      </c>
      <c r="C617" s="631" t="str">
        <f t="shared" si="12"/>
        <v>Ô tô tự đổ 5 tấn113</v>
      </c>
      <c r="D617" s="630"/>
      <c r="E617" s="630"/>
      <c r="F617" s="630"/>
      <c r="G617" s="630"/>
    </row>
    <row r="618" spans="1:7" ht="18.75" x14ac:dyDescent="0.25">
      <c r="A618" s="629" t="s">
        <v>3081</v>
      </c>
      <c r="B618" s="630">
        <v>114</v>
      </c>
      <c r="C618" s="631" t="str">
        <f t="shared" si="12"/>
        <v>Ô tô tự đổ 5 tấn114</v>
      </c>
      <c r="D618" s="630"/>
      <c r="E618" s="630"/>
      <c r="F618" s="630"/>
      <c r="G618" s="630"/>
    </row>
    <row r="619" spans="1:7" ht="18.75" x14ac:dyDescent="0.25">
      <c r="A619" s="629" t="s">
        <v>3081</v>
      </c>
      <c r="B619" s="630">
        <v>115</v>
      </c>
      <c r="C619" s="631" t="str">
        <f t="shared" si="12"/>
        <v>Ô tô tự đổ 5 tấn115</v>
      </c>
      <c r="D619" s="630"/>
      <c r="E619" s="630"/>
      <c r="F619" s="630"/>
      <c r="G619" s="630"/>
    </row>
    <row r="620" spans="1:7" ht="18.75" x14ac:dyDescent="0.25">
      <c r="A620" s="629" t="s">
        <v>3081</v>
      </c>
      <c r="B620" s="630">
        <v>116</v>
      </c>
      <c r="C620" s="631" t="str">
        <f t="shared" si="12"/>
        <v>Ô tô tự đổ 5 tấn116</v>
      </c>
      <c r="D620" s="630"/>
      <c r="E620" s="630"/>
      <c r="F620" s="630"/>
      <c r="G620" s="630"/>
    </row>
    <row r="621" spans="1:7" ht="18.75" x14ac:dyDescent="0.25">
      <c r="A621" s="629" t="s">
        <v>3081</v>
      </c>
      <c r="B621" s="630">
        <v>117</v>
      </c>
      <c r="C621" s="631" t="str">
        <f t="shared" si="12"/>
        <v>Ô tô tự đổ 5 tấn117</v>
      </c>
      <c r="D621" s="630"/>
      <c r="E621" s="630"/>
      <c r="F621" s="630"/>
      <c r="G621" s="630"/>
    </row>
    <row r="622" spans="1:7" ht="18.75" x14ac:dyDescent="0.25">
      <c r="A622" s="629" t="s">
        <v>3081</v>
      </c>
      <c r="B622" s="630">
        <v>118</v>
      </c>
      <c r="C622" s="631" t="str">
        <f t="shared" si="12"/>
        <v>Ô tô tự đổ 5 tấn118</v>
      </c>
      <c r="D622" s="630"/>
      <c r="E622" s="630"/>
      <c r="F622" s="630"/>
      <c r="G622" s="630"/>
    </row>
    <row r="623" spans="1:7" ht="18.75" x14ac:dyDescent="0.25">
      <c r="A623" s="629" t="s">
        <v>3081</v>
      </c>
      <c r="B623" s="630">
        <v>119</v>
      </c>
      <c r="C623" s="631" t="str">
        <f t="shared" si="12"/>
        <v>Ô tô tự đổ 5 tấn119</v>
      </c>
      <c r="D623" s="630"/>
      <c r="E623" s="630"/>
      <c r="F623" s="630"/>
      <c r="G623" s="630"/>
    </row>
    <row r="624" spans="1:7" ht="18.75" x14ac:dyDescent="0.25">
      <c r="A624" s="629" t="s">
        <v>3081</v>
      </c>
      <c r="B624" s="630">
        <v>120</v>
      </c>
      <c r="C624" s="631" t="str">
        <f t="shared" si="12"/>
        <v>Ô tô tự đổ 5 tấn120</v>
      </c>
      <c r="D624" s="630"/>
      <c r="E624" s="630"/>
      <c r="F624" s="630"/>
      <c r="G624" s="630"/>
    </row>
    <row r="625" spans="1:7" ht="18.75" x14ac:dyDescent="0.25">
      <c r="A625" s="629" t="s">
        <v>3081</v>
      </c>
      <c r="B625" s="630">
        <v>121</v>
      </c>
      <c r="C625" s="631" t="str">
        <f t="shared" si="12"/>
        <v>Ô tô tự đổ 5 tấn121</v>
      </c>
      <c r="D625" s="630"/>
      <c r="E625" s="630"/>
      <c r="F625" s="630"/>
      <c r="G625" s="630"/>
    </row>
    <row r="626" spans="1:7" ht="18.75" x14ac:dyDescent="0.25">
      <c r="A626" s="629" t="s">
        <v>3081</v>
      </c>
      <c r="B626" s="630">
        <v>122</v>
      </c>
      <c r="C626" s="631" t="str">
        <f t="shared" si="12"/>
        <v>Ô tô tự đổ 5 tấn122</v>
      </c>
      <c r="D626" s="630"/>
      <c r="E626" s="630"/>
      <c r="F626" s="630"/>
      <c r="G626" s="630"/>
    </row>
    <row r="627" spans="1:7" ht="18.75" x14ac:dyDescent="0.25">
      <c r="A627" s="629" t="s">
        <v>3081</v>
      </c>
      <c r="B627" s="630">
        <v>123</v>
      </c>
      <c r="C627" s="631" t="str">
        <f t="shared" si="12"/>
        <v>Ô tô tự đổ 5 tấn123</v>
      </c>
      <c r="D627" s="630"/>
      <c r="E627" s="630"/>
      <c r="F627" s="630"/>
      <c r="G627" s="630"/>
    </row>
    <row r="628" spans="1:7" ht="18.75" x14ac:dyDescent="0.25">
      <c r="A628" s="629" t="s">
        <v>3081</v>
      </c>
      <c r="B628" s="630">
        <v>124</v>
      </c>
      <c r="C628" s="631" t="str">
        <f t="shared" si="12"/>
        <v>Ô tô tự đổ 5 tấn124</v>
      </c>
      <c r="D628" s="630"/>
      <c r="E628" s="630"/>
      <c r="F628" s="630"/>
      <c r="G628" s="630"/>
    </row>
    <row r="629" spans="1:7" ht="18.75" x14ac:dyDescent="0.25">
      <c r="A629" s="629" t="s">
        <v>3081</v>
      </c>
      <c r="B629" s="630">
        <v>125</v>
      </c>
      <c r="C629" s="631" t="str">
        <f t="shared" si="12"/>
        <v>Ô tô tự đổ 5 tấn125</v>
      </c>
      <c r="D629" s="630"/>
      <c r="E629" s="630"/>
      <c r="F629" s="630"/>
      <c r="G629" s="630"/>
    </row>
    <row r="630" spans="1:7" ht="18.75" x14ac:dyDescent="0.25">
      <c r="A630" s="629" t="s">
        <v>3081</v>
      </c>
      <c r="B630" s="630">
        <v>126</v>
      </c>
      <c r="C630" s="631" t="str">
        <f t="shared" si="12"/>
        <v>Ô tô tự đổ 5 tấn126</v>
      </c>
      <c r="D630" s="630"/>
      <c r="E630" s="630"/>
      <c r="F630" s="630"/>
      <c r="G630" s="630"/>
    </row>
    <row r="631" spans="1:7" ht="18.75" x14ac:dyDescent="0.25">
      <c r="A631" s="629" t="s">
        <v>3081</v>
      </c>
      <c r="B631" s="630">
        <v>127</v>
      </c>
      <c r="C631" s="631" t="str">
        <f t="shared" si="12"/>
        <v>Ô tô tự đổ 5 tấn127</v>
      </c>
      <c r="D631" s="630"/>
      <c r="E631" s="630"/>
      <c r="F631" s="630"/>
      <c r="G631" s="630"/>
    </row>
    <row r="632" spans="1:7" ht="18.75" x14ac:dyDescent="0.25">
      <c r="A632" s="629" t="s">
        <v>3081</v>
      </c>
      <c r="B632" s="630">
        <v>128</v>
      </c>
      <c r="C632" s="631" t="str">
        <f t="shared" si="12"/>
        <v>Ô tô tự đổ 5 tấn128</v>
      </c>
      <c r="D632" s="630"/>
      <c r="E632" s="630"/>
      <c r="F632" s="630"/>
      <c r="G632" s="630"/>
    </row>
    <row r="633" spans="1:7" ht="18.75" x14ac:dyDescent="0.25">
      <c r="A633" s="629" t="s">
        <v>3081</v>
      </c>
      <c r="B633" s="630">
        <v>129</v>
      </c>
      <c r="C633" s="631" t="str">
        <f t="shared" si="12"/>
        <v>Ô tô tự đổ 5 tấn129</v>
      </c>
      <c r="D633" s="630"/>
      <c r="E633" s="630"/>
      <c r="F633" s="630"/>
      <c r="G633" s="630"/>
    </row>
    <row r="634" spans="1:7" ht="18.75" x14ac:dyDescent="0.25">
      <c r="A634" s="629" t="s">
        <v>3081</v>
      </c>
      <c r="B634" s="630">
        <v>130</v>
      </c>
      <c r="C634" s="631" t="str">
        <f t="shared" ref="C634:C697" si="13">A634&amp;B634</f>
        <v>Ô tô tự đổ 5 tấn130</v>
      </c>
      <c r="D634" s="630"/>
      <c r="E634" s="630"/>
      <c r="F634" s="630"/>
      <c r="G634" s="630"/>
    </row>
    <row r="635" spans="1:7" ht="18.75" x14ac:dyDescent="0.25">
      <c r="A635" s="629" t="s">
        <v>3081</v>
      </c>
      <c r="B635" s="630">
        <v>131</v>
      </c>
      <c r="C635" s="631" t="str">
        <f t="shared" si="13"/>
        <v>Ô tô tự đổ 5 tấn131</v>
      </c>
      <c r="D635" s="630"/>
      <c r="E635" s="630"/>
      <c r="F635" s="630"/>
      <c r="G635" s="630"/>
    </row>
    <row r="636" spans="1:7" ht="18.75" x14ac:dyDescent="0.25">
      <c r="A636" s="629" t="s">
        <v>3081</v>
      </c>
      <c r="B636" s="630">
        <v>132</v>
      </c>
      <c r="C636" s="631" t="str">
        <f t="shared" si="13"/>
        <v>Ô tô tự đổ 5 tấn132</v>
      </c>
      <c r="D636" s="630"/>
      <c r="E636" s="630"/>
      <c r="F636" s="630"/>
      <c r="G636" s="630"/>
    </row>
    <row r="637" spans="1:7" ht="18.75" x14ac:dyDescent="0.25">
      <c r="A637" s="629" t="s">
        <v>3081</v>
      </c>
      <c r="B637" s="630">
        <v>133</v>
      </c>
      <c r="C637" s="631" t="str">
        <f t="shared" si="13"/>
        <v>Ô tô tự đổ 5 tấn133</v>
      </c>
      <c r="D637" s="630"/>
      <c r="E637" s="630"/>
      <c r="F637" s="630"/>
      <c r="G637" s="630"/>
    </row>
    <row r="638" spans="1:7" ht="18.75" x14ac:dyDescent="0.25">
      <c r="A638" s="629" t="s">
        <v>3081</v>
      </c>
      <c r="B638" s="630">
        <v>134</v>
      </c>
      <c r="C638" s="631" t="str">
        <f t="shared" si="13"/>
        <v>Ô tô tự đổ 5 tấn134</v>
      </c>
      <c r="D638" s="630"/>
      <c r="E638" s="630"/>
      <c r="F638" s="630"/>
      <c r="G638" s="630"/>
    </row>
    <row r="639" spans="1:7" ht="18.75" x14ac:dyDescent="0.25">
      <c r="A639" s="629" t="s">
        <v>3081</v>
      </c>
      <c r="B639" s="630">
        <v>135</v>
      </c>
      <c r="C639" s="631" t="str">
        <f t="shared" si="13"/>
        <v>Ô tô tự đổ 5 tấn135</v>
      </c>
      <c r="D639" s="630"/>
      <c r="E639" s="630"/>
      <c r="F639" s="630"/>
      <c r="G639" s="630"/>
    </row>
    <row r="640" spans="1:7" ht="18.75" x14ac:dyDescent="0.25">
      <c r="A640" s="629" t="s">
        <v>3081</v>
      </c>
      <c r="B640" s="630">
        <v>136</v>
      </c>
      <c r="C640" s="631" t="str">
        <f t="shared" si="13"/>
        <v>Ô tô tự đổ 5 tấn136</v>
      </c>
      <c r="D640" s="630"/>
      <c r="E640" s="630"/>
      <c r="F640" s="630"/>
      <c r="G640" s="630"/>
    </row>
    <row r="641" spans="1:7" ht="18.75" x14ac:dyDescent="0.25">
      <c r="A641" s="629" t="s">
        <v>3081</v>
      </c>
      <c r="B641" s="630">
        <v>137</v>
      </c>
      <c r="C641" s="631" t="str">
        <f t="shared" si="13"/>
        <v>Ô tô tự đổ 5 tấn137</v>
      </c>
      <c r="D641" s="630"/>
      <c r="E641" s="630"/>
      <c r="F641" s="630"/>
      <c r="G641" s="630"/>
    </row>
    <row r="642" spans="1:7" ht="18.75" x14ac:dyDescent="0.25">
      <c r="A642" s="629" t="s">
        <v>3081</v>
      </c>
      <c r="B642" s="630">
        <v>138</v>
      </c>
      <c r="C642" s="631" t="str">
        <f t="shared" si="13"/>
        <v>Ô tô tự đổ 5 tấn138</v>
      </c>
      <c r="D642" s="630"/>
      <c r="E642" s="630"/>
      <c r="F642" s="630"/>
      <c r="G642" s="630"/>
    </row>
    <row r="643" spans="1:7" ht="18.75" x14ac:dyDescent="0.25">
      <c r="A643" s="629" t="s">
        <v>3081</v>
      </c>
      <c r="B643" s="630">
        <v>139</v>
      </c>
      <c r="C643" s="631" t="str">
        <f t="shared" si="13"/>
        <v>Ô tô tự đổ 5 tấn139</v>
      </c>
      <c r="D643" s="630"/>
      <c r="E643" s="630"/>
      <c r="F643" s="630"/>
      <c r="G643" s="630"/>
    </row>
    <row r="644" spans="1:7" ht="18.75" x14ac:dyDescent="0.25">
      <c r="A644" s="629" t="s">
        <v>3081</v>
      </c>
      <c r="B644" s="630">
        <v>140</v>
      </c>
      <c r="C644" s="631" t="str">
        <f t="shared" si="13"/>
        <v>Ô tô tự đổ 5 tấn140</v>
      </c>
      <c r="D644" s="630"/>
      <c r="E644" s="630"/>
      <c r="F644" s="630"/>
      <c r="G644" s="630"/>
    </row>
    <row r="645" spans="1:7" ht="18.75" x14ac:dyDescent="0.25">
      <c r="A645" s="629" t="s">
        <v>3081</v>
      </c>
      <c r="B645" s="630">
        <v>141</v>
      </c>
      <c r="C645" s="631" t="str">
        <f t="shared" si="13"/>
        <v>Ô tô tự đổ 5 tấn141</v>
      </c>
      <c r="D645" s="630"/>
      <c r="E645" s="630"/>
      <c r="F645" s="630"/>
      <c r="G645" s="630"/>
    </row>
    <row r="646" spans="1:7" ht="18.75" x14ac:dyDescent="0.25">
      <c r="A646" s="629" t="s">
        <v>3081</v>
      </c>
      <c r="B646" s="630">
        <v>142</v>
      </c>
      <c r="C646" s="631" t="str">
        <f t="shared" si="13"/>
        <v>Ô tô tự đổ 5 tấn142</v>
      </c>
      <c r="D646" s="630"/>
      <c r="E646" s="630"/>
      <c r="F646" s="630"/>
      <c r="G646" s="630"/>
    </row>
    <row r="647" spans="1:7" ht="18.75" x14ac:dyDescent="0.25">
      <c r="A647" s="629" t="s">
        <v>3081</v>
      </c>
      <c r="B647" s="630">
        <v>143</v>
      </c>
      <c r="C647" s="631" t="str">
        <f t="shared" si="13"/>
        <v>Ô tô tự đổ 5 tấn143</v>
      </c>
      <c r="D647" s="630"/>
      <c r="E647" s="630"/>
      <c r="F647" s="630"/>
      <c r="G647" s="630"/>
    </row>
    <row r="648" spans="1:7" ht="18.75" x14ac:dyDescent="0.25">
      <c r="A648" s="629" t="s">
        <v>3081</v>
      </c>
      <c r="B648" s="630">
        <v>144</v>
      </c>
      <c r="C648" s="631" t="str">
        <f t="shared" si="13"/>
        <v>Ô tô tự đổ 5 tấn144</v>
      </c>
      <c r="D648" s="630"/>
      <c r="E648" s="630"/>
      <c r="F648" s="630"/>
      <c r="G648" s="630"/>
    </row>
    <row r="649" spans="1:7" ht="18.75" x14ac:dyDescent="0.25">
      <c r="A649" s="629" t="s">
        <v>3081</v>
      </c>
      <c r="B649" s="630">
        <v>145</v>
      </c>
      <c r="C649" s="631" t="str">
        <f t="shared" si="13"/>
        <v>Ô tô tự đổ 5 tấn145</v>
      </c>
      <c r="D649" s="630"/>
      <c r="E649" s="630"/>
      <c r="F649" s="630"/>
      <c r="G649" s="630"/>
    </row>
    <row r="650" spans="1:7" ht="18.75" x14ac:dyDescent="0.25">
      <c r="A650" s="629" t="s">
        <v>3081</v>
      </c>
      <c r="B650" s="630">
        <v>146</v>
      </c>
      <c r="C650" s="631" t="str">
        <f t="shared" si="13"/>
        <v>Ô tô tự đổ 5 tấn146</v>
      </c>
      <c r="D650" s="630"/>
      <c r="E650" s="630"/>
      <c r="F650" s="630"/>
      <c r="G650" s="630"/>
    </row>
    <row r="651" spans="1:7" ht="18.75" x14ac:dyDescent="0.25">
      <c r="A651" s="629" t="s">
        <v>3081</v>
      </c>
      <c r="B651" s="630">
        <v>147</v>
      </c>
      <c r="C651" s="631" t="str">
        <f t="shared" si="13"/>
        <v>Ô tô tự đổ 5 tấn147</v>
      </c>
      <c r="D651" s="630"/>
      <c r="E651" s="630"/>
      <c r="F651" s="630"/>
      <c r="G651" s="630"/>
    </row>
    <row r="652" spans="1:7" ht="18.75" x14ac:dyDescent="0.25">
      <c r="A652" s="629" t="s">
        <v>3081</v>
      </c>
      <c r="B652" s="630">
        <v>148</v>
      </c>
      <c r="C652" s="631" t="str">
        <f t="shared" si="13"/>
        <v>Ô tô tự đổ 5 tấn148</v>
      </c>
      <c r="D652" s="630"/>
      <c r="E652" s="630"/>
      <c r="F652" s="630"/>
      <c r="G652" s="630"/>
    </row>
    <row r="653" spans="1:7" ht="18.75" x14ac:dyDescent="0.25">
      <c r="A653" s="629" t="s">
        <v>3081</v>
      </c>
      <c r="B653" s="630">
        <v>149</v>
      </c>
      <c r="C653" s="631" t="str">
        <f t="shared" si="13"/>
        <v>Ô tô tự đổ 5 tấn149</v>
      </c>
      <c r="D653" s="630"/>
      <c r="E653" s="630"/>
      <c r="F653" s="630"/>
      <c r="G653" s="630"/>
    </row>
    <row r="654" spans="1:7" ht="18.75" x14ac:dyDescent="0.25">
      <c r="A654" s="629" t="s">
        <v>3081</v>
      </c>
      <c r="B654" s="630">
        <v>150</v>
      </c>
      <c r="C654" s="631" t="str">
        <f t="shared" si="13"/>
        <v>Ô tô tự đổ 5 tấn150</v>
      </c>
      <c r="D654" s="630"/>
      <c r="E654" s="630"/>
      <c r="F654" s="630"/>
      <c r="G654" s="630"/>
    </row>
    <row r="655" spans="1:7" ht="18.75" x14ac:dyDescent="0.25">
      <c r="A655" s="629" t="s">
        <v>3081</v>
      </c>
      <c r="B655" s="630">
        <v>151</v>
      </c>
      <c r="C655" s="631" t="str">
        <f t="shared" si="13"/>
        <v>Ô tô tự đổ 5 tấn151</v>
      </c>
      <c r="D655" s="630"/>
      <c r="E655" s="630"/>
      <c r="F655" s="630"/>
      <c r="G655" s="630"/>
    </row>
    <row r="656" spans="1:7" ht="18.75" x14ac:dyDescent="0.25">
      <c r="A656" s="629" t="s">
        <v>3081</v>
      </c>
      <c r="B656" s="630">
        <v>152</v>
      </c>
      <c r="C656" s="631" t="str">
        <f t="shared" si="13"/>
        <v>Ô tô tự đổ 5 tấn152</v>
      </c>
      <c r="D656" s="630"/>
      <c r="E656" s="630"/>
      <c r="F656" s="630"/>
      <c r="G656" s="630"/>
    </row>
    <row r="657" spans="1:7" ht="18.75" x14ac:dyDescent="0.25">
      <c r="A657" s="629" t="s">
        <v>3081</v>
      </c>
      <c r="B657" s="630">
        <v>153</v>
      </c>
      <c r="C657" s="631" t="str">
        <f t="shared" si="13"/>
        <v>Ô tô tự đổ 5 tấn153</v>
      </c>
      <c r="D657" s="630"/>
      <c r="E657" s="630"/>
      <c r="F657" s="630"/>
      <c r="G657" s="630"/>
    </row>
    <row r="658" spans="1:7" ht="18.75" x14ac:dyDescent="0.25">
      <c r="A658" s="629" t="s">
        <v>3081</v>
      </c>
      <c r="B658" s="630">
        <v>154</v>
      </c>
      <c r="C658" s="631" t="str">
        <f t="shared" si="13"/>
        <v>Ô tô tự đổ 5 tấn154</v>
      </c>
      <c r="D658" s="630"/>
      <c r="E658" s="630"/>
      <c r="F658" s="630"/>
      <c r="G658" s="630"/>
    </row>
    <row r="659" spans="1:7" ht="18.75" x14ac:dyDescent="0.25">
      <c r="A659" s="629" t="s">
        <v>3081</v>
      </c>
      <c r="B659" s="630">
        <v>155</v>
      </c>
      <c r="C659" s="631" t="str">
        <f t="shared" si="13"/>
        <v>Ô tô tự đổ 5 tấn155</v>
      </c>
      <c r="D659" s="630"/>
      <c r="E659" s="630"/>
      <c r="F659" s="630"/>
      <c r="G659" s="630"/>
    </row>
    <row r="660" spans="1:7" ht="18.75" x14ac:dyDescent="0.25">
      <c r="A660" s="629" t="s">
        <v>3081</v>
      </c>
      <c r="B660" s="630">
        <v>156</v>
      </c>
      <c r="C660" s="631" t="str">
        <f t="shared" si="13"/>
        <v>Ô tô tự đổ 5 tấn156</v>
      </c>
      <c r="D660" s="630"/>
      <c r="E660" s="630"/>
      <c r="F660" s="630"/>
      <c r="G660" s="630"/>
    </row>
    <row r="661" spans="1:7" ht="18.75" x14ac:dyDescent="0.25">
      <c r="A661" s="629" t="s">
        <v>3081</v>
      </c>
      <c r="B661" s="630">
        <v>157</v>
      </c>
      <c r="C661" s="631" t="str">
        <f t="shared" si="13"/>
        <v>Ô tô tự đổ 5 tấn157</v>
      </c>
      <c r="D661" s="630"/>
      <c r="E661" s="630"/>
      <c r="F661" s="630"/>
      <c r="G661" s="630"/>
    </row>
    <row r="662" spans="1:7" ht="18.75" x14ac:dyDescent="0.25">
      <c r="A662" s="629" t="s">
        <v>3081</v>
      </c>
      <c r="B662" s="630">
        <v>158</v>
      </c>
      <c r="C662" s="631" t="str">
        <f t="shared" si="13"/>
        <v>Ô tô tự đổ 5 tấn158</v>
      </c>
      <c r="D662" s="630"/>
      <c r="E662" s="630"/>
      <c r="F662" s="630"/>
      <c r="G662" s="630"/>
    </row>
    <row r="663" spans="1:7" ht="18.75" x14ac:dyDescent="0.25">
      <c r="A663" s="629" t="s">
        <v>3081</v>
      </c>
      <c r="B663" s="630">
        <v>159</v>
      </c>
      <c r="C663" s="631" t="str">
        <f t="shared" si="13"/>
        <v>Ô tô tự đổ 5 tấn159</v>
      </c>
      <c r="D663" s="630"/>
      <c r="E663" s="630"/>
      <c r="F663" s="630"/>
      <c r="G663" s="630"/>
    </row>
    <row r="664" spans="1:7" ht="18.75" x14ac:dyDescent="0.25">
      <c r="A664" s="629" t="s">
        <v>3081</v>
      </c>
      <c r="B664" s="630">
        <v>160</v>
      </c>
      <c r="C664" s="631" t="str">
        <f t="shared" si="13"/>
        <v>Ô tô tự đổ 5 tấn160</v>
      </c>
      <c r="D664" s="630"/>
      <c r="E664" s="630"/>
      <c r="F664" s="630"/>
      <c r="G664" s="630"/>
    </row>
    <row r="665" spans="1:7" ht="18.75" x14ac:dyDescent="0.25">
      <c r="A665" s="629" t="s">
        <v>3081</v>
      </c>
      <c r="B665" s="630">
        <v>161</v>
      </c>
      <c r="C665" s="631" t="str">
        <f t="shared" si="13"/>
        <v>Ô tô tự đổ 5 tấn161</v>
      </c>
      <c r="D665" s="630"/>
      <c r="E665" s="630"/>
      <c r="F665" s="630"/>
      <c r="G665" s="630"/>
    </row>
    <row r="666" spans="1:7" ht="18.75" x14ac:dyDescent="0.25">
      <c r="A666" s="629" t="s">
        <v>3081</v>
      </c>
      <c r="B666" s="630">
        <v>162</v>
      </c>
      <c r="C666" s="631" t="str">
        <f t="shared" si="13"/>
        <v>Ô tô tự đổ 5 tấn162</v>
      </c>
      <c r="D666" s="630"/>
      <c r="E666" s="630"/>
      <c r="F666" s="630"/>
      <c r="G666" s="630"/>
    </row>
    <row r="667" spans="1:7" ht="18.75" x14ac:dyDescent="0.25">
      <c r="A667" s="629" t="s">
        <v>3081</v>
      </c>
      <c r="B667" s="630">
        <v>163</v>
      </c>
      <c r="C667" s="631" t="str">
        <f t="shared" si="13"/>
        <v>Ô tô tự đổ 5 tấn163</v>
      </c>
      <c r="D667" s="630"/>
      <c r="E667" s="630"/>
      <c r="F667" s="630"/>
      <c r="G667" s="630"/>
    </row>
    <row r="668" spans="1:7" ht="18.75" x14ac:dyDescent="0.25">
      <c r="A668" s="629" t="s">
        <v>3081</v>
      </c>
      <c r="B668" s="630">
        <v>164</v>
      </c>
      <c r="C668" s="631" t="str">
        <f t="shared" si="13"/>
        <v>Ô tô tự đổ 5 tấn164</v>
      </c>
      <c r="D668" s="630"/>
      <c r="E668" s="630"/>
      <c r="F668" s="630"/>
      <c r="G668" s="630"/>
    </row>
    <row r="669" spans="1:7" ht="18.75" x14ac:dyDescent="0.25">
      <c r="A669" s="629" t="s">
        <v>3081</v>
      </c>
      <c r="B669" s="630">
        <v>165</v>
      </c>
      <c r="C669" s="631" t="str">
        <f t="shared" si="13"/>
        <v>Ô tô tự đổ 5 tấn165</v>
      </c>
      <c r="D669" s="630"/>
      <c r="E669" s="630"/>
      <c r="F669" s="630"/>
      <c r="G669" s="630"/>
    </row>
    <row r="670" spans="1:7" ht="18.75" x14ac:dyDescent="0.25">
      <c r="A670" s="629" t="s">
        <v>3081</v>
      </c>
      <c r="B670" s="630">
        <v>166</v>
      </c>
      <c r="C670" s="631" t="str">
        <f t="shared" si="13"/>
        <v>Ô tô tự đổ 5 tấn166</v>
      </c>
      <c r="D670" s="630"/>
      <c r="E670" s="630"/>
      <c r="F670" s="630"/>
      <c r="G670" s="630"/>
    </row>
    <row r="671" spans="1:7" ht="18.75" x14ac:dyDescent="0.25">
      <c r="A671" s="629" t="s">
        <v>3081</v>
      </c>
      <c r="B671" s="630">
        <v>167</v>
      </c>
      <c r="C671" s="631" t="str">
        <f t="shared" si="13"/>
        <v>Ô tô tự đổ 5 tấn167</v>
      </c>
      <c r="D671" s="630"/>
      <c r="E671" s="630"/>
      <c r="F671" s="630"/>
      <c r="G671" s="630"/>
    </row>
    <row r="672" spans="1:7" ht="18.75" x14ac:dyDescent="0.25">
      <c r="A672" s="629" t="s">
        <v>3081</v>
      </c>
      <c r="B672" s="630">
        <v>168</v>
      </c>
      <c r="C672" s="631" t="str">
        <f t="shared" si="13"/>
        <v>Ô tô tự đổ 5 tấn168</v>
      </c>
      <c r="D672" s="630"/>
      <c r="E672" s="630"/>
      <c r="F672" s="630"/>
      <c r="G672" s="630"/>
    </row>
    <row r="673" spans="1:7" ht="18.75" x14ac:dyDescent="0.25">
      <c r="A673" s="629" t="s">
        <v>3081</v>
      </c>
      <c r="B673" s="630">
        <v>169</v>
      </c>
      <c r="C673" s="631" t="str">
        <f t="shared" si="13"/>
        <v>Ô tô tự đổ 5 tấn169</v>
      </c>
      <c r="D673" s="630"/>
      <c r="E673" s="630"/>
      <c r="F673" s="630"/>
      <c r="G673" s="630"/>
    </row>
    <row r="674" spans="1:7" ht="18.75" x14ac:dyDescent="0.25">
      <c r="A674" s="629" t="s">
        <v>3081</v>
      </c>
      <c r="B674" s="630">
        <v>170</v>
      </c>
      <c r="C674" s="631" t="str">
        <f t="shared" si="13"/>
        <v>Ô tô tự đổ 5 tấn170</v>
      </c>
      <c r="D674" s="630"/>
      <c r="E674" s="630"/>
      <c r="F674" s="630"/>
      <c r="G674" s="630"/>
    </row>
    <row r="675" spans="1:7" ht="18.75" x14ac:dyDescent="0.25">
      <c r="A675" s="629" t="s">
        <v>3081</v>
      </c>
      <c r="B675" s="630">
        <v>171</v>
      </c>
      <c r="C675" s="631" t="str">
        <f t="shared" si="13"/>
        <v>Ô tô tự đổ 5 tấn171</v>
      </c>
      <c r="D675" s="630"/>
      <c r="E675" s="630"/>
      <c r="F675" s="630"/>
      <c r="G675" s="630"/>
    </row>
    <row r="676" spans="1:7" ht="18.75" x14ac:dyDescent="0.25">
      <c r="A676" s="629" t="s">
        <v>3081</v>
      </c>
      <c r="B676" s="630">
        <v>172</v>
      </c>
      <c r="C676" s="631" t="str">
        <f t="shared" si="13"/>
        <v>Ô tô tự đổ 5 tấn172</v>
      </c>
      <c r="D676" s="630"/>
      <c r="E676" s="630"/>
      <c r="F676" s="630"/>
      <c r="G676" s="630"/>
    </row>
    <row r="677" spans="1:7" ht="18.75" x14ac:dyDescent="0.25">
      <c r="A677" s="629" t="s">
        <v>3081</v>
      </c>
      <c r="B677" s="630">
        <v>173</v>
      </c>
      <c r="C677" s="631" t="str">
        <f t="shared" si="13"/>
        <v>Ô tô tự đổ 5 tấn173</v>
      </c>
      <c r="D677" s="630"/>
      <c r="E677" s="630"/>
      <c r="F677" s="630"/>
      <c r="G677" s="630"/>
    </row>
    <row r="678" spans="1:7" ht="18.75" x14ac:dyDescent="0.25">
      <c r="A678" s="629" t="s">
        <v>3081</v>
      </c>
      <c r="B678" s="630">
        <v>174</v>
      </c>
      <c r="C678" s="631" t="str">
        <f t="shared" si="13"/>
        <v>Ô tô tự đổ 5 tấn174</v>
      </c>
      <c r="D678" s="630"/>
      <c r="E678" s="630"/>
      <c r="F678" s="630"/>
      <c r="G678" s="630"/>
    </row>
    <row r="679" spans="1:7" ht="18.75" x14ac:dyDescent="0.25">
      <c r="A679" s="629" t="s">
        <v>3081</v>
      </c>
      <c r="B679" s="630">
        <v>175</v>
      </c>
      <c r="C679" s="631" t="str">
        <f t="shared" si="13"/>
        <v>Ô tô tự đổ 5 tấn175</v>
      </c>
      <c r="D679" s="630"/>
      <c r="E679" s="630"/>
      <c r="F679" s="630"/>
      <c r="G679" s="630"/>
    </row>
    <row r="680" spans="1:7" ht="18.75" x14ac:dyDescent="0.25">
      <c r="A680" s="629" t="s">
        <v>3081</v>
      </c>
      <c r="B680" s="630">
        <v>176</v>
      </c>
      <c r="C680" s="631" t="str">
        <f t="shared" si="13"/>
        <v>Ô tô tự đổ 5 tấn176</v>
      </c>
      <c r="D680" s="630"/>
      <c r="E680" s="630"/>
      <c r="F680" s="630"/>
      <c r="G680" s="630"/>
    </row>
    <row r="681" spans="1:7" ht="18.75" x14ac:dyDescent="0.25">
      <c r="A681" s="629" t="s">
        <v>3081</v>
      </c>
      <c r="B681" s="630">
        <v>177</v>
      </c>
      <c r="C681" s="631" t="str">
        <f t="shared" si="13"/>
        <v>Ô tô tự đổ 5 tấn177</v>
      </c>
      <c r="D681" s="630"/>
      <c r="E681" s="630"/>
      <c r="F681" s="630"/>
      <c r="G681" s="630"/>
    </row>
    <row r="682" spans="1:7" ht="18.75" x14ac:dyDescent="0.25">
      <c r="A682" s="629" t="s">
        <v>3081</v>
      </c>
      <c r="B682" s="630">
        <v>178</v>
      </c>
      <c r="C682" s="631" t="str">
        <f t="shared" si="13"/>
        <v>Ô tô tự đổ 5 tấn178</v>
      </c>
      <c r="D682" s="630"/>
      <c r="E682" s="630"/>
      <c r="F682" s="630"/>
      <c r="G682" s="630"/>
    </row>
    <row r="683" spans="1:7" ht="18.75" x14ac:dyDescent="0.25">
      <c r="A683" s="629" t="s">
        <v>3081</v>
      </c>
      <c r="B683" s="630">
        <v>179</v>
      </c>
      <c r="C683" s="631" t="str">
        <f t="shared" si="13"/>
        <v>Ô tô tự đổ 5 tấn179</v>
      </c>
      <c r="D683" s="630"/>
      <c r="E683" s="630"/>
      <c r="F683" s="630"/>
      <c r="G683" s="630"/>
    </row>
    <row r="684" spans="1:7" ht="18.75" x14ac:dyDescent="0.25">
      <c r="A684" s="629" t="s">
        <v>3081</v>
      </c>
      <c r="B684" s="630">
        <v>180</v>
      </c>
      <c r="C684" s="631" t="str">
        <f t="shared" si="13"/>
        <v>Ô tô tự đổ 5 tấn180</v>
      </c>
      <c r="D684" s="630"/>
      <c r="E684" s="630"/>
      <c r="F684" s="630"/>
      <c r="G684" s="630"/>
    </row>
    <row r="685" spans="1:7" ht="18.75" x14ac:dyDescent="0.25">
      <c r="A685" s="629" t="s">
        <v>3081</v>
      </c>
      <c r="B685" s="630">
        <v>181</v>
      </c>
      <c r="C685" s="631" t="str">
        <f t="shared" si="13"/>
        <v>Ô tô tự đổ 5 tấn181</v>
      </c>
      <c r="D685" s="630"/>
      <c r="E685" s="630"/>
      <c r="F685" s="630"/>
      <c r="G685" s="630"/>
    </row>
    <row r="686" spans="1:7" ht="18.75" x14ac:dyDescent="0.25">
      <c r="A686" s="629" t="s">
        <v>3081</v>
      </c>
      <c r="B686" s="630">
        <v>182</v>
      </c>
      <c r="C686" s="631" t="str">
        <f t="shared" si="13"/>
        <v>Ô tô tự đổ 5 tấn182</v>
      </c>
      <c r="D686" s="630"/>
      <c r="E686" s="630"/>
      <c r="F686" s="630"/>
      <c r="G686" s="630"/>
    </row>
    <row r="687" spans="1:7" ht="18.75" x14ac:dyDescent="0.25">
      <c r="A687" s="629" t="s">
        <v>3081</v>
      </c>
      <c r="B687" s="630">
        <v>183</v>
      </c>
      <c r="C687" s="631" t="str">
        <f t="shared" si="13"/>
        <v>Ô tô tự đổ 5 tấn183</v>
      </c>
      <c r="D687" s="630"/>
      <c r="E687" s="630"/>
      <c r="F687" s="630"/>
      <c r="G687" s="630"/>
    </row>
    <row r="688" spans="1:7" ht="18.75" x14ac:dyDescent="0.25">
      <c r="A688" s="629" t="s">
        <v>3081</v>
      </c>
      <c r="B688" s="630">
        <v>184</v>
      </c>
      <c r="C688" s="631" t="str">
        <f t="shared" si="13"/>
        <v>Ô tô tự đổ 5 tấn184</v>
      </c>
      <c r="D688" s="630"/>
      <c r="E688" s="630"/>
      <c r="F688" s="630"/>
      <c r="G688" s="630"/>
    </row>
    <row r="689" spans="1:7" ht="18.75" x14ac:dyDescent="0.25">
      <c r="A689" s="629" t="s">
        <v>3081</v>
      </c>
      <c r="B689" s="630">
        <v>185</v>
      </c>
      <c r="C689" s="631" t="str">
        <f t="shared" si="13"/>
        <v>Ô tô tự đổ 5 tấn185</v>
      </c>
      <c r="D689" s="630"/>
      <c r="E689" s="630"/>
      <c r="F689" s="630"/>
      <c r="G689" s="630"/>
    </row>
    <row r="690" spans="1:7" ht="18.75" x14ac:dyDescent="0.25">
      <c r="A690" s="629" t="s">
        <v>3081</v>
      </c>
      <c r="B690" s="630">
        <v>186</v>
      </c>
      <c r="C690" s="631" t="str">
        <f t="shared" si="13"/>
        <v>Ô tô tự đổ 5 tấn186</v>
      </c>
      <c r="D690" s="630"/>
      <c r="E690" s="630"/>
      <c r="F690" s="630"/>
      <c r="G690" s="630"/>
    </row>
    <row r="691" spans="1:7" ht="18.75" x14ac:dyDescent="0.25">
      <c r="A691" s="629" t="s">
        <v>3081</v>
      </c>
      <c r="B691" s="630">
        <v>187</v>
      </c>
      <c r="C691" s="631" t="str">
        <f t="shared" si="13"/>
        <v>Ô tô tự đổ 5 tấn187</v>
      </c>
      <c r="D691" s="630"/>
      <c r="E691" s="630"/>
      <c r="F691" s="630"/>
      <c r="G691" s="630"/>
    </row>
    <row r="692" spans="1:7" ht="18.75" x14ac:dyDescent="0.25">
      <c r="A692" s="629" t="s">
        <v>3081</v>
      </c>
      <c r="B692" s="630">
        <v>188</v>
      </c>
      <c r="C692" s="631" t="str">
        <f t="shared" si="13"/>
        <v>Ô tô tự đổ 5 tấn188</v>
      </c>
      <c r="D692" s="630"/>
      <c r="E692" s="630"/>
      <c r="F692" s="630"/>
      <c r="G692" s="630"/>
    </row>
    <row r="693" spans="1:7" ht="18.75" x14ac:dyDescent="0.25">
      <c r="A693" s="629" t="s">
        <v>3081</v>
      </c>
      <c r="B693" s="630">
        <v>189</v>
      </c>
      <c r="C693" s="631" t="str">
        <f t="shared" si="13"/>
        <v>Ô tô tự đổ 5 tấn189</v>
      </c>
      <c r="D693" s="630"/>
      <c r="E693" s="630"/>
      <c r="F693" s="630"/>
      <c r="G693" s="630"/>
    </row>
    <row r="694" spans="1:7" ht="18.75" x14ac:dyDescent="0.25">
      <c r="A694" s="629" t="s">
        <v>3081</v>
      </c>
      <c r="B694" s="630">
        <v>190</v>
      </c>
      <c r="C694" s="631" t="str">
        <f t="shared" si="13"/>
        <v>Ô tô tự đổ 5 tấn190</v>
      </c>
      <c r="D694" s="630"/>
      <c r="E694" s="630"/>
      <c r="F694" s="630"/>
      <c r="G694" s="630"/>
    </row>
    <row r="695" spans="1:7" ht="18.75" x14ac:dyDescent="0.25">
      <c r="A695" s="629" t="s">
        <v>3081</v>
      </c>
      <c r="B695" s="630">
        <v>191</v>
      </c>
      <c r="C695" s="631" t="str">
        <f t="shared" si="13"/>
        <v>Ô tô tự đổ 5 tấn191</v>
      </c>
      <c r="D695" s="630"/>
      <c r="E695" s="630"/>
      <c r="F695" s="630"/>
      <c r="G695" s="630"/>
    </row>
    <row r="696" spans="1:7" ht="18.75" x14ac:dyDescent="0.25">
      <c r="A696" s="629" t="s">
        <v>3081</v>
      </c>
      <c r="B696" s="630">
        <v>192</v>
      </c>
      <c r="C696" s="631" t="str">
        <f t="shared" si="13"/>
        <v>Ô tô tự đổ 5 tấn192</v>
      </c>
      <c r="D696" s="630"/>
      <c r="E696" s="630"/>
      <c r="F696" s="630"/>
      <c r="G696" s="630"/>
    </row>
    <row r="697" spans="1:7" ht="18.75" x14ac:dyDescent="0.25">
      <c r="A697" s="629" t="s">
        <v>3081</v>
      </c>
      <c r="B697" s="630">
        <v>193</v>
      </c>
      <c r="C697" s="631" t="str">
        <f t="shared" si="13"/>
        <v>Ô tô tự đổ 5 tấn193</v>
      </c>
      <c r="D697" s="630"/>
      <c r="E697" s="630"/>
      <c r="F697" s="630"/>
      <c r="G697" s="630"/>
    </row>
    <row r="698" spans="1:7" ht="18.75" x14ac:dyDescent="0.25">
      <c r="A698" s="629" t="s">
        <v>3081</v>
      </c>
      <c r="B698" s="630">
        <v>194</v>
      </c>
      <c r="C698" s="631" t="str">
        <f t="shared" ref="C698:C761" si="14">A698&amp;B698</f>
        <v>Ô tô tự đổ 5 tấn194</v>
      </c>
      <c r="D698" s="630"/>
      <c r="E698" s="630"/>
      <c r="F698" s="630"/>
      <c r="G698" s="630"/>
    </row>
    <row r="699" spans="1:7" ht="18.75" x14ac:dyDescent="0.25">
      <c r="A699" s="629" t="s">
        <v>3081</v>
      </c>
      <c r="B699" s="630">
        <v>195</v>
      </c>
      <c r="C699" s="631" t="str">
        <f t="shared" si="14"/>
        <v>Ô tô tự đổ 5 tấn195</v>
      </c>
      <c r="D699" s="630"/>
      <c r="E699" s="630"/>
      <c r="F699" s="630"/>
      <c r="G699" s="630"/>
    </row>
    <row r="700" spans="1:7" ht="18.75" x14ac:dyDescent="0.25">
      <c r="A700" s="629" t="s">
        <v>3081</v>
      </c>
      <c r="B700" s="630">
        <v>196</v>
      </c>
      <c r="C700" s="631" t="str">
        <f t="shared" si="14"/>
        <v>Ô tô tự đổ 5 tấn196</v>
      </c>
      <c r="D700" s="630"/>
      <c r="E700" s="630"/>
      <c r="F700" s="630"/>
      <c r="G700" s="630"/>
    </row>
    <row r="701" spans="1:7" ht="18.75" x14ac:dyDescent="0.25">
      <c r="A701" s="629" t="s">
        <v>3081</v>
      </c>
      <c r="B701" s="630">
        <v>197</v>
      </c>
      <c r="C701" s="631" t="str">
        <f t="shared" si="14"/>
        <v>Ô tô tự đổ 5 tấn197</v>
      </c>
      <c r="D701" s="630"/>
      <c r="E701" s="630"/>
      <c r="F701" s="630"/>
      <c r="G701" s="630"/>
    </row>
    <row r="702" spans="1:7" ht="18.75" x14ac:dyDescent="0.25">
      <c r="A702" s="629" t="s">
        <v>3081</v>
      </c>
      <c r="B702" s="630">
        <v>198</v>
      </c>
      <c r="C702" s="631" t="str">
        <f t="shared" si="14"/>
        <v>Ô tô tự đổ 5 tấn198</v>
      </c>
      <c r="D702" s="630"/>
      <c r="E702" s="630"/>
      <c r="F702" s="630"/>
      <c r="G702" s="630"/>
    </row>
    <row r="703" spans="1:7" ht="18.75" x14ac:dyDescent="0.25">
      <c r="A703" s="629" t="s">
        <v>3081</v>
      </c>
      <c r="B703" s="630">
        <v>199</v>
      </c>
      <c r="C703" s="631" t="str">
        <f t="shared" si="14"/>
        <v>Ô tô tự đổ 5 tấn199</v>
      </c>
      <c r="D703" s="630"/>
      <c r="E703" s="630"/>
      <c r="F703" s="630"/>
      <c r="G703" s="630"/>
    </row>
    <row r="704" spans="1:7" ht="18.75" x14ac:dyDescent="0.25">
      <c r="A704" s="629" t="s">
        <v>3081</v>
      </c>
      <c r="B704" s="630">
        <v>200</v>
      </c>
      <c r="C704" s="631" t="str">
        <f t="shared" si="14"/>
        <v>Ô tô tự đổ 5 tấn200</v>
      </c>
      <c r="D704" s="630"/>
      <c r="E704" s="630"/>
      <c r="F704" s="630"/>
      <c r="G704" s="630"/>
    </row>
    <row r="705" spans="1:7" ht="18.75" x14ac:dyDescent="0.25">
      <c r="A705" s="629" t="s">
        <v>3081</v>
      </c>
      <c r="B705" s="630">
        <v>201</v>
      </c>
      <c r="C705" s="631" t="str">
        <f t="shared" si="14"/>
        <v>Ô tô tự đổ 5 tấn201</v>
      </c>
      <c r="D705" s="630"/>
      <c r="E705" s="630"/>
      <c r="F705" s="630"/>
      <c r="G705" s="630"/>
    </row>
    <row r="706" spans="1:7" ht="18.75" x14ac:dyDescent="0.25">
      <c r="A706" s="629" t="s">
        <v>3081</v>
      </c>
      <c r="B706" s="630">
        <v>202</v>
      </c>
      <c r="C706" s="631" t="str">
        <f t="shared" si="14"/>
        <v>Ô tô tự đổ 5 tấn202</v>
      </c>
      <c r="D706" s="630"/>
      <c r="E706" s="630"/>
      <c r="F706" s="630"/>
      <c r="G706" s="630"/>
    </row>
    <row r="707" spans="1:7" ht="18.75" x14ac:dyDescent="0.25">
      <c r="A707" s="629" t="s">
        <v>3081</v>
      </c>
      <c r="B707" s="630">
        <v>203</v>
      </c>
      <c r="C707" s="631" t="str">
        <f t="shared" si="14"/>
        <v>Ô tô tự đổ 5 tấn203</v>
      </c>
      <c r="D707" s="630"/>
      <c r="E707" s="630"/>
      <c r="F707" s="630"/>
      <c r="G707" s="630"/>
    </row>
    <row r="708" spans="1:7" ht="18.75" x14ac:dyDescent="0.25">
      <c r="A708" s="629" t="s">
        <v>3081</v>
      </c>
      <c r="B708" s="630">
        <v>204</v>
      </c>
      <c r="C708" s="631" t="str">
        <f t="shared" si="14"/>
        <v>Ô tô tự đổ 5 tấn204</v>
      </c>
      <c r="D708" s="630"/>
      <c r="E708" s="630"/>
      <c r="F708" s="630"/>
      <c r="G708" s="630"/>
    </row>
    <row r="709" spans="1:7" ht="18.75" x14ac:dyDescent="0.25">
      <c r="A709" s="629" t="s">
        <v>3081</v>
      </c>
      <c r="B709" s="630">
        <v>205</v>
      </c>
      <c r="C709" s="631" t="str">
        <f t="shared" si="14"/>
        <v>Ô tô tự đổ 5 tấn205</v>
      </c>
      <c r="D709" s="630"/>
      <c r="E709" s="630"/>
      <c r="F709" s="630"/>
      <c r="G709" s="630"/>
    </row>
    <row r="710" spans="1:7" ht="18.75" x14ac:dyDescent="0.25">
      <c r="A710" s="629" t="s">
        <v>3081</v>
      </c>
      <c r="B710" s="630">
        <v>206</v>
      </c>
      <c r="C710" s="631" t="str">
        <f t="shared" si="14"/>
        <v>Ô tô tự đổ 5 tấn206</v>
      </c>
      <c r="D710" s="630"/>
      <c r="E710" s="630"/>
      <c r="F710" s="630"/>
      <c r="G710" s="630"/>
    </row>
    <row r="711" spans="1:7" ht="18.75" x14ac:dyDescent="0.25">
      <c r="A711" s="629" t="s">
        <v>3081</v>
      </c>
      <c r="B711" s="630">
        <v>207</v>
      </c>
      <c r="C711" s="631" t="str">
        <f t="shared" si="14"/>
        <v>Ô tô tự đổ 5 tấn207</v>
      </c>
      <c r="D711" s="630"/>
      <c r="E711" s="630"/>
      <c r="F711" s="630"/>
      <c r="G711" s="630"/>
    </row>
    <row r="712" spans="1:7" ht="18.75" x14ac:dyDescent="0.25">
      <c r="A712" s="629" t="s">
        <v>3081</v>
      </c>
      <c r="B712" s="630">
        <v>208</v>
      </c>
      <c r="C712" s="631" t="str">
        <f t="shared" si="14"/>
        <v>Ô tô tự đổ 5 tấn208</v>
      </c>
      <c r="D712" s="630"/>
      <c r="E712" s="630"/>
      <c r="F712" s="630"/>
      <c r="G712" s="630"/>
    </row>
    <row r="713" spans="1:7" ht="18.75" x14ac:dyDescent="0.25">
      <c r="A713" s="629" t="s">
        <v>3081</v>
      </c>
      <c r="B713" s="630">
        <v>209</v>
      </c>
      <c r="C713" s="631" t="str">
        <f t="shared" si="14"/>
        <v>Ô tô tự đổ 5 tấn209</v>
      </c>
      <c r="D713" s="630"/>
      <c r="E713" s="630"/>
      <c r="F713" s="630"/>
      <c r="G713" s="630"/>
    </row>
    <row r="714" spans="1:7" ht="18.75" x14ac:dyDescent="0.25">
      <c r="A714" s="629" t="s">
        <v>3081</v>
      </c>
      <c r="B714" s="630">
        <v>210</v>
      </c>
      <c r="C714" s="631" t="str">
        <f t="shared" si="14"/>
        <v>Ô tô tự đổ 5 tấn210</v>
      </c>
      <c r="D714" s="630"/>
      <c r="E714" s="630"/>
      <c r="F714" s="630"/>
      <c r="G714" s="630"/>
    </row>
    <row r="715" spans="1:7" ht="18.75" x14ac:dyDescent="0.25">
      <c r="A715" s="629" t="s">
        <v>3081</v>
      </c>
      <c r="B715" s="630">
        <v>211</v>
      </c>
      <c r="C715" s="631" t="str">
        <f t="shared" si="14"/>
        <v>Ô tô tự đổ 5 tấn211</v>
      </c>
      <c r="D715" s="630"/>
      <c r="E715" s="630"/>
      <c r="F715" s="630"/>
      <c r="G715" s="630"/>
    </row>
    <row r="716" spans="1:7" ht="18.75" x14ac:dyDescent="0.25">
      <c r="A716" s="629" t="s">
        <v>3081</v>
      </c>
      <c r="B716" s="630">
        <v>212</v>
      </c>
      <c r="C716" s="631" t="str">
        <f t="shared" si="14"/>
        <v>Ô tô tự đổ 5 tấn212</v>
      </c>
      <c r="D716" s="630"/>
      <c r="E716" s="630"/>
      <c r="F716" s="630"/>
      <c r="G716" s="630"/>
    </row>
    <row r="717" spans="1:7" ht="18.75" x14ac:dyDescent="0.25">
      <c r="A717" s="629" t="s">
        <v>3081</v>
      </c>
      <c r="B717" s="630">
        <v>213</v>
      </c>
      <c r="C717" s="631" t="str">
        <f t="shared" si="14"/>
        <v>Ô tô tự đổ 5 tấn213</v>
      </c>
      <c r="D717" s="630"/>
      <c r="E717" s="630"/>
      <c r="F717" s="630"/>
      <c r="G717" s="630"/>
    </row>
    <row r="718" spans="1:7" ht="18.75" x14ac:dyDescent="0.25">
      <c r="A718" s="629" t="s">
        <v>3081</v>
      </c>
      <c r="B718" s="630">
        <v>214</v>
      </c>
      <c r="C718" s="631" t="str">
        <f t="shared" si="14"/>
        <v>Ô tô tự đổ 5 tấn214</v>
      </c>
      <c r="D718" s="630"/>
      <c r="E718" s="630"/>
      <c r="F718" s="630"/>
      <c r="G718" s="630"/>
    </row>
    <row r="719" spans="1:7" ht="18.75" x14ac:dyDescent="0.25">
      <c r="A719" s="629" t="s">
        <v>3081</v>
      </c>
      <c r="B719" s="630">
        <v>215</v>
      </c>
      <c r="C719" s="631" t="str">
        <f t="shared" si="14"/>
        <v>Ô tô tự đổ 5 tấn215</v>
      </c>
      <c r="D719" s="630"/>
      <c r="E719" s="630"/>
      <c r="F719" s="630"/>
      <c r="G719" s="630"/>
    </row>
    <row r="720" spans="1:7" ht="18.75" x14ac:dyDescent="0.25">
      <c r="A720" s="629" t="s">
        <v>3081</v>
      </c>
      <c r="B720" s="630">
        <v>216</v>
      </c>
      <c r="C720" s="631" t="str">
        <f t="shared" si="14"/>
        <v>Ô tô tự đổ 5 tấn216</v>
      </c>
      <c r="D720" s="630"/>
      <c r="E720" s="630"/>
      <c r="F720" s="630"/>
      <c r="G720" s="630"/>
    </row>
    <row r="721" spans="1:7" ht="18.75" x14ac:dyDescent="0.25">
      <c r="A721" s="629" t="s">
        <v>3081</v>
      </c>
      <c r="B721" s="630">
        <v>217</v>
      </c>
      <c r="C721" s="631" t="str">
        <f t="shared" si="14"/>
        <v>Ô tô tự đổ 5 tấn217</v>
      </c>
      <c r="D721" s="630"/>
      <c r="E721" s="630"/>
      <c r="F721" s="630"/>
      <c r="G721" s="630"/>
    </row>
    <row r="722" spans="1:7" ht="18.75" x14ac:dyDescent="0.25">
      <c r="A722" s="629" t="s">
        <v>3081</v>
      </c>
      <c r="B722" s="630">
        <v>218</v>
      </c>
      <c r="C722" s="631" t="str">
        <f t="shared" si="14"/>
        <v>Ô tô tự đổ 5 tấn218</v>
      </c>
      <c r="D722" s="630"/>
      <c r="E722" s="630"/>
      <c r="F722" s="630"/>
      <c r="G722" s="630"/>
    </row>
    <row r="723" spans="1:7" ht="18.75" x14ac:dyDescent="0.25">
      <c r="A723" s="629" t="s">
        <v>3081</v>
      </c>
      <c r="B723" s="630">
        <v>219</v>
      </c>
      <c r="C723" s="631" t="str">
        <f t="shared" si="14"/>
        <v>Ô tô tự đổ 5 tấn219</v>
      </c>
      <c r="D723" s="630"/>
      <c r="E723" s="630"/>
      <c r="F723" s="630"/>
      <c r="G723" s="630"/>
    </row>
    <row r="724" spans="1:7" ht="18.75" x14ac:dyDescent="0.25">
      <c r="A724" s="629" t="s">
        <v>3081</v>
      </c>
      <c r="B724" s="630">
        <v>220</v>
      </c>
      <c r="C724" s="631" t="str">
        <f t="shared" si="14"/>
        <v>Ô tô tự đổ 5 tấn220</v>
      </c>
      <c r="D724" s="630"/>
      <c r="E724" s="630"/>
      <c r="F724" s="630"/>
      <c r="G724" s="630"/>
    </row>
    <row r="725" spans="1:7" ht="18.75" x14ac:dyDescent="0.25">
      <c r="A725" s="629" t="s">
        <v>3081</v>
      </c>
      <c r="B725" s="630">
        <v>221</v>
      </c>
      <c r="C725" s="631" t="str">
        <f t="shared" si="14"/>
        <v>Ô tô tự đổ 5 tấn221</v>
      </c>
      <c r="D725" s="630"/>
      <c r="E725" s="630"/>
      <c r="F725" s="630"/>
      <c r="G725" s="630"/>
    </row>
    <row r="726" spans="1:7" ht="18.75" x14ac:dyDescent="0.25">
      <c r="A726" s="629" t="s">
        <v>3081</v>
      </c>
      <c r="B726" s="630">
        <v>222</v>
      </c>
      <c r="C726" s="631" t="str">
        <f t="shared" si="14"/>
        <v>Ô tô tự đổ 5 tấn222</v>
      </c>
      <c r="D726" s="630"/>
      <c r="E726" s="630"/>
      <c r="F726" s="630"/>
      <c r="G726" s="630"/>
    </row>
    <row r="727" spans="1:7" ht="18.75" x14ac:dyDescent="0.25">
      <c r="A727" s="629" t="s">
        <v>3081</v>
      </c>
      <c r="B727" s="630">
        <v>223</v>
      </c>
      <c r="C727" s="631" t="str">
        <f t="shared" si="14"/>
        <v>Ô tô tự đổ 5 tấn223</v>
      </c>
      <c r="D727" s="630"/>
      <c r="E727" s="630"/>
      <c r="F727" s="630"/>
      <c r="G727" s="630"/>
    </row>
    <row r="728" spans="1:7" ht="18.75" x14ac:dyDescent="0.25">
      <c r="A728" s="629" t="s">
        <v>3081</v>
      </c>
      <c r="B728" s="630">
        <v>224</v>
      </c>
      <c r="C728" s="631" t="str">
        <f t="shared" si="14"/>
        <v>Ô tô tự đổ 5 tấn224</v>
      </c>
      <c r="D728" s="630"/>
      <c r="E728" s="630"/>
      <c r="F728" s="630"/>
      <c r="G728" s="630"/>
    </row>
    <row r="729" spans="1:7" ht="18.75" x14ac:dyDescent="0.25">
      <c r="A729" s="629" t="s">
        <v>3081</v>
      </c>
      <c r="B729" s="630">
        <v>225</v>
      </c>
      <c r="C729" s="631" t="str">
        <f t="shared" si="14"/>
        <v>Ô tô tự đổ 5 tấn225</v>
      </c>
      <c r="D729" s="630"/>
      <c r="E729" s="630"/>
      <c r="F729" s="630"/>
      <c r="G729" s="630"/>
    </row>
    <row r="730" spans="1:7" ht="18.75" x14ac:dyDescent="0.25">
      <c r="A730" s="629" t="s">
        <v>3081</v>
      </c>
      <c r="B730" s="630">
        <v>226</v>
      </c>
      <c r="C730" s="631" t="str">
        <f t="shared" si="14"/>
        <v>Ô tô tự đổ 5 tấn226</v>
      </c>
      <c r="D730" s="630"/>
      <c r="E730" s="630"/>
      <c r="F730" s="630"/>
      <c r="G730" s="630"/>
    </row>
    <row r="731" spans="1:7" ht="18.75" x14ac:dyDescent="0.25">
      <c r="A731" s="629" t="s">
        <v>3081</v>
      </c>
      <c r="B731" s="630">
        <v>227</v>
      </c>
      <c r="C731" s="631" t="str">
        <f t="shared" si="14"/>
        <v>Ô tô tự đổ 5 tấn227</v>
      </c>
      <c r="D731" s="630"/>
      <c r="E731" s="630"/>
      <c r="F731" s="630"/>
      <c r="G731" s="630"/>
    </row>
    <row r="732" spans="1:7" ht="18.75" x14ac:dyDescent="0.25">
      <c r="A732" s="629" t="s">
        <v>3081</v>
      </c>
      <c r="B732" s="630">
        <v>228</v>
      </c>
      <c r="C732" s="631" t="str">
        <f t="shared" si="14"/>
        <v>Ô tô tự đổ 5 tấn228</v>
      </c>
      <c r="D732" s="630"/>
      <c r="E732" s="630"/>
      <c r="F732" s="630"/>
      <c r="G732" s="630"/>
    </row>
    <row r="733" spans="1:7" ht="18.75" x14ac:dyDescent="0.25">
      <c r="A733" s="629" t="s">
        <v>3081</v>
      </c>
      <c r="B733" s="630">
        <v>229</v>
      </c>
      <c r="C733" s="631" t="str">
        <f t="shared" si="14"/>
        <v>Ô tô tự đổ 5 tấn229</v>
      </c>
      <c r="D733" s="630"/>
      <c r="E733" s="630"/>
      <c r="F733" s="630"/>
      <c r="G733" s="630"/>
    </row>
    <row r="734" spans="1:7" ht="18.75" x14ac:dyDescent="0.25">
      <c r="A734" s="629" t="s">
        <v>3081</v>
      </c>
      <c r="B734" s="630">
        <v>230</v>
      </c>
      <c r="C734" s="631" t="str">
        <f t="shared" si="14"/>
        <v>Ô tô tự đổ 5 tấn230</v>
      </c>
      <c r="D734" s="630"/>
      <c r="E734" s="630"/>
      <c r="F734" s="630"/>
      <c r="G734" s="630"/>
    </row>
    <row r="735" spans="1:7" ht="18.75" x14ac:dyDescent="0.25">
      <c r="A735" s="629" t="s">
        <v>3081</v>
      </c>
      <c r="B735" s="630">
        <v>231</v>
      </c>
      <c r="C735" s="631" t="str">
        <f t="shared" si="14"/>
        <v>Ô tô tự đổ 5 tấn231</v>
      </c>
      <c r="D735" s="630"/>
      <c r="E735" s="630"/>
      <c r="F735" s="630"/>
      <c r="G735" s="630"/>
    </row>
    <row r="736" spans="1:7" ht="18.75" x14ac:dyDescent="0.25">
      <c r="A736" s="629" t="s">
        <v>3081</v>
      </c>
      <c r="B736" s="630">
        <v>232</v>
      </c>
      <c r="C736" s="631" t="str">
        <f t="shared" si="14"/>
        <v>Ô tô tự đổ 5 tấn232</v>
      </c>
      <c r="D736" s="630"/>
      <c r="E736" s="630"/>
      <c r="F736" s="630"/>
      <c r="G736" s="630"/>
    </row>
    <row r="737" spans="1:7" ht="18.75" x14ac:dyDescent="0.25">
      <c r="A737" s="629" t="s">
        <v>3081</v>
      </c>
      <c r="B737" s="630">
        <v>233</v>
      </c>
      <c r="C737" s="631" t="str">
        <f t="shared" si="14"/>
        <v>Ô tô tự đổ 5 tấn233</v>
      </c>
      <c r="D737" s="630"/>
      <c r="E737" s="630"/>
      <c r="F737" s="630"/>
      <c r="G737" s="630"/>
    </row>
    <row r="738" spans="1:7" ht="18.75" x14ac:dyDescent="0.25">
      <c r="A738" s="629" t="s">
        <v>3081</v>
      </c>
      <c r="B738" s="630">
        <v>234</v>
      </c>
      <c r="C738" s="631" t="str">
        <f t="shared" si="14"/>
        <v>Ô tô tự đổ 5 tấn234</v>
      </c>
      <c r="D738" s="630"/>
      <c r="E738" s="630"/>
      <c r="F738" s="630"/>
      <c r="G738" s="630"/>
    </row>
    <row r="739" spans="1:7" ht="18.75" x14ac:dyDescent="0.25">
      <c r="A739" s="629" t="s">
        <v>3081</v>
      </c>
      <c r="B739" s="630">
        <v>235</v>
      </c>
      <c r="C739" s="631" t="str">
        <f t="shared" si="14"/>
        <v>Ô tô tự đổ 5 tấn235</v>
      </c>
      <c r="D739" s="630"/>
      <c r="E739" s="630"/>
      <c r="F739" s="630"/>
      <c r="G739" s="630"/>
    </row>
    <row r="740" spans="1:7" ht="18.75" x14ac:dyDescent="0.25">
      <c r="A740" s="629" t="s">
        <v>3081</v>
      </c>
      <c r="B740" s="630">
        <v>236</v>
      </c>
      <c r="C740" s="631" t="str">
        <f t="shared" si="14"/>
        <v>Ô tô tự đổ 5 tấn236</v>
      </c>
      <c r="D740" s="630"/>
      <c r="E740" s="630"/>
      <c r="F740" s="630"/>
      <c r="G740" s="630"/>
    </row>
    <row r="741" spans="1:7" ht="18.75" x14ac:dyDescent="0.25">
      <c r="A741" s="629" t="s">
        <v>3081</v>
      </c>
      <c r="B741" s="630">
        <v>237</v>
      </c>
      <c r="C741" s="631" t="str">
        <f t="shared" si="14"/>
        <v>Ô tô tự đổ 5 tấn237</v>
      </c>
      <c r="D741" s="630"/>
      <c r="E741" s="630"/>
      <c r="F741" s="630"/>
      <c r="G741" s="630"/>
    </row>
    <row r="742" spans="1:7" ht="18.75" x14ac:dyDescent="0.25">
      <c r="A742" s="629" t="s">
        <v>3081</v>
      </c>
      <c r="B742" s="630">
        <v>238</v>
      </c>
      <c r="C742" s="631" t="str">
        <f t="shared" si="14"/>
        <v>Ô tô tự đổ 5 tấn238</v>
      </c>
      <c r="D742" s="630"/>
      <c r="E742" s="630"/>
      <c r="F742" s="630"/>
      <c r="G742" s="630"/>
    </row>
    <row r="743" spans="1:7" ht="18.75" x14ac:dyDescent="0.25">
      <c r="A743" s="629" t="s">
        <v>3081</v>
      </c>
      <c r="B743" s="630">
        <v>239</v>
      </c>
      <c r="C743" s="631" t="str">
        <f t="shared" si="14"/>
        <v>Ô tô tự đổ 5 tấn239</v>
      </c>
      <c r="D743" s="630"/>
      <c r="E743" s="630"/>
      <c r="F743" s="630"/>
      <c r="G743" s="630"/>
    </row>
    <row r="744" spans="1:7" ht="18.75" x14ac:dyDescent="0.25">
      <c r="A744" s="629" t="s">
        <v>3081</v>
      </c>
      <c r="B744" s="630">
        <v>240</v>
      </c>
      <c r="C744" s="631" t="str">
        <f t="shared" si="14"/>
        <v>Ô tô tự đổ 5 tấn240</v>
      </c>
      <c r="D744" s="630"/>
      <c r="E744" s="630"/>
      <c r="F744" s="630"/>
      <c r="G744" s="630"/>
    </row>
    <row r="745" spans="1:7" ht="18.75" x14ac:dyDescent="0.25">
      <c r="A745" s="629" t="s">
        <v>3081</v>
      </c>
      <c r="B745" s="630">
        <v>241</v>
      </c>
      <c r="C745" s="631" t="str">
        <f t="shared" si="14"/>
        <v>Ô tô tự đổ 5 tấn241</v>
      </c>
      <c r="D745" s="630"/>
      <c r="E745" s="630"/>
      <c r="F745" s="630"/>
      <c r="G745" s="630"/>
    </row>
    <row r="746" spans="1:7" ht="18.75" x14ac:dyDescent="0.25">
      <c r="A746" s="629" t="s">
        <v>3081</v>
      </c>
      <c r="B746" s="630">
        <v>242</v>
      </c>
      <c r="C746" s="631" t="str">
        <f t="shared" si="14"/>
        <v>Ô tô tự đổ 5 tấn242</v>
      </c>
      <c r="D746" s="630"/>
      <c r="E746" s="630"/>
      <c r="F746" s="630"/>
      <c r="G746" s="630"/>
    </row>
    <row r="747" spans="1:7" ht="18.75" x14ac:dyDescent="0.25">
      <c r="A747" s="629" t="s">
        <v>3081</v>
      </c>
      <c r="B747" s="630">
        <v>243</v>
      </c>
      <c r="C747" s="631" t="str">
        <f t="shared" si="14"/>
        <v>Ô tô tự đổ 5 tấn243</v>
      </c>
      <c r="D747" s="630"/>
      <c r="E747" s="630"/>
      <c r="F747" s="630"/>
      <c r="G747" s="630"/>
    </row>
    <row r="748" spans="1:7" ht="18.75" x14ac:dyDescent="0.25">
      <c r="A748" s="629" t="s">
        <v>3081</v>
      </c>
      <c r="B748" s="630">
        <v>244</v>
      </c>
      <c r="C748" s="631" t="str">
        <f t="shared" si="14"/>
        <v>Ô tô tự đổ 5 tấn244</v>
      </c>
      <c r="D748" s="630"/>
      <c r="E748" s="630"/>
      <c r="F748" s="630"/>
      <c r="G748" s="630"/>
    </row>
    <row r="749" spans="1:7" ht="18.75" x14ac:dyDescent="0.25">
      <c r="A749" s="629" t="s">
        <v>3081</v>
      </c>
      <c r="B749" s="630">
        <v>245</v>
      </c>
      <c r="C749" s="631" t="str">
        <f t="shared" si="14"/>
        <v>Ô tô tự đổ 5 tấn245</v>
      </c>
      <c r="D749" s="630"/>
      <c r="E749" s="630"/>
      <c r="F749" s="630"/>
      <c r="G749" s="630"/>
    </row>
    <row r="750" spans="1:7" ht="18.75" x14ac:dyDescent="0.25">
      <c r="A750" s="629" t="s">
        <v>3081</v>
      </c>
      <c r="B750" s="630">
        <v>246</v>
      </c>
      <c r="C750" s="631" t="str">
        <f t="shared" si="14"/>
        <v>Ô tô tự đổ 5 tấn246</v>
      </c>
      <c r="D750" s="630"/>
      <c r="E750" s="630"/>
      <c r="F750" s="630"/>
      <c r="G750" s="630"/>
    </row>
    <row r="751" spans="1:7" ht="18.75" x14ac:dyDescent="0.25">
      <c r="A751" s="629" t="s">
        <v>3081</v>
      </c>
      <c r="B751" s="630">
        <v>247</v>
      </c>
      <c r="C751" s="631" t="str">
        <f t="shared" si="14"/>
        <v>Ô tô tự đổ 5 tấn247</v>
      </c>
      <c r="D751" s="630"/>
      <c r="E751" s="630"/>
      <c r="F751" s="630"/>
      <c r="G751" s="630"/>
    </row>
    <row r="752" spans="1:7" ht="18.75" x14ac:dyDescent="0.25">
      <c r="A752" s="629" t="s">
        <v>3081</v>
      </c>
      <c r="B752" s="630">
        <v>248</v>
      </c>
      <c r="C752" s="631" t="str">
        <f t="shared" si="14"/>
        <v>Ô tô tự đổ 5 tấn248</v>
      </c>
      <c r="D752" s="630"/>
      <c r="E752" s="630"/>
      <c r="F752" s="630"/>
      <c r="G752" s="630"/>
    </row>
    <row r="753" spans="1:7" ht="18.75" x14ac:dyDescent="0.25">
      <c r="A753" s="629" t="s">
        <v>3081</v>
      </c>
      <c r="B753" s="630">
        <v>249</v>
      </c>
      <c r="C753" s="631" t="str">
        <f t="shared" si="14"/>
        <v>Ô tô tự đổ 5 tấn249</v>
      </c>
      <c r="D753" s="630"/>
      <c r="E753" s="630"/>
      <c r="F753" s="630"/>
      <c r="G753" s="630"/>
    </row>
    <row r="754" spans="1:7" ht="18.75" x14ac:dyDescent="0.25">
      <c r="A754" s="629" t="s">
        <v>3081</v>
      </c>
      <c r="B754" s="630">
        <v>250</v>
      </c>
      <c r="C754" s="631" t="str">
        <f t="shared" si="14"/>
        <v>Ô tô tự đổ 5 tấn250</v>
      </c>
      <c r="D754" s="630"/>
      <c r="E754" s="630"/>
      <c r="F754" s="630"/>
      <c r="G754" s="630"/>
    </row>
    <row r="755" spans="1:7" ht="18.75" x14ac:dyDescent="0.25">
      <c r="A755" s="629" t="s">
        <v>3081</v>
      </c>
      <c r="B755" s="630">
        <v>251</v>
      </c>
      <c r="C755" s="631" t="str">
        <f t="shared" si="14"/>
        <v>Ô tô tự đổ 5 tấn251</v>
      </c>
      <c r="D755" s="630"/>
      <c r="E755" s="630"/>
      <c r="F755" s="630"/>
      <c r="G755" s="630"/>
    </row>
    <row r="756" spans="1:7" ht="18.75" x14ac:dyDescent="0.25">
      <c r="A756" s="629" t="s">
        <v>3081</v>
      </c>
      <c r="B756" s="630">
        <v>252</v>
      </c>
      <c r="C756" s="631" t="str">
        <f t="shared" si="14"/>
        <v>Ô tô tự đổ 5 tấn252</v>
      </c>
      <c r="D756" s="630"/>
      <c r="E756" s="630"/>
      <c r="F756" s="630"/>
      <c r="G756" s="630"/>
    </row>
    <row r="757" spans="1:7" ht="18.75" x14ac:dyDescent="0.25">
      <c r="A757" s="629" t="s">
        <v>3081</v>
      </c>
      <c r="B757" s="630">
        <v>253</v>
      </c>
      <c r="C757" s="631" t="str">
        <f t="shared" si="14"/>
        <v>Ô tô tự đổ 5 tấn253</v>
      </c>
      <c r="D757" s="630"/>
      <c r="E757" s="630"/>
      <c r="F757" s="630"/>
      <c r="G757" s="630"/>
    </row>
    <row r="758" spans="1:7" ht="18.75" x14ac:dyDescent="0.25">
      <c r="A758" s="629" t="s">
        <v>3081</v>
      </c>
      <c r="B758" s="630">
        <v>254</v>
      </c>
      <c r="C758" s="631" t="str">
        <f t="shared" si="14"/>
        <v>Ô tô tự đổ 5 tấn254</v>
      </c>
      <c r="D758" s="630"/>
      <c r="E758" s="630"/>
      <c r="F758" s="630"/>
      <c r="G758" s="630"/>
    </row>
    <row r="759" spans="1:7" ht="18.75" x14ac:dyDescent="0.25">
      <c r="A759" s="629" t="s">
        <v>3081</v>
      </c>
      <c r="B759" s="630">
        <v>255</v>
      </c>
      <c r="C759" s="631" t="str">
        <f t="shared" si="14"/>
        <v>Ô tô tự đổ 5 tấn255</v>
      </c>
      <c r="D759" s="630"/>
      <c r="E759" s="630"/>
      <c r="F759" s="630"/>
      <c r="G759" s="630"/>
    </row>
    <row r="760" spans="1:7" ht="18.75" x14ac:dyDescent="0.25">
      <c r="A760" s="629" t="s">
        <v>3081</v>
      </c>
      <c r="B760" s="630">
        <v>256</v>
      </c>
      <c r="C760" s="631" t="str">
        <f t="shared" si="14"/>
        <v>Ô tô tự đổ 5 tấn256</v>
      </c>
      <c r="D760" s="630"/>
      <c r="E760" s="630"/>
      <c r="F760" s="630"/>
      <c r="G760" s="630"/>
    </row>
    <row r="761" spans="1:7" ht="18.75" x14ac:dyDescent="0.25">
      <c r="A761" s="629" t="s">
        <v>3081</v>
      </c>
      <c r="B761" s="630">
        <v>257</v>
      </c>
      <c r="C761" s="631" t="str">
        <f t="shared" si="14"/>
        <v>Ô tô tự đổ 5 tấn257</v>
      </c>
      <c r="D761" s="630"/>
      <c r="E761" s="630"/>
      <c r="F761" s="630"/>
      <c r="G761" s="630"/>
    </row>
    <row r="762" spans="1:7" ht="18.75" x14ac:dyDescent="0.25">
      <c r="A762" s="629" t="s">
        <v>3081</v>
      </c>
      <c r="B762" s="630">
        <v>258</v>
      </c>
      <c r="C762" s="631" t="str">
        <f t="shared" ref="C762:C825" si="15">A762&amp;B762</f>
        <v>Ô tô tự đổ 5 tấn258</v>
      </c>
      <c r="D762" s="630"/>
      <c r="E762" s="630"/>
      <c r="F762" s="630"/>
      <c r="G762" s="630"/>
    </row>
    <row r="763" spans="1:7" ht="18.75" x14ac:dyDescent="0.25">
      <c r="A763" s="629" t="s">
        <v>3081</v>
      </c>
      <c r="B763" s="630">
        <v>259</v>
      </c>
      <c r="C763" s="631" t="str">
        <f t="shared" si="15"/>
        <v>Ô tô tự đổ 5 tấn259</v>
      </c>
      <c r="D763" s="630"/>
      <c r="E763" s="630"/>
      <c r="F763" s="630"/>
      <c r="G763" s="630"/>
    </row>
    <row r="764" spans="1:7" ht="18.75" x14ac:dyDescent="0.25">
      <c r="A764" s="629" t="s">
        <v>3081</v>
      </c>
      <c r="B764" s="630">
        <v>260</v>
      </c>
      <c r="C764" s="631" t="str">
        <f t="shared" si="15"/>
        <v>Ô tô tự đổ 5 tấn260</v>
      </c>
      <c r="D764" s="630"/>
      <c r="E764" s="630"/>
      <c r="F764" s="630"/>
      <c r="G764" s="630"/>
    </row>
    <row r="765" spans="1:7" ht="18.75" x14ac:dyDescent="0.25">
      <c r="A765" s="629" t="s">
        <v>3081</v>
      </c>
      <c r="B765" s="630">
        <v>261</v>
      </c>
      <c r="C765" s="631" t="str">
        <f t="shared" si="15"/>
        <v>Ô tô tự đổ 5 tấn261</v>
      </c>
      <c r="D765" s="630"/>
      <c r="E765" s="630"/>
      <c r="F765" s="630"/>
      <c r="G765" s="630"/>
    </row>
    <row r="766" spans="1:7" ht="18.75" x14ac:dyDescent="0.25">
      <c r="A766" s="629" t="s">
        <v>3081</v>
      </c>
      <c r="B766" s="630">
        <v>262</v>
      </c>
      <c r="C766" s="631" t="str">
        <f t="shared" si="15"/>
        <v>Ô tô tự đổ 5 tấn262</v>
      </c>
      <c r="D766" s="630"/>
      <c r="E766" s="630"/>
      <c r="F766" s="630"/>
      <c r="G766" s="630"/>
    </row>
    <row r="767" spans="1:7" ht="18.75" x14ac:dyDescent="0.25">
      <c r="A767" s="629" t="s">
        <v>3081</v>
      </c>
      <c r="B767" s="630">
        <v>263</v>
      </c>
      <c r="C767" s="631" t="str">
        <f t="shared" si="15"/>
        <v>Ô tô tự đổ 5 tấn263</v>
      </c>
      <c r="D767" s="630"/>
      <c r="E767" s="630"/>
      <c r="F767" s="630"/>
      <c r="G767" s="630"/>
    </row>
    <row r="768" spans="1:7" ht="18.75" x14ac:dyDescent="0.25">
      <c r="A768" s="629" t="s">
        <v>3081</v>
      </c>
      <c r="B768" s="630">
        <v>264</v>
      </c>
      <c r="C768" s="631" t="str">
        <f t="shared" si="15"/>
        <v>Ô tô tự đổ 5 tấn264</v>
      </c>
      <c r="D768" s="630"/>
      <c r="E768" s="630"/>
      <c r="F768" s="630"/>
      <c r="G768" s="630"/>
    </row>
    <row r="769" spans="1:7" ht="18.75" x14ac:dyDescent="0.25">
      <c r="A769" s="629" t="s">
        <v>3081</v>
      </c>
      <c r="B769" s="630">
        <v>265</v>
      </c>
      <c r="C769" s="631" t="str">
        <f t="shared" si="15"/>
        <v>Ô tô tự đổ 5 tấn265</v>
      </c>
      <c r="D769" s="630"/>
      <c r="E769" s="630"/>
      <c r="F769" s="630"/>
      <c r="G769" s="630"/>
    </row>
    <row r="770" spans="1:7" ht="18.75" x14ac:dyDescent="0.25">
      <c r="A770" s="629" t="s">
        <v>3081</v>
      </c>
      <c r="B770" s="630">
        <v>266</v>
      </c>
      <c r="C770" s="631" t="str">
        <f t="shared" si="15"/>
        <v>Ô tô tự đổ 5 tấn266</v>
      </c>
      <c r="D770" s="630"/>
      <c r="E770" s="630"/>
      <c r="F770" s="630"/>
      <c r="G770" s="630"/>
    </row>
    <row r="771" spans="1:7" ht="18.75" x14ac:dyDescent="0.25">
      <c r="A771" s="629" t="s">
        <v>3081</v>
      </c>
      <c r="B771" s="630">
        <v>267</v>
      </c>
      <c r="C771" s="631" t="str">
        <f t="shared" si="15"/>
        <v>Ô tô tự đổ 5 tấn267</v>
      </c>
      <c r="D771" s="630"/>
      <c r="E771" s="630"/>
      <c r="F771" s="630"/>
      <c r="G771" s="630"/>
    </row>
    <row r="772" spans="1:7" ht="18.75" x14ac:dyDescent="0.25">
      <c r="A772" s="629" t="s">
        <v>3081</v>
      </c>
      <c r="B772" s="630">
        <v>268</v>
      </c>
      <c r="C772" s="631" t="str">
        <f t="shared" si="15"/>
        <v>Ô tô tự đổ 5 tấn268</v>
      </c>
      <c r="D772" s="630"/>
      <c r="E772" s="630"/>
      <c r="F772" s="630"/>
      <c r="G772" s="630"/>
    </row>
    <row r="773" spans="1:7" ht="18.75" x14ac:dyDescent="0.25">
      <c r="A773" s="629" t="s">
        <v>3081</v>
      </c>
      <c r="B773" s="630">
        <v>269</v>
      </c>
      <c r="C773" s="631" t="str">
        <f t="shared" si="15"/>
        <v>Ô tô tự đổ 5 tấn269</v>
      </c>
      <c r="D773" s="630"/>
      <c r="E773" s="630"/>
      <c r="F773" s="630"/>
      <c r="G773" s="630"/>
    </row>
    <row r="774" spans="1:7" ht="18.75" x14ac:dyDescent="0.25">
      <c r="A774" s="629" t="s">
        <v>3081</v>
      </c>
      <c r="B774" s="630">
        <v>270</v>
      </c>
      <c r="C774" s="631" t="str">
        <f t="shared" si="15"/>
        <v>Ô tô tự đổ 5 tấn270</v>
      </c>
      <c r="D774" s="630"/>
      <c r="E774" s="630"/>
      <c r="F774" s="630"/>
      <c r="G774" s="630"/>
    </row>
    <row r="775" spans="1:7" ht="18.75" x14ac:dyDescent="0.25">
      <c r="A775" s="629" t="s">
        <v>3081</v>
      </c>
      <c r="B775" s="630">
        <v>271</v>
      </c>
      <c r="C775" s="631" t="str">
        <f t="shared" si="15"/>
        <v>Ô tô tự đổ 5 tấn271</v>
      </c>
      <c r="D775" s="630"/>
      <c r="E775" s="630"/>
      <c r="F775" s="630"/>
      <c r="G775" s="630"/>
    </row>
    <row r="776" spans="1:7" ht="18.75" x14ac:dyDescent="0.25">
      <c r="A776" s="629" t="s">
        <v>3081</v>
      </c>
      <c r="B776" s="630">
        <v>272</v>
      </c>
      <c r="C776" s="631" t="str">
        <f t="shared" si="15"/>
        <v>Ô tô tự đổ 5 tấn272</v>
      </c>
      <c r="D776" s="630"/>
      <c r="E776" s="630"/>
      <c r="F776" s="630"/>
      <c r="G776" s="630"/>
    </row>
    <row r="777" spans="1:7" ht="18.75" x14ac:dyDescent="0.25">
      <c r="A777" s="629" t="s">
        <v>3081</v>
      </c>
      <c r="B777" s="630">
        <v>273</v>
      </c>
      <c r="C777" s="631" t="str">
        <f t="shared" si="15"/>
        <v>Ô tô tự đổ 5 tấn273</v>
      </c>
      <c r="D777" s="630"/>
      <c r="E777" s="630"/>
      <c r="F777" s="630"/>
      <c r="G777" s="630"/>
    </row>
    <row r="778" spans="1:7" ht="18.75" x14ac:dyDescent="0.25">
      <c r="A778" s="629" t="s">
        <v>3081</v>
      </c>
      <c r="B778" s="630">
        <v>274</v>
      </c>
      <c r="C778" s="631" t="str">
        <f t="shared" si="15"/>
        <v>Ô tô tự đổ 5 tấn274</v>
      </c>
      <c r="D778" s="630"/>
      <c r="E778" s="630"/>
      <c r="F778" s="630"/>
      <c r="G778" s="630"/>
    </row>
    <row r="779" spans="1:7" ht="18.75" x14ac:dyDescent="0.25">
      <c r="A779" s="629" t="s">
        <v>3081</v>
      </c>
      <c r="B779" s="630">
        <v>275</v>
      </c>
      <c r="C779" s="631" t="str">
        <f t="shared" si="15"/>
        <v>Ô tô tự đổ 5 tấn275</v>
      </c>
      <c r="D779" s="630"/>
      <c r="E779" s="630"/>
      <c r="F779" s="630"/>
      <c r="G779" s="630"/>
    </row>
    <row r="780" spans="1:7" ht="18.75" x14ac:dyDescent="0.25">
      <c r="A780" s="629" t="s">
        <v>3081</v>
      </c>
      <c r="B780" s="630">
        <v>276</v>
      </c>
      <c r="C780" s="631" t="str">
        <f t="shared" si="15"/>
        <v>Ô tô tự đổ 5 tấn276</v>
      </c>
      <c r="D780" s="630"/>
      <c r="E780" s="630"/>
      <c r="F780" s="630"/>
      <c r="G780" s="630"/>
    </row>
    <row r="781" spans="1:7" ht="18.75" x14ac:dyDescent="0.25">
      <c r="A781" s="629" t="s">
        <v>3081</v>
      </c>
      <c r="B781" s="630">
        <v>277</v>
      </c>
      <c r="C781" s="631" t="str">
        <f t="shared" si="15"/>
        <v>Ô tô tự đổ 5 tấn277</v>
      </c>
      <c r="D781" s="630"/>
      <c r="E781" s="630"/>
      <c r="F781" s="630"/>
      <c r="G781" s="630"/>
    </row>
    <row r="782" spans="1:7" ht="18.75" x14ac:dyDescent="0.25">
      <c r="A782" s="629" t="s">
        <v>3081</v>
      </c>
      <c r="B782" s="630">
        <v>278</v>
      </c>
      <c r="C782" s="631" t="str">
        <f t="shared" si="15"/>
        <v>Ô tô tự đổ 5 tấn278</v>
      </c>
      <c r="D782" s="630"/>
      <c r="E782" s="630"/>
      <c r="F782" s="630"/>
      <c r="G782" s="630"/>
    </row>
    <row r="783" spans="1:7" ht="18.75" x14ac:dyDescent="0.25">
      <c r="A783" s="629" t="s">
        <v>3081</v>
      </c>
      <c r="B783" s="630">
        <v>279</v>
      </c>
      <c r="C783" s="631" t="str">
        <f t="shared" si="15"/>
        <v>Ô tô tự đổ 5 tấn279</v>
      </c>
      <c r="D783" s="630"/>
      <c r="E783" s="630"/>
      <c r="F783" s="630"/>
      <c r="G783" s="630"/>
    </row>
    <row r="784" spans="1:7" ht="18.75" x14ac:dyDescent="0.25">
      <c r="A784" s="629" t="s">
        <v>3081</v>
      </c>
      <c r="B784" s="630">
        <v>280</v>
      </c>
      <c r="C784" s="631" t="str">
        <f t="shared" si="15"/>
        <v>Ô tô tự đổ 5 tấn280</v>
      </c>
      <c r="D784" s="630"/>
      <c r="E784" s="630"/>
      <c r="F784" s="630"/>
      <c r="G784" s="630"/>
    </row>
    <row r="785" spans="1:7" ht="18.75" x14ac:dyDescent="0.25">
      <c r="A785" s="629" t="s">
        <v>3081</v>
      </c>
      <c r="B785" s="630">
        <v>281</v>
      </c>
      <c r="C785" s="631" t="str">
        <f t="shared" si="15"/>
        <v>Ô tô tự đổ 5 tấn281</v>
      </c>
      <c r="D785" s="630"/>
      <c r="E785" s="630"/>
      <c r="F785" s="630"/>
      <c r="G785" s="630"/>
    </row>
    <row r="786" spans="1:7" ht="18.75" x14ac:dyDescent="0.25">
      <c r="A786" s="629" t="s">
        <v>3081</v>
      </c>
      <c r="B786" s="630">
        <v>282</v>
      </c>
      <c r="C786" s="631" t="str">
        <f t="shared" si="15"/>
        <v>Ô tô tự đổ 5 tấn282</v>
      </c>
      <c r="D786" s="630"/>
      <c r="E786" s="630"/>
      <c r="F786" s="630"/>
      <c r="G786" s="630"/>
    </row>
    <row r="787" spans="1:7" ht="18.75" x14ac:dyDescent="0.25">
      <c r="A787" s="629" t="s">
        <v>3081</v>
      </c>
      <c r="B787" s="630">
        <v>283</v>
      </c>
      <c r="C787" s="631" t="str">
        <f t="shared" si="15"/>
        <v>Ô tô tự đổ 5 tấn283</v>
      </c>
      <c r="D787" s="630"/>
      <c r="E787" s="630"/>
      <c r="F787" s="630"/>
      <c r="G787" s="630"/>
    </row>
    <row r="788" spans="1:7" ht="18.75" x14ac:dyDescent="0.25">
      <c r="A788" s="629" t="s">
        <v>3081</v>
      </c>
      <c r="B788" s="630">
        <v>284</v>
      </c>
      <c r="C788" s="631" t="str">
        <f t="shared" si="15"/>
        <v>Ô tô tự đổ 5 tấn284</v>
      </c>
      <c r="D788" s="630"/>
      <c r="E788" s="630"/>
      <c r="F788" s="630"/>
      <c r="G788" s="630"/>
    </row>
    <row r="789" spans="1:7" ht="18.75" x14ac:dyDescent="0.25">
      <c r="A789" s="629" t="s">
        <v>3081</v>
      </c>
      <c r="B789" s="630">
        <v>285</v>
      </c>
      <c r="C789" s="631" t="str">
        <f t="shared" si="15"/>
        <v>Ô tô tự đổ 5 tấn285</v>
      </c>
      <c r="D789" s="630"/>
      <c r="E789" s="630"/>
      <c r="F789" s="630"/>
      <c r="G789" s="630"/>
    </row>
    <row r="790" spans="1:7" ht="18.75" x14ac:dyDescent="0.25">
      <c r="A790" s="629" t="s">
        <v>3081</v>
      </c>
      <c r="B790" s="630">
        <v>286</v>
      </c>
      <c r="C790" s="631" t="str">
        <f t="shared" si="15"/>
        <v>Ô tô tự đổ 5 tấn286</v>
      </c>
      <c r="D790" s="630"/>
      <c r="E790" s="630"/>
      <c r="F790" s="630"/>
      <c r="G790" s="630"/>
    </row>
    <row r="791" spans="1:7" ht="18.75" x14ac:dyDescent="0.25">
      <c r="A791" s="629" t="s">
        <v>3081</v>
      </c>
      <c r="B791" s="630">
        <v>287</v>
      </c>
      <c r="C791" s="631" t="str">
        <f t="shared" si="15"/>
        <v>Ô tô tự đổ 5 tấn287</v>
      </c>
      <c r="D791" s="630"/>
      <c r="E791" s="630"/>
      <c r="F791" s="630"/>
      <c r="G791" s="630"/>
    </row>
    <row r="792" spans="1:7" ht="18.75" x14ac:dyDescent="0.25">
      <c r="A792" s="629" t="s">
        <v>3081</v>
      </c>
      <c r="B792" s="630">
        <v>288</v>
      </c>
      <c r="C792" s="631" t="str">
        <f t="shared" si="15"/>
        <v>Ô tô tự đổ 5 tấn288</v>
      </c>
      <c r="D792" s="630"/>
      <c r="E792" s="630"/>
      <c r="F792" s="630"/>
      <c r="G792" s="630"/>
    </row>
    <row r="793" spans="1:7" ht="18.75" x14ac:dyDescent="0.25">
      <c r="A793" s="629" t="s">
        <v>3081</v>
      </c>
      <c r="B793" s="630">
        <v>289</v>
      </c>
      <c r="C793" s="631" t="str">
        <f t="shared" si="15"/>
        <v>Ô tô tự đổ 5 tấn289</v>
      </c>
      <c r="D793" s="630"/>
      <c r="E793" s="630"/>
      <c r="F793" s="630"/>
      <c r="G793" s="630"/>
    </row>
    <row r="794" spans="1:7" ht="18.75" x14ac:dyDescent="0.25">
      <c r="A794" s="629" t="s">
        <v>3081</v>
      </c>
      <c r="B794" s="630">
        <v>290</v>
      </c>
      <c r="C794" s="631" t="str">
        <f t="shared" si="15"/>
        <v>Ô tô tự đổ 5 tấn290</v>
      </c>
      <c r="D794" s="630"/>
      <c r="E794" s="630"/>
      <c r="F794" s="630"/>
      <c r="G794" s="630"/>
    </row>
    <row r="795" spans="1:7" ht="18.75" x14ac:dyDescent="0.25">
      <c r="A795" s="629" t="s">
        <v>3081</v>
      </c>
      <c r="B795" s="630">
        <v>291</v>
      </c>
      <c r="C795" s="631" t="str">
        <f t="shared" si="15"/>
        <v>Ô tô tự đổ 5 tấn291</v>
      </c>
      <c r="D795" s="630"/>
      <c r="E795" s="630"/>
      <c r="F795" s="630"/>
      <c r="G795" s="630"/>
    </row>
    <row r="796" spans="1:7" ht="18.75" x14ac:dyDescent="0.25">
      <c r="A796" s="629" t="s">
        <v>3081</v>
      </c>
      <c r="B796" s="630">
        <v>292</v>
      </c>
      <c r="C796" s="631" t="str">
        <f t="shared" si="15"/>
        <v>Ô tô tự đổ 5 tấn292</v>
      </c>
      <c r="D796" s="630"/>
      <c r="E796" s="630"/>
      <c r="F796" s="630"/>
      <c r="G796" s="630"/>
    </row>
    <row r="797" spans="1:7" ht="18.75" x14ac:dyDescent="0.25">
      <c r="A797" s="629" t="s">
        <v>3081</v>
      </c>
      <c r="B797" s="630">
        <v>293</v>
      </c>
      <c r="C797" s="631" t="str">
        <f t="shared" si="15"/>
        <v>Ô tô tự đổ 5 tấn293</v>
      </c>
      <c r="D797" s="630"/>
      <c r="E797" s="630"/>
      <c r="F797" s="630"/>
      <c r="G797" s="630"/>
    </row>
    <row r="798" spans="1:7" ht="18.75" x14ac:dyDescent="0.25">
      <c r="A798" s="629" t="s">
        <v>3081</v>
      </c>
      <c r="B798" s="630">
        <v>294</v>
      </c>
      <c r="C798" s="631" t="str">
        <f t="shared" si="15"/>
        <v>Ô tô tự đổ 5 tấn294</v>
      </c>
      <c r="D798" s="630"/>
      <c r="E798" s="630"/>
      <c r="F798" s="630"/>
      <c r="G798" s="630"/>
    </row>
    <row r="799" spans="1:7" ht="18.75" x14ac:dyDescent="0.25">
      <c r="A799" s="629" t="s">
        <v>3081</v>
      </c>
      <c r="B799" s="630">
        <v>295</v>
      </c>
      <c r="C799" s="631" t="str">
        <f t="shared" si="15"/>
        <v>Ô tô tự đổ 5 tấn295</v>
      </c>
      <c r="D799" s="630"/>
      <c r="E799" s="630"/>
      <c r="F799" s="630"/>
      <c r="G799" s="630"/>
    </row>
    <row r="800" spans="1:7" ht="18.75" x14ac:dyDescent="0.25">
      <c r="A800" s="629" t="s">
        <v>3081</v>
      </c>
      <c r="B800" s="630">
        <v>296</v>
      </c>
      <c r="C800" s="631" t="str">
        <f t="shared" si="15"/>
        <v>Ô tô tự đổ 5 tấn296</v>
      </c>
      <c r="D800" s="630"/>
      <c r="E800" s="630"/>
      <c r="F800" s="630"/>
      <c r="G800" s="630"/>
    </row>
    <row r="801" spans="1:7" ht="18.75" x14ac:dyDescent="0.25">
      <c r="A801" s="629" t="s">
        <v>3081</v>
      </c>
      <c r="B801" s="630">
        <v>297</v>
      </c>
      <c r="C801" s="631" t="str">
        <f t="shared" si="15"/>
        <v>Ô tô tự đổ 5 tấn297</v>
      </c>
      <c r="D801" s="630"/>
      <c r="E801" s="630"/>
      <c r="F801" s="630"/>
      <c r="G801" s="630"/>
    </row>
    <row r="802" spans="1:7" ht="18.75" x14ac:dyDescent="0.25">
      <c r="A802" s="629" t="s">
        <v>3081</v>
      </c>
      <c r="B802" s="630">
        <v>298</v>
      </c>
      <c r="C802" s="631" t="str">
        <f t="shared" si="15"/>
        <v>Ô tô tự đổ 5 tấn298</v>
      </c>
      <c r="D802" s="630"/>
      <c r="E802" s="630"/>
      <c r="F802" s="630"/>
      <c r="G802" s="630"/>
    </row>
    <row r="803" spans="1:7" ht="18.75" x14ac:dyDescent="0.25">
      <c r="A803" s="629" t="s">
        <v>3081</v>
      </c>
      <c r="B803" s="630">
        <v>299</v>
      </c>
      <c r="C803" s="631" t="str">
        <f t="shared" si="15"/>
        <v>Ô tô tự đổ 5 tấn299</v>
      </c>
      <c r="D803" s="630"/>
      <c r="E803" s="630"/>
      <c r="F803" s="630"/>
      <c r="G803" s="630"/>
    </row>
    <row r="804" spans="1:7" ht="18.75" x14ac:dyDescent="0.25">
      <c r="A804" s="629" t="s">
        <v>3081</v>
      </c>
      <c r="B804" s="630">
        <v>300</v>
      </c>
      <c r="C804" s="631" t="str">
        <f t="shared" si="15"/>
        <v>Ô tô tự đổ 5 tấn300</v>
      </c>
      <c r="D804" s="630"/>
      <c r="E804" s="630"/>
      <c r="F804" s="630"/>
      <c r="G804" s="630"/>
    </row>
    <row r="805" spans="1:7" ht="18.75" x14ac:dyDescent="0.25">
      <c r="A805" s="629" t="s">
        <v>3081</v>
      </c>
      <c r="B805" s="630">
        <v>301</v>
      </c>
      <c r="C805" s="631" t="str">
        <f t="shared" si="15"/>
        <v>Ô tô tự đổ 5 tấn301</v>
      </c>
      <c r="D805" s="630"/>
      <c r="E805" s="630"/>
      <c r="F805" s="630"/>
      <c r="G805" s="630"/>
    </row>
    <row r="806" spans="1:7" ht="18.75" x14ac:dyDescent="0.25">
      <c r="A806" s="629" t="s">
        <v>3081</v>
      </c>
      <c r="B806" s="630">
        <v>302</v>
      </c>
      <c r="C806" s="631" t="str">
        <f t="shared" si="15"/>
        <v>Ô tô tự đổ 5 tấn302</v>
      </c>
      <c r="D806" s="630"/>
      <c r="E806" s="630"/>
      <c r="F806" s="630"/>
      <c r="G806" s="630"/>
    </row>
    <row r="807" spans="1:7" ht="18.75" x14ac:dyDescent="0.25">
      <c r="A807" s="629" t="s">
        <v>3081</v>
      </c>
      <c r="B807" s="630">
        <v>303</v>
      </c>
      <c r="C807" s="631" t="str">
        <f t="shared" si="15"/>
        <v>Ô tô tự đổ 5 tấn303</v>
      </c>
      <c r="D807" s="630"/>
      <c r="E807" s="630"/>
      <c r="F807" s="630"/>
      <c r="G807" s="630"/>
    </row>
    <row r="808" spans="1:7" ht="18.75" x14ac:dyDescent="0.25">
      <c r="A808" s="629" t="s">
        <v>3081</v>
      </c>
      <c r="B808" s="630">
        <v>304</v>
      </c>
      <c r="C808" s="631" t="str">
        <f t="shared" si="15"/>
        <v>Ô tô tự đổ 5 tấn304</v>
      </c>
      <c r="D808" s="630"/>
      <c r="E808" s="630"/>
      <c r="F808" s="630"/>
      <c r="G808" s="630"/>
    </row>
    <row r="809" spans="1:7" ht="18.75" x14ac:dyDescent="0.25">
      <c r="A809" s="629" t="s">
        <v>3081</v>
      </c>
      <c r="B809" s="630">
        <v>305</v>
      </c>
      <c r="C809" s="631" t="str">
        <f t="shared" si="15"/>
        <v>Ô tô tự đổ 5 tấn305</v>
      </c>
      <c r="D809" s="630"/>
      <c r="E809" s="630"/>
      <c r="F809" s="630"/>
      <c r="G809" s="630"/>
    </row>
    <row r="810" spans="1:7" ht="18.75" x14ac:dyDescent="0.25">
      <c r="A810" s="629" t="s">
        <v>3081</v>
      </c>
      <c r="B810" s="630">
        <v>306</v>
      </c>
      <c r="C810" s="631" t="str">
        <f t="shared" si="15"/>
        <v>Ô tô tự đổ 5 tấn306</v>
      </c>
      <c r="D810" s="630"/>
      <c r="E810" s="630"/>
      <c r="F810" s="630"/>
      <c r="G810" s="630"/>
    </row>
    <row r="811" spans="1:7" ht="18.75" x14ac:dyDescent="0.25">
      <c r="A811" s="629" t="s">
        <v>3081</v>
      </c>
      <c r="B811" s="630">
        <v>307</v>
      </c>
      <c r="C811" s="631" t="str">
        <f t="shared" si="15"/>
        <v>Ô tô tự đổ 5 tấn307</v>
      </c>
      <c r="D811" s="630"/>
      <c r="E811" s="630"/>
      <c r="F811" s="630"/>
      <c r="G811" s="630"/>
    </row>
    <row r="812" spans="1:7" ht="18.75" x14ac:dyDescent="0.25">
      <c r="A812" s="629" t="s">
        <v>3081</v>
      </c>
      <c r="B812" s="630">
        <v>308</v>
      </c>
      <c r="C812" s="631" t="str">
        <f t="shared" si="15"/>
        <v>Ô tô tự đổ 5 tấn308</v>
      </c>
      <c r="D812" s="630"/>
      <c r="E812" s="630"/>
      <c r="F812" s="630"/>
      <c r="G812" s="630"/>
    </row>
    <row r="813" spans="1:7" ht="18.75" x14ac:dyDescent="0.25">
      <c r="A813" s="629" t="s">
        <v>3081</v>
      </c>
      <c r="B813" s="630">
        <v>309</v>
      </c>
      <c r="C813" s="631" t="str">
        <f t="shared" si="15"/>
        <v>Ô tô tự đổ 5 tấn309</v>
      </c>
      <c r="D813" s="630"/>
      <c r="E813" s="630"/>
      <c r="F813" s="630"/>
      <c r="G813" s="630"/>
    </row>
    <row r="814" spans="1:7" ht="18.75" x14ac:dyDescent="0.25">
      <c r="A814" s="629" t="s">
        <v>3081</v>
      </c>
      <c r="B814" s="630">
        <v>310</v>
      </c>
      <c r="C814" s="631" t="str">
        <f t="shared" si="15"/>
        <v>Ô tô tự đổ 5 tấn310</v>
      </c>
      <c r="D814" s="630"/>
      <c r="E814" s="630"/>
      <c r="F814" s="630"/>
      <c r="G814" s="630"/>
    </row>
    <row r="815" spans="1:7" ht="18.75" x14ac:dyDescent="0.25">
      <c r="A815" s="629" t="s">
        <v>3081</v>
      </c>
      <c r="B815" s="630">
        <v>311</v>
      </c>
      <c r="C815" s="631" t="str">
        <f t="shared" si="15"/>
        <v>Ô tô tự đổ 5 tấn311</v>
      </c>
      <c r="D815" s="630"/>
      <c r="E815" s="630"/>
      <c r="F815" s="630"/>
      <c r="G815" s="630"/>
    </row>
    <row r="816" spans="1:7" ht="18.75" x14ac:dyDescent="0.25">
      <c r="A816" s="629" t="s">
        <v>3081</v>
      </c>
      <c r="B816" s="630">
        <v>312</v>
      </c>
      <c r="C816" s="631" t="str">
        <f t="shared" si="15"/>
        <v>Ô tô tự đổ 5 tấn312</v>
      </c>
      <c r="D816" s="630"/>
      <c r="E816" s="630"/>
      <c r="F816" s="630"/>
      <c r="G816" s="630"/>
    </row>
    <row r="817" spans="1:7" ht="18.75" x14ac:dyDescent="0.25">
      <c r="A817" s="629" t="s">
        <v>3081</v>
      </c>
      <c r="B817" s="630">
        <v>313</v>
      </c>
      <c r="C817" s="631" t="str">
        <f t="shared" si="15"/>
        <v>Ô tô tự đổ 5 tấn313</v>
      </c>
      <c r="D817" s="630"/>
      <c r="E817" s="630"/>
      <c r="F817" s="630"/>
      <c r="G817" s="630"/>
    </row>
    <row r="818" spans="1:7" ht="18.75" x14ac:dyDescent="0.25">
      <c r="A818" s="629" t="s">
        <v>3081</v>
      </c>
      <c r="B818" s="630">
        <v>314</v>
      </c>
      <c r="C818" s="631" t="str">
        <f t="shared" si="15"/>
        <v>Ô tô tự đổ 5 tấn314</v>
      </c>
      <c r="D818" s="630"/>
      <c r="E818" s="630"/>
      <c r="F818" s="630"/>
      <c r="G818" s="630"/>
    </row>
    <row r="819" spans="1:7" ht="18.75" x14ac:dyDescent="0.25">
      <c r="A819" s="629" t="s">
        <v>3081</v>
      </c>
      <c r="B819" s="630">
        <v>315</v>
      </c>
      <c r="C819" s="631" t="str">
        <f t="shared" si="15"/>
        <v>Ô tô tự đổ 5 tấn315</v>
      </c>
      <c r="D819" s="630"/>
      <c r="E819" s="630"/>
      <c r="F819" s="630"/>
      <c r="G819" s="630"/>
    </row>
    <row r="820" spans="1:7" ht="18.75" x14ac:dyDescent="0.25">
      <c r="A820" s="629" t="s">
        <v>3081</v>
      </c>
      <c r="B820" s="630">
        <v>316</v>
      </c>
      <c r="C820" s="631" t="str">
        <f t="shared" si="15"/>
        <v>Ô tô tự đổ 5 tấn316</v>
      </c>
      <c r="D820" s="630"/>
      <c r="E820" s="630"/>
      <c r="F820" s="630"/>
      <c r="G820" s="630"/>
    </row>
    <row r="821" spans="1:7" ht="18.75" x14ac:dyDescent="0.25">
      <c r="A821" s="629" t="s">
        <v>3081</v>
      </c>
      <c r="B821" s="630">
        <v>317</v>
      </c>
      <c r="C821" s="631" t="str">
        <f t="shared" si="15"/>
        <v>Ô tô tự đổ 5 tấn317</v>
      </c>
      <c r="D821" s="630"/>
      <c r="E821" s="630"/>
      <c r="F821" s="630"/>
      <c r="G821" s="630"/>
    </row>
    <row r="822" spans="1:7" ht="18.75" x14ac:dyDescent="0.25">
      <c r="A822" s="629" t="s">
        <v>3081</v>
      </c>
      <c r="B822" s="630">
        <v>318</v>
      </c>
      <c r="C822" s="631" t="str">
        <f t="shared" si="15"/>
        <v>Ô tô tự đổ 5 tấn318</v>
      </c>
      <c r="D822" s="630"/>
      <c r="E822" s="630"/>
      <c r="F822" s="630"/>
      <c r="G822" s="630"/>
    </row>
    <row r="823" spans="1:7" ht="18.75" x14ac:dyDescent="0.25">
      <c r="A823" s="629" t="s">
        <v>3081</v>
      </c>
      <c r="B823" s="630">
        <v>319</v>
      </c>
      <c r="C823" s="631" t="str">
        <f t="shared" si="15"/>
        <v>Ô tô tự đổ 5 tấn319</v>
      </c>
      <c r="D823" s="630"/>
      <c r="E823" s="630"/>
      <c r="F823" s="630"/>
      <c r="G823" s="630"/>
    </row>
    <row r="824" spans="1:7" ht="18.75" x14ac:dyDescent="0.25">
      <c r="A824" s="629" t="s">
        <v>3081</v>
      </c>
      <c r="B824" s="630">
        <v>320</v>
      </c>
      <c r="C824" s="631" t="str">
        <f t="shared" si="15"/>
        <v>Ô tô tự đổ 5 tấn320</v>
      </c>
      <c r="D824" s="630"/>
      <c r="E824" s="630"/>
      <c r="F824" s="630"/>
      <c r="G824" s="630"/>
    </row>
    <row r="825" spans="1:7" ht="18.75" x14ac:dyDescent="0.25">
      <c r="A825" s="629" t="s">
        <v>3081</v>
      </c>
      <c r="B825" s="630">
        <v>321</v>
      </c>
      <c r="C825" s="631" t="str">
        <f t="shared" si="15"/>
        <v>Ô tô tự đổ 5 tấn321</v>
      </c>
      <c r="D825" s="630"/>
      <c r="E825" s="630"/>
      <c r="F825" s="630"/>
      <c r="G825" s="630"/>
    </row>
    <row r="826" spans="1:7" ht="18.75" x14ac:dyDescent="0.25">
      <c r="A826" s="629" t="s">
        <v>3081</v>
      </c>
      <c r="B826" s="630">
        <v>322</v>
      </c>
      <c r="C826" s="631" t="str">
        <f t="shared" ref="C826:C889" si="16">A826&amp;B826</f>
        <v>Ô tô tự đổ 5 tấn322</v>
      </c>
      <c r="D826" s="630"/>
      <c r="E826" s="630"/>
      <c r="F826" s="630"/>
      <c r="G826" s="630"/>
    </row>
    <row r="827" spans="1:7" ht="18.75" x14ac:dyDescent="0.25">
      <c r="A827" s="629" t="s">
        <v>3081</v>
      </c>
      <c r="B827" s="630">
        <v>323</v>
      </c>
      <c r="C827" s="631" t="str">
        <f t="shared" si="16"/>
        <v>Ô tô tự đổ 5 tấn323</v>
      </c>
      <c r="D827" s="630"/>
      <c r="E827" s="630"/>
      <c r="F827" s="630"/>
      <c r="G827" s="630"/>
    </row>
    <row r="828" spans="1:7" ht="18.75" x14ac:dyDescent="0.25">
      <c r="A828" s="629" t="s">
        <v>3081</v>
      </c>
      <c r="B828" s="630">
        <v>324</v>
      </c>
      <c r="C828" s="631" t="str">
        <f t="shared" si="16"/>
        <v>Ô tô tự đổ 5 tấn324</v>
      </c>
      <c r="D828" s="630"/>
      <c r="E828" s="630"/>
      <c r="F828" s="630"/>
      <c r="G828" s="630"/>
    </row>
    <row r="829" spans="1:7" ht="18.75" x14ac:dyDescent="0.25">
      <c r="A829" s="629" t="s">
        <v>3081</v>
      </c>
      <c r="B829" s="630">
        <v>325</v>
      </c>
      <c r="C829" s="631" t="str">
        <f t="shared" si="16"/>
        <v>Ô tô tự đổ 5 tấn325</v>
      </c>
      <c r="D829" s="630"/>
      <c r="E829" s="630"/>
      <c r="F829" s="630"/>
      <c r="G829" s="630"/>
    </row>
    <row r="830" spans="1:7" ht="18.75" x14ac:dyDescent="0.25">
      <c r="A830" s="629" t="s">
        <v>3081</v>
      </c>
      <c r="B830" s="630">
        <v>326</v>
      </c>
      <c r="C830" s="631" t="str">
        <f t="shared" si="16"/>
        <v>Ô tô tự đổ 5 tấn326</v>
      </c>
      <c r="D830" s="630"/>
      <c r="E830" s="630"/>
      <c r="F830" s="630"/>
      <c r="G830" s="630"/>
    </row>
    <row r="831" spans="1:7" ht="18.75" x14ac:dyDescent="0.25">
      <c r="A831" s="629" t="s">
        <v>3081</v>
      </c>
      <c r="B831" s="630">
        <v>327</v>
      </c>
      <c r="C831" s="631" t="str">
        <f t="shared" si="16"/>
        <v>Ô tô tự đổ 5 tấn327</v>
      </c>
      <c r="D831" s="630"/>
      <c r="E831" s="630"/>
      <c r="F831" s="630"/>
      <c r="G831" s="630"/>
    </row>
    <row r="832" spans="1:7" ht="18.75" x14ac:dyDescent="0.25">
      <c r="A832" s="629" t="s">
        <v>3081</v>
      </c>
      <c r="B832" s="630">
        <v>328</v>
      </c>
      <c r="C832" s="631" t="str">
        <f t="shared" si="16"/>
        <v>Ô tô tự đổ 5 tấn328</v>
      </c>
      <c r="D832" s="630"/>
      <c r="E832" s="630"/>
      <c r="F832" s="630"/>
      <c r="G832" s="630"/>
    </row>
    <row r="833" spans="1:7" ht="18.75" x14ac:dyDescent="0.25">
      <c r="A833" s="629" t="s">
        <v>3081</v>
      </c>
      <c r="B833" s="630">
        <v>329</v>
      </c>
      <c r="C833" s="631" t="str">
        <f t="shared" si="16"/>
        <v>Ô tô tự đổ 5 tấn329</v>
      </c>
      <c r="D833" s="630"/>
      <c r="E833" s="630"/>
      <c r="F833" s="630"/>
      <c r="G833" s="630"/>
    </row>
    <row r="834" spans="1:7" ht="18.75" x14ac:dyDescent="0.25">
      <c r="A834" s="629" t="s">
        <v>3081</v>
      </c>
      <c r="B834" s="630">
        <v>330</v>
      </c>
      <c r="C834" s="631" t="str">
        <f t="shared" si="16"/>
        <v>Ô tô tự đổ 5 tấn330</v>
      </c>
      <c r="D834" s="630"/>
      <c r="E834" s="630"/>
      <c r="F834" s="630"/>
      <c r="G834" s="630"/>
    </row>
    <row r="835" spans="1:7" ht="18.75" x14ac:dyDescent="0.25">
      <c r="A835" s="629" t="s">
        <v>3081</v>
      </c>
      <c r="B835" s="630">
        <v>331</v>
      </c>
      <c r="C835" s="631" t="str">
        <f t="shared" si="16"/>
        <v>Ô tô tự đổ 5 tấn331</v>
      </c>
      <c r="D835" s="630"/>
      <c r="E835" s="630"/>
      <c r="F835" s="630"/>
      <c r="G835" s="630"/>
    </row>
    <row r="836" spans="1:7" ht="18.75" x14ac:dyDescent="0.25">
      <c r="A836" s="629" t="s">
        <v>3081</v>
      </c>
      <c r="B836" s="630">
        <v>332</v>
      </c>
      <c r="C836" s="631" t="str">
        <f t="shared" si="16"/>
        <v>Ô tô tự đổ 5 tấn332</v>
      </c>
      <c r="D836" s="630"/>
      <c r="E836" s="630"/>
      <c r="F836" s="630"/>
      <c r="G836" s="630"/>
    </row>
    <row r="837" spans="1:7" ht="18.75" x14ac:dyDescent="0.25">
      <c r="A837" s="629" t="s">
        <v>3081</v>
      </c>
      <c r="B837" s="630">
        <v>333</v>
      </c>
      <c r="C837" s="631" t="str">
        <f t="shared" si="16"/>
        <v>Ô tô tự đổ 5 tấn333</v>
      </c>
      <c r="D837" s="630"/>
      <c r="E837" s="630"/>
      <c r="F837" s="630"/>
      <c r="G837" s="630"/>
    </row>
    <row r="838" spans="1:7" ht="18.75" x14ac:dyDescent="0.25">
      <c r="A838" s="629" t="s">
        <v>3081</v>
      </c>
      <c r="B838" s="630">
        <v>334</v>
      </c>
      <c r="C838" s="631" t="str">
        <f t="shared" si="16"/>
        <v>Ô tô tự đổ 5 tấn334</v>
      </c>
      <c r="D838" s="630"/>
      <c r="E838" s="630"/>
      <c r="F838" s="630"/>
      <c r="G838" s="630"/>
    </row>
    <row r="839" spans="1:7" ht="18.75" x14ac:dyDescent="0.25">
      <c r="A839" s="629" t="s">
        <v>3081</v>
      </c>
      <c r="B839" s="630">
        <v>335</v>
      </c>
      <c r="C839" s="631" t="str">
        <f t="shared" si="16"/>
        <v>Ô tô tự đổ 5 tấn335</v>
      </c>
      <c r="D839" s="630"/>
      <c r="E839" s="630"/>
      <c r="F839" s="630"/>
      <c r="G839" s="630"/>
    </row>
    <row r="840" spans="1:7" ht="18.75" x14ac:dyDescent="0.25">
      <c r="A840" s="629" t="s">
        <v>3081</v>
      </c>
      <c r="B840" s="630">
        <v>336</v>
      </c>
      <c r="C840" s="631" t="str">
        <f t="shared" si="16"/>
        <v>Ô tô tự đổ 5 tấn336</v>
      </c>
      <c r="D840" s="630"/>
      <c r="E840" s="630"/>
      <c r="F840" s="630"/>
      <c r="G840" s="630"/>
    </row>
    <row r="841" spans="1:7" ht="18.75" x14ac:dyDescent="0.25">
      <c r="A841" s="629" t="s">
        <v>3081</v>
      </c>
      <c r="B841" s="630">
        <v>337</v>
      </c>
      <c r="C841" s="631" t="str">
        <f t="shared" si="16"/>
        <v>Ô tô tự đổ 5 tấn337</v>
      </c>
      <c r="D841" s="630"/>
      <c r="E841" s="630"/>
      <c r="F841" s="630"/>
      <c r="G841" s="630"/>
    </row>
    <row r="842" spans="1:7" ht="18.75" x14ac:dyDescent="0.25">
      <c r="A842" s="629" t="s">
        <v>3081</v>
      </c>
      <c r="B842" s="630">
        <v>338</v>
      </c>
      <c r="C842" s="631" t="str">
        <f t="shared" si="16"/>
        <v>Ô tô tự đổ 5 tấn338</v>
      </c>
      <c r="D842" s="630"/>
      <c r="E842" s="630"/>
      <c r="F842" s="630"/>
      <c r="G842" s="630"/>
    </row>
    <row r="843" spans="1:7" ht="18.75" x14ac:dyDescent="0.25">
      <c r="A843" s="629" t="s">
        <v>3081</v>
      </c>
      <c r="B843" s="630">
        <v>339</v>
      </c>
      <c r="C843" s="631" t="str">
        <f t="shared" si="16"/>
        <v>Ô tô tự đổ 5 tấn339</v>
      </c>
      <c r="D843" s="630"/>
      <c r="E843" s="630"/>
      <c r="F843" s="630"/>
      <c r="G843" s="630"/>
    </row>
    <row r="844" spans="1:7" ht="18.75" x14ac:dyDescent="0.25">
      <c r="A844" s="629" t="s">
        <v>3081</v>
      </c>
      <c r="B844" s="630">
        <v>340</v>
      </c>
      <c r="C844" s="631" t="str">
        <f t="shared" si="16"/>
        <v>Ô tô tự đổ 5 tấn340</v>
      </c>
      <c r="D844" s="630"/>
      <c r="E844" s="630"/>
      <c r="F844" s="630"/>
      <c r="G844" s="630"/>
    </row>
    <row r="845" spans="1:7" ht="18.75" x14ac:dyDescent="0.25">
      <c r="A845" s="629" t="s">
        <v>3081</v>
      </c>
      <c r="B845" s="630">
        <v>341</v>
      </c>
      <c r="C845" s="631" t="str">
        <f t="shared" si="16"/>
        <v>Ô tô tự đổ 5 tấn341</v>
      </c>
      <c r="D845" s="630"/>
      <c r="E845" s="630"/>
      <c r="F845" s="630"/>
      <c r="G845" s="630"/>
    </row>
    <row r="846" spans="1:7" ht="18.75" x14ac:dyDescent="0.25">
      <c r="A846" s="629" t="s">
        <v>3081</v>
      </c>
      <c r="B846" s="630">
        <v>342</v>
      </c>
      <c r="C846" s="631" t="str">
        <f t="shared" si="16"/>
        <v>Ô tô tự đổ 5 tấn342</v>
      </c>
      <c r="D846" s="630"/>
      <c r="E846" s="630"/>
      <c r="F846" s="630"/>
      <c r="G846" s="630"/>
    </row>
    <row r="847" spans="1:7" ht="18.75" x14ac:dyDescent="0.25">
      <c r="A847" s="629" t="s">
        <v>3081</v>
      </c>
      <c r="B847" s="630">
        <v>343</v>
      </c>
      <c r="C847" s="631" t="str">
        <f t="shared" si="16"/>
        <v>Ô tô tự đổ 5 tấn343</v>
      </c>
      <c r="D847" s="630"/>
      <c r="E847" s="630"/>
      <c r="F847" s="630"/>
      <c r="G847" s="630"/>
    </row>
    <row r="848" spans="1:7" ht="18.75" x14ac:dyDescent="0.25">
      <c r="A848" s="629" t="s">
        <v>3081</v>
      </c>
      <c r="B848" s="630">
        <v>344</v>
      </c>
      <c r="C848" s="631" t="str">
        <f t="shared" si="16"/>
        <v>Ô tô tự đổ 5 tấn344</v>
      </c>
      <c r="D848" s="630"/>
      <c r="E848" s="630"/>
      <c r="F848" s="630"/>
      <c r="G848" s="630"/>
    </row>
    <row r="849" spans="1:7" ht="18.75" x14ac:dyDescent="0.25">
      <c r="A849" s="629" t="s">
        <v>3081</v>
      </c>
      <c r="B849" s="630">
        <v>345</v>
      </c>
      <c r="C849" s="631" t="str">
        <f t="shared" si="16"/>
        <v>Ô tô tự đổ 5 tấn345</v>
      </c>
      <c r="D849" s="630"/>
      <c r="E849" s="630"/>
      <c r="F849" s="630"/>
      <c r="G849" s="630"/>
    </row>
    <row r="850" spans="1:7" ht="18.75" x14ac:dyDescent="0.25">
      <c r="A850" s="629" t="s">
        <v>3081</v>
      </c>
      <c r="B850" s="630">
        <v>346</v>
      </c>
      <c r="C850" s="631" t="str">
        <f t="shared" si="16"/>
        <v>Ô tô tự đổ 5 tấn346</v>
      </c>
      <c r="D850" s="630"/>
      <c r="E850" s="630"/>
      <c r="F850" s="630"/>
      <c r="G850" s="630"/>
    </row>
    <row r="851" spans="1:7" ht="18.75" x14ac:dyDescent="0.25">
      <c r="A851" s="629" t="s">
        <v>3081</v>
      </c>
      <c r="B851" s="630">
        <v>347</v>
      </c>
      <c r="C851" s="631" t="str">
        <f t="shared" si="16"/>
        <v>Ô tô tự đổ 5 tấn347</v>
      </c>
      <c r="D851" s="630"/>
      <c r="E851" s="630"/>
      <c r="F851" s="630"/>
      <c r="G851" s="630"/>
    </row>
    <row r="852" spans="1:7" ht="18.75" x14ac:dyDescent="0.25">
      <c r="A852" s="629" t="s">
        <v>3081</v>
      </c>
      <c r="B852" s="630">
        <v>348</v>
      </c>
      <c r="C852" s="631" t="str">
        <f t="shared" si="16"/>
        <v>Ô tô tự đổ 5 tấn348</v>
      </c>
      <c r="D852" s="630"/>
      <c r="E852" s="630"/>
      <c r="F852" s="630"/>
      <c r="G852" s="630"/>
    </row>
    <row r="853" spans="1:7" ht="18.75" x14ac:dyDescent="0.25">
      <c r="A853" s="629" t="s">
        <v>3081</v>
      </c>
      <c r="B853" s="630">
        <v>349</v>
      </c>
      <c r="C853" s="631" t="str">
        <f t="shared" si="16"/>
        <v>Ô tô tự đổ 5 tấn349</v>
      </c>
      <c r="D853" s="630"/>
      <c r="E853" s="630"/>
      <c r="F853" s="630"/>
      <c r="G853" s="630"/>
    </row>
    <row r="854" spans="1:7" ht="18.75" x14ac:dyDescent="0.25">
      <c r="A854" s="629" t="s">
        <v>3081</v>
      </c>
      <c r="B854" s="630">
        <v>350</v>
      </c>
      <c r="C854" s="631" t="str">
        <f t="shared" si="16"/>
        <v>Ô tô tự đổ 5 tấn350</v>
      </c>
      <c r="D854" s="630"/>
      <c r="E854" s="630"/>
      <c r="F854" s="630"/>
      <c r="G854" s="630"/>
    </row>
    <row r="855" spans="1:7" ht="18.75" x14ac:dyDescent="0.25">
      <c r="A855" s="629" t="s">
        <v>3081</v>
      </c>
      <c r="B855" s="630">
        <v>351</v>
      </c>
      <c r="C855" s="631" t="str">
        <f t="shared" si="16"/>
        <v>Ô tô tự đổ 5 tấn351</v>
      </c>
      <c r="D855" s="630"/>
      <c r="E855" s="630"/>
      <c r="F855" s="630"/>
      <c r="G855" s="630"/>
    </row>
    <row r="856" spans="1:7" ht="18.75" x14ac:dyDescent="0.25">
      <c r="A856" s="629" t="s">
        <v>3081</v>
      </c>
      <c r="B856" s="630">
        <v>352</v>
      </c>
      <c r="C856" s="631" t="str">
        <f t="shared" si="16"/>
        <v>Ô tô tự đổ 5 tấn352</v>
      </c>
      <c r="D856" s="630"/>
      <c r="E856" s="630"/>
      <c r="F856" s="630"/>
      <c r="G856" s="630"/>
    </row>
    <row r="857" spans="1:7" ht="18.75" x14ac:dyDescent="0.25">
      <c r="A857" s="629" t="s">
        <v>3081</v>
      </c>
      <c r="B857" s="630">
        <v>353</v>
      </c>
      <c r="C857" s="631" t="str">
        <f t="shared" si="16"/>
        <v>Ô tô tự đổ 5 tấn353</v>
      </c>
      <c r="D857" s="630"/>
      <c r="E857" s="630"/>
      <c r="F857" s="630"/>
      <c r="G857" s="630"/>
    </row>
    <row r="858" spans="1:7" ht="18.75" x14ac:dyDescent="0.25">
      <c r="A858" s="629" t="s">
        <v>3081</v>
      </c>
      <c r="B858" s="630">
        <v>354</v>
      </c>
      <c r="C858" s="631" t="str">
        <f t="shared" si="16"/>
        <v>Ô tô tự đổ 5 tấn354</v>
      </c>
      <c r="D858" s="630"/>
      <c r="E858" s="630"/>
      <c r="F858" s="630"/>
      <c r="G858" s="630"/>
    </row>
    <row r="859" spans="1:7" ht="18.75" x14ac:dyDescent="0.25">
      <c r="A859" s="629" t="s">
        <v>3081</v>
      </c>
      <c r="B859" s="630">
        <v>355</v>
      </c>
      <c r="C859" s="631" t="str">
        <f t="shared" si="16"/>
        <v>Ô tô tự đổ 5 tấn355</v>
      </c>
      <c r="D859" s="630"/>
      <c r="E859" s="630"/>
      <c r="F859" s="630"/>
      <c r="G859" s="630"/>
    </row>
    <row r="860" spans="1:7" ht="18.75" x14ac:dyDescent="0.25">
      <c r="A860" s="629" t="s">
        <v>3081</v>
      </c>
      <c r="B860" s="630">
        <v>356</v>
      </c>
      <c r="C860" s="631" t="str">
        <f t="shared" si="16"/>
        <v>Ô tô tự đổ 5 tấn356</v>
      </c>
      <c r="D860" s="630"/>
      <c r="E860" s="630"/>
      <c r="F860" s="630"/>
      <c r="G860" s="630"/>
    </row>
    <row r="861" spans="1:7" ht="18.75" x14ac:dyDescent="0.25">
      <c r="A861" s="629" t="s">
        <v>3081</v>
      </c>
      <c r="B861" s="630">
        <v>357</v>
      </c>
      <c r="C861" s="631" t="str">
        <f t="shared" si="16"/>
        <v>Ô tô tự đổ 5 tấn357</v>
      </c>
      <c r="D861" s="630"/>
      <c r="E861" s="630"/>
      <c r="F861" s="630"/>
      <c r="G861" s="630"/>
    </row>
    <row r="862" spans="1:7" ht="18.75" x14ac:dyDescent="0.25">
      <c r="A862" s="629" t="s">
        <v>3081</v>
      </c>
      <c r="B862" s="630">
        <v>358</v>
      </c>
      <c r="C862" s="631" t="str">
        <f t="shared" si="16"/>
        <v>Ô tô tự đổ 5 tấn358</v>
      </c>
      <c r="D862" s="630"/>
      <c r="E862" s="630"/>
      <c r="F862" s="630"/>
      <c r="G862" s="630"/>
    </row>
    <row r="863" spans="1:7" ht="18.75" x14ac:dyDescent="0.25">
      <c r="A863" s="629" t="s">
        <v>3081</v>
      </c>
      <c r="B863" s="630">
        <v>359</v>
      </c>
      <c r="C863" s="631" t="str">
        <f t="shared" si="16"/>
        <v>Ô tô tự đổ 5 tấn359</v>
      </c>
      <c r="D863" s="630"/>
      <c r="E863" s="630"/>
      <c r="F863" s="630"/>
      <c r="G863" s="630"/>
    </row>
    <row r="864" spans="1:7" ht="18.75" x14ac:dyDescent="0.25">
      <c r="A864" s="629" t="s">
        <v>3081</v>
      </c>
      <c r="B864" s="630">
        <v>360</v>
      </c>
      <c r="C864" s="631" t="str">
        <f t="shared" si="16"/>
        <v>Ô tô tự đổ 5 tấn360</v>
      </c>
      <c r="D864" s="630"/>
      <c r="E864" s="630"/>
      <c r="F864" s="630"/>
      <c r="G864" s="630"/>
    </row>
    <row r="865" spans="1:7" ht="18.75" x14ac:dyDescent="0.25">
      <c r="A865" s="629" t="s">
        <v>3081</v>
      </c>
      <c r="B865" s="630">
        <v>361</v>
      </c>
      <c r="C865" s="631" t="str">
        <f t="shared" si="16"/>
        <v>Ô tô tự đổ 5 tấn361</v>
      </c>
      <c r="D865" s="630"/>
      <c r="E865" s="630"/>
      <c r="F865" s="630"/>
      <c r="G865" s="630"/>
    </row>
    <row r="866" spans="1:7" ht="18.75" x14ac:dyDescent="0.25">
      <c r="A866" s="629" t="s">
        <v>3081</v>
      </c>
      <c r="B866" s="630">
        <v>362</v>
      </c>
      <c r="C866" s="631" t="str">
        <f t="shared" si="16"/>
        <v>Ô tô tự đổ 5 tấn362</v>
      </c>
      <c r="D866" s="630"/>
      <c r="E866" s="630"/>
      <c r="F866" s="630"/>
      <c r="G866" s="630"/>
    </row>
    <row r="867" spans="1:7" ht="18.75" x14ac:dyDescent="0.25">
      <c r="A867" s="629" t="s">
        <v>3081</v>
      </c>
      <c r="B867" s="630">
        <v>363</v>
      </c>
      <c r="C867" s="631" t="str">
        <f t="shared" si="16"/>
        <v>Ô tô tự đổ 5 tấn363</v>
      </c>
      <c r="D867" s="630"/>
      <c r="E867" s="630"/>
      <c r="F867" s="630"/>
      <c r="G867" s="630"/>
    </row>
    <row r="868" spans="1:7" ht="18.75" x14ac:dyDescent="0.25">
      <c r="A868" s="629" t="s">
        <v>3081</v>
      </c>
      <c r="B868" s="630">
        <v>364</v>
      </c>
      <c r="C868" s="631" t="str">
        <f t="shared" si="16"/>
        <v>Ô tô tự đổ 5 tấn364</v>
      </c>
      <c r="D868" s="630"/>
      <c r="E868" s="630"/>
      <c r="F868" s="630"/>
      <c r="G868" s="630"/>
    </row>
    <row r="869" spans="1:7" ht="18.75" x14ac:dyDescent="0.25">
      <c r="A869" s="629" t="s">
        <v>3081</v>
      </c>
      <c r="B869" s="630">
        <v>365</v>
      </c>
      <c r="C869" s="631" t="str">
        <f t="shared" si="16"/>
        <v>Ô tô tự đổ 5 tấn365</v>
      </c>
      <c r="D869" s="630"/>
      <c r="E869" s="630"/>
      <c r="F869" s="630"/>
      <c r="G869" s="630"/>
    </row>
    <row r="870" spans="1:7" ht="18.75" x14ac:dyDescent="0.25">
      <c r="A870" s="629" t="s">
        <v>3081</v>
      </c>
      <c r="B870" s="630">
        <v>366</v>
      </c>
      <c r="C870" s="631" t="str">
        <f t="shared" si="16"/>
        <v>Ô tô tự đổ 5 tấn366</v>
      </c>
      <c r="D870" s="630"/>
      <c r="E870" s="630"/>
      <c r="F870" s="630"/>
      <c r="G870" s="630"/>
    </row>
    <row r="871" spans="1:7" ht="18.75" x14ac:dyDescent="0.25">
      <c r="A871" s="629" t="s">
        <v>3081</v>
      </c>
      <c r="B871" s="630">
        <v>367</v>
      </c>
      <c r="C871" s="631" t="str">
        <f t="shared" si="16"/>
        <v>Ô tô tự đổ 5 tấn367</v>
      </c>
      <c r="D871" s="630"/>
      <c r="E871" s="630"/>
      <c r="F871" s="630"/>
      <c r="G871" s="630"/>
    </row>
    <row r="872" spans="1:7" ht="18.75" x14ac:dyDescent="0.25">
      <c r="A872" s="629" t="s">
        <v>3081</v>
      </c>
      <c r="B872" s="630">
        <v>368</v>
      </c>
      <c r="C872" s="631" t="str">
        <f t="shared" si="16"/>
        <v>Ô tô tự đổ 5 tấn368</v>
      </c>
      <c r="D872" s="630"/>
      <c r="E872" s="630"/>
      <c r="F872" s="630"/>
      <c r="G872" s="630"/>
    </row>
    <row r="873" spans="1:7" ht="18.75" x14ac:dyDescent="0.25">
      <c r="A873" s="629" t="s">
        <v>3081</v>
      </c>
      <c r="B873" s="630">
        <v>369</v>
      </c>
      <c r="C873" s="631" t="str">
        <f t="shared" si="16"/>
        <v>Ô tô tự đổ 5 tấn369</v>
      </c>
      <c r="D873" s="630"/>
      <c r="E873" s="630"/>
      <c r="F873" s="630"/>
      <c r="G873" s="630"/>
    </row>
    <row r="874" spans="1:7" ht="18.75" x14ac:dyDescent="0.25">
      <c r="A874" s="629" t="s">
        <v>3081</v>
      </c>
      <c r="B874" s="630">
        <v>370</v>
      </c>
      <c r="C874" s="631" t="str">
        <f t="shared" si="16"/>
        <v>Ô tô tự đổ 5 tấn370</v>
      </c>
      <c r="D874" s="630"/>
      <c r="E874" s="630"/>
      <c r="F874" s="630"/>
      <c r="G874" s="630"/>
    </row>
    <row r="875" spans="1:7" ht="18.75" x14ac:dyDescent="0.25">
      <c r="A875" s="629" t="s">
        <v>3081</v>
      </c>
      <c r="B875" s="630">
        <v>371</v>
      </c>
      <c r="C875" s="631" t="str">
        <f t="shared" si="16"/>
        <v>Ô tô tự đổ 5 tấn371</v>
      </c>
      <c r="D875" s="630"/>
      <c r="E875" s="630"/>
      <c r="F875" s="630"/>
      <c r="G875" s="630"/>
    </row>
    <row r="876" spans="1:7" ht="18.75" x14ac:dyDescent="0.25">
      <c r="A876" s="629" t="s">
        <v>3081</v>
      </c>
      <c r="B876" s="630">
        <v>372</v>
      </c>
      <c r="C876" s="631" t="str">
        <f t="shared" si="16"/>
        <v>Ô tô tự đổ 5 tấn372</v>
      </c>
      <c r="D876" s="630"/>
      <c r="E876" s="630"/>
      <c r="F876" s="630"/>
      <c r="G876" s="630"/>
    </row>
    <row r="877" spans="1:7" ht="18.75" x14ac:dyDescent="0.25">
      <c r="A877" s="629" t="s">
        <v>3081</v>
      </c>
      <c r="B877" s="630">
        <v>373</v>
      </c>
      <c r="C877" s="631" t="str">
        <f t="shared" si="16"/>
        <v>Ô tô tự đổ 5 tấn373</v>
      </c>
      <c r="D877" s="630"/>
      <c r="E877" s="630"/>
      <c r="F877" s="630"/>
      <c r="G877" s="630"/>
    </row>
    <row r="878" spans="1:7" ht="18.75" x14ac:dyDescent="0.25">
      <c r="A878" s="629" t="s">
        <v>3081</v>
      </c>
      <c r="B878" s="630">
        <v>374</v>
      </c>
      <c r="C878" s="631" t="str">
        <f t="shared" si="16"/>
        <v>Ô tô tự đổ 5 tấn374</v>
      </c>
      <c r="D878" s="630"/>
      <c r="E878" s="630"/>
      <c r="F878" s="630"/>
      <c r="G878" s="630"/>
    </row>
    <row r="879" spans="1:7" ht="18.75" x14ac:dyDescent="0.25">
      <c r="A879" s="629" t="s">
        <v>3081</v>
      </c>
      <c r="B879" s="630">
        <v>375</v>
      </c>
      <c r="C879" s="631" t="str">
        <f t="shared" si="16"/>
        <v>Ô tô tự đổ 5 tấn375</v>
      </c>
      <c r="D879" s="630"/>
      <c r="E879" s="630"/>
      <c r="F879" s="630"/>
      <c r="G879" s="630"/>
    </row>
    <row r="880" spans="1:7" ht="18.75" x14ac:dyDescent="0.25">
      <c r="A880" s="629" t="s">
        <v>3081</v>
      </c>
      <c r="B880" s="630">
        <v>376</v>
      </c>
      <c r="C880" s="631" t="str">
        <f t="shared" si="16"/>
        <v>Ô tô tự đổ 5 tấn376</v>
      </c>
      <c r="D880" s="630"/>
      <c r="E880" s="630"/>
      <c r="F880" s="630"/>
      <c r="G880" s="630"/>
    </row>
    <row r="881" spans="1:7" ht="18.75" x14ac:dyDescent="0.25">
      <c r="A881" s="629" t="s">
        <v>3081</v>
      </c>
      <c r="B881" s="630">
        <v>377</v>
      </c>
      <c r="C881" s="631" t="str">
        <f t="shared" si="16"/>
        <v>Ô tô tự đổ 5 tấn377</v>
      </c>
      <c r="D881" s="630"/>
      <c r="E881" s="630"/>
      <c r="F881" s="630"/>
      <c r="G881" s="630"/>
    </row>
    <row r="882" spans="1:7" ht="18.75" x14ac:dyDescent="0.25">
      <c r="A882" s="629" t="s">
        <v>3081</v>
      </c>
      <c r="B882" s="630">
        <v>378</v>
      </c>
      <c r="C882" s="631" t="str">
        <f t="shared" si="16"/>
        <v>Ô tô tự đổ 5 tấn378</v>
      </c>
      <c r="D882" s="630"/>
      <c r="E882" s="630"/>
      <c r="F882" s="630"/>
      <c r="G882" s="630"/>
    </row>
    <row r="883" spans="1:7" ht="18.75" x14ac:dyDescent="0.25">
      <c r="A883" s="629" t="s">
        <v>3081</v>
      </c>
      <c r="B883" s="630">
        <v>379</v>
      </c>
      <c r="C883" s="631" t="str">
        <f t="shared" si="16"/>
        <v>Ô tô tự đổ 5 tấn379</v>
      </c>
      <c r="D883" s="630"/>
      <c r="E883" s="630"/>
      <c r="F883" s="630"/>
      <c r="G883" s="630"/>
    </row>
    <row r="884" spans="1:7" ht="18.75" x14ac:dyDescent="0.25">
      <c r="A884" s="629" t="s">
        <v>3081</v>
      </c>
      <c r="B884" s="630">
        <v>380</v>
      </c>
      <c r="C884" s="631" t="str">
        <f t="shared" si="16"/>
        <v>Ô tô tự đổ 5 tấn380</v>
      </c>
      <c r="D884" s="630"/>
      <c r="E884" s="630"/>
      <c r="F884" s="630"/>
      <c r="G884" s="630"/>
    </row>
    <row r="885" spans="1:7" ht="18.75" x14ac:dyDescent="0.25">
      <c r="A885" s="629" t="s">
        <v>3081</v>
      </c>
      <c r="B885" s="630">
        <v>381</v>
      </c>
      <c r="C885" s="631" t="str">
        <f t="shared" si="16"/>
        <v>Ô tô tự đổ 5 tấn381</v>
      </c>
      <c r="D885" s="630"/>
      <c r="E885" s="630"/>
      <c r="F885" s="630"/>
      <c r="G885" s="630"/>
    </row>
    <row r="886" spans="1:7" ht="18.75" x14ac:dyDescent="0.25">
      <c r="A886" s="629" t="s">
        <v>3081</v>
      </c>
      <c r="B886" s="630">
        <v>382</v>
      </c>
      <c r="C886" s="631" t="str">
        <f t="shared" si="16"/>
        <v>Ô tô tự đổ 5 tấn382</v>
      </c>
      <c r="D886" s="630"/>
      <c r="E886" s="630"/>
      <c r="F886" s="630"/>
      <c r="G886" s="630"/>
    </row>
    <row r="887" spans="1:7" ht="18.75" x14ac:dyDescent="0.25">
      <c r="A887" s="629" t="s">
        <v>3081</v>
      </c>
      <c r="B887" s="630">
        <v>383</v>
      </c>
      <c r="C887" s="631" t="str">
        <f t="shared" si="16"/>
        <v>Ô tô tự đổ 5 tấn383</v>
      </c>
      <c r="D887" s="630"/>
      <c r="E887" s="630"/>
      <c r="F887" s="630"/>
      <c r="G887" s="630"/>
    </row>
    <row r="888" spans="1:7" ht="18.75" x14ac:dyDescent="0.25">
      <c r="A888" s="629" t="s">
        <v>3081</v>
      </c>
      <c r="B888" s="630">
        <v>384</v>
      </c>
      <c r="C888" s="631" t="str">
        <f t="shared" si="16"/>
        <v>Ô tô tự đổ 5 tấn384</v>
      </c>
      <c r="D888" s="630"/>
      <c r="E888" s="630"/>
      <c r="F888" s="630"/>
      <c r="G888" s="630"/>
    </row>
    <row r="889" spans="1:7" ht="18.75" x14ac:dyDescent="0.25">
      <c r="A889" s="629" t="s">
        <v>3081</v>
      </c>
      <c r="B889" s="630">
        <v>385</v>
      </c>
      <c r="C889" s="631" t="str">
        <f t="shared" si="16"/>
        <v>Ô tô tự đổ 5 tấn385</v>
      </c>
      <c r="D889" s="630"/>
      <c r="E889" s="630"/>
      <c r="F889" s="630"/>
      <c r="G889" s="630"/>
    </row>
    <row r="890" spans="1:7" ht="18.75" x14ac:dyDescent="0.25">
      <c r="A890" s="629" t="s">
        <v>3081</v>
      </c>
      <c r="B890" s="630">
        <v>386</v>
      </c>
      <c r="C890" s="631" t="str">
        <f t="shared" ref="C890:C953" si="17">A890&amp;B890</f>
        <v>Ô tô tự đổ 5 tấn386</v>
      </c>
      <c r="D890" s="630"/>
      <c r="E890" s="630"/>
      <c r="F890" s="630"/>
      <c r="G890" s="630"/>
    </row>
    <row r="891" spans="1:7" ht="18.75" x14ac:dyDescent="0.25">
      <c r="A891" s="629" t="s">
        <v>3081</v>
      </c>
      <c r="B891" s="630">
        <v>387</v>
      </c>
      <c r="C891" s="631" t="str">
        <f t="shared" si="17"/>
        <v>Ô tô tự đổ 5 tấn387</v>
      </c>
      <c r="D891" s="630"/>
      <c r="E891" s="630"/>
      <c r="F891" s="630"/>
      <c r="G891" s="630"/>
    </row>
    <row r="892" spans="1:7" ht="18.75" x14ac:dyDescent="0.25">
      <c r="A892" s="629" t="s">
        <v>3081</v>
      </c>
      <c r="B892" s="630">
        <v>388</v>
      </c>
      <c r="C892" s="631" t="str">
        <f t="shared" si="17"/>
        <v>Ô tô tự đổ 5 tấn388</v>
      </c>
      <c r="D892" s="630"/>
      <c r="E892" s="630"/>
      <c r="F892" s="630"/>
      <c r="G892" s="630"/>
    </row>
    <row r="893" spans="1:7" ht="18.75" x14ac:dyDescent="0.25">
      <c r="A893" s="629" t="s">
        <v>3081</v>
      </c>
      <c r="B893" s="630">
        <v>389</v>
      </c>
      <c r="C893" s="631" t="str">
        <f t="shared" si="17"/>
        <v>Ô tô tự đổ 5 tấn389</v>
      </c>
      <c r="D893" s="630"/>
      <c r="E893" s="630"/>
      <c r="F893" s="630"/>
      <c r="G893" s="630"/>
    </row>
    <row r="894" spans="1:7" ht="18.75" x14ac:dyDescent="0.25">
      <c r="A894" s="629" t="s">
        <v>3081</v>
      </c>
      <c r="B894" s="630">
        <v>390</v>
      </c>
      <c r="C894" s="631" t="str">
        <f t="shared" si="17"/>
        <v>Ô tô tự đổ 5 tấn390</v>
      </c>
      <c r="D894" s="630"/>
      <c r="E894" s="630"/>
      <c r="F894" s="630"/>
      <c r="G894" s="630"/>
    </row>
    <row r="895" spans="1:7" ht="18.75" x14ac:dyDescent="0.25">
      <c r="A895" s="629" t="s">
        <v>3081</v>
      </c>
      <c r="B895" s="630">
        <v>391</v>
      </c>
      <c r="C895" s="631" t="str">
        <f t="shared" si="17"/>
        <v>Ô tô tự đổ 5 tấn391</v>
      </c>
      <c r="D895" s="630"/>
      <c r="E895" s="630"/>
      <c r="F895" s="630"/>
      <c r="G895" s="630"/>
    </row>
    <row r="896" spans="1:7" ht="18.75" x14ac:dyDescent="0.25">
      <c r="A896" s="629" t="s">
        <v>3081</v>
      </c>
      <c r="B896" s="630">
        <v>392</v>
      </c>
      <c r="C896" s="631" t="str">
        <f t="shared" si="17"/>
        <v>Ô tô tự đổ 5 tấn392</v>
      </c>
      <c r="D896" s="630"/>
      <c r="E896" s="630"/>
      <c r="F896" s="630"/>
      <c r="G896" s="630"/>
    </row>
    <row r="897" spans="1:7" ht="18.75" x14ac:dyDescent="0.25">
      <c r="A897" s="629" t="s">
        <v>3081</v>
      </c>
      <c r="B897" s="630">
        <v>393</v>
      </c>
      <c r="C897" s="631" t="str">
        <f t="shared" si="17"/>
        <v>Ô tô tự đổ 5 tấn393</v>
      </c>
      <c r="D897" s="630"/>
      <c r="E897" s="630"/>
      <c r="F897" s="630"/>
      <c r="G897" s="630"/>
    </row>
    <row r="898" spans="1:7" ht="18.75" x14ac:dyDescent="0.25">
      <c r="A898" s="629" t="s">
        <v>3081</v>
      </c>
      <c r="B898" s="630">
        <v>394</v>
      </c>
      <c r="C898" s="631" t="str">
        <f t="shared" si="17"/>
        <v>Ô tô tự đổ 5 tấn394</v>
      </c>
      <c r="D898" s="630"/>
      <c r="E898" s="630"/>
      <c r="F898" s="630"/>
      <c r="G898" s="630"/>
    </row>
    <row r="899" spans="1:7" ht="18.75" x14ac:dyDescent="0.25">
      <c r="A899" s="629" t="s">
        <v>3081</v>
      </c>
      <c r="B899" s="630">
        <v>395</v>
      </c>
      <c r="C899" s="631" t="str">
        <f t="shared" si="17"/>
        <v>Ô tô tự đổ 5 tấn395</v>
      </c>
      <c r="D899" s="630"/>
      <c r="E899" s="630"/>
      <c r="F899" s="630"/>
      <c r="G899" s="630"/>
    </row>
    <row r="900" spans="1:7" ht="18.75" x14ac:dyDescent="0.25">
      <c r="A900" s="629" t="s">
        <v>3081</v>
      </c>
      <c r="B900" s="630">
        <v>396</v>
      </c>
      <c r="C900" s="631" t="str">
        <f t="shared" si="17"/>
        <v>Ô tô tự đổ 5 tấn396</v>
      </c>
      <c r="D900" s="630"/>
      <c r="E900" s="630"/>
      <c r="F900" s="630"/>
      <c r="G900" s="630"/>
    </row>
    <row r="901" spans="1:7" ht="18.75" x14ac:dyDescent="0.25">
      <c r="A901" s="629" t="s">
        <v>3081</v>
      </c>
      <c r="B901" s="630">
        <v>397</v>
      </c>
      <c r="C901" s="631" t="str">
        <f t="shared" si="17"/>
        <v>Ô tô tự đổ 5 tấn397</v>
      </c>
      <c r="D901" s="630"/>
      <c r="E901" s="630"/>
      <c r="F901" s="630"/>
      <c r="G901" s="630"/>
    </row>
    <row r="902" spans="1:7" ht="18.75" x14ac:dyDescent="0.25">
      <c r="A902" s="629" t="s">
        <v>3081</v>
      </c>
      <c r="B902" s="630">
        <v>398</v>
      </c>
      <c r="C902" s="631" t="str">
        <f t="shared" si="17"/>
        <v>Ô tô tự đổ 5 tấn398</v>
      </c>
      <c r="D902" s="630"/>
      <c r="E902" s="630"/>
      <c r="F902" s="630"/>
      <c r="G902" s="630"/>
    </row>
    <row r="903" spans="1:7" ht="18.75" x14ac:dyDescent="0.25">
      <c r="A903" s="629" t="s">
        <v>3081</v>
      </c>
      <c r="B903" s="630">
        <v>399</v>
      </c>
      <c r="C903" s="631" t="str">
        <f t="shared" si="17"/>
        <v>Ô tô tự đổ 5 tấn399</v>
      </c>
      <c r="D903" s="630"/>
      <c r="E903" s="630"/>
      <c r="F903" s="630"/>
      <c r="G903" s="630"/>
    </row>
    <row r="904" spans="1:7" ht="18.75" x14ac:dyDescent="0.25">
      <c r="A904" s="629" t="s">
        <v>3081</v>
      </c>
      <c r="B904" s="630">
        <v>400</v>
      </c>
      <c r="C904" s="631" t="str">
        <f t="shared" si="17"/>
        <v>Ô tô tự đổ 5 tấn400</v>
      </c>
      <c r="D904" s="630"/>
      <c r="E904" s="630"/>
      <c r="F904" s="630"/>
      <c r="G904" s="630"/>
    </row>
    <row r="905" spans="1:7" ht="18.75" x14ac:dyDescent="0.25">
      <c r="A905" s="629" t="s">
        <v>3081</v>
      </c>
      <c r="B905" s="630">
        <v>401</v>
      </c>
      <c r="C905" s="631" t="str">
        <f t="shared" si="17"/>
        <v>Ô tô tự đổ 5 tấn401</v>
      </c>
      <c r="D905" s="630"/>
      <c r="E905" s="630"/>
      <c r="F905" s="630"/>
      <c r="G905" s="630"/>
    </row>
    <row r="906" spans="1:7" ht="18.75" x14ac:dyDescent="0.25">
      <c r="A906" s="629" t="s">
        <v>3081</v>
      </c>
      <c r="B906" s="630">
        <v>402</v>
      </c>
      <c r="C906" s="631" t="str">
        <f t="shared" si="17"/>
        <v>Ô tô tự đổ 5 tấn402</v>
      </c>
      <c r="D906" s="630"/>
      <c r="E906" s="630"/>
      <c r="F906" s="630"/>
      <c r="G906" s="630"/>
    </row>
    <row r="907" spans="1:7" ht="18.75" x14ac:dyDescent="0.25">
      <c r="A907" s="629" t="s">
        <v>3081</v>
      </c>
      <c r="B907" s="630">
        <v>403</v>
      </c>
      <c r="C907" s="631" t="str">
        <f t="shared" si="17"/>
        <v>Ô tô tự đổ 5 tấn403</v>
      </c>
      <c r="D907" s="630"/>
      <c r="E907" s="630"/>
      <c r="F907" s="630"/>
      <c r="G907" s="630"/>
    </row>
    <row r="908" spans="1:7" ht="18.75" x14ac:dyDescent="0.25">
      <c r="A908" s="629" t="s">
        <v>3081</v>
      </c>
      <c r="B908" s="630">
        <v>404</v>
      </c>
      <c r="C908" s="631" t="str">
        <f t="shared" si="17"/>
        <v>Ô tô tự đổ 5 tấn404</v>
      </c>
      <c r="D908" s="630"/>
      <c r="E908" s="630"/>
      <c r="F908" s="630"/>
      <c r="G908" s="630"/>
    </row>
    <row r="909" spans="1:7" ht="18.75" x14ac:dyDescent="0.25">
      <c r="A909" s="629" t="s">
        <v>3081</v>
      </c>
      <c r="B909" s="630">
        <v>405</v>
      </c>
      <c r="C909" s="631" t="str">
        <f t="shared" si="17"/>
        <v>Ô tô tự đổ 5 tấn405</v>
      </c>
      <c r="D909" s="630"/>
      <c r="E909" s="630"/>
      <c r="F909" s="630"/>
      <c r="G909" s="630"/>
    </row>
    <row r="910" spans="1:7" ht="18.75" x14ac:dyDescent="0.25">
      <c r="A910" s="629" t="s">
        <v>3081</v>
      </c>
      <c r="B910" s="630">
        <v>406</v>
      </c>
      <c r="C910" s="631" t="str">
        <f t="shared" si="17"/>
        <v>Ô tô tự đổ 5 tấn406</v>
      </c>
      <c r="D910" s="630"/>
      <c r="E910" s="630"/>
      <c r="F910" s="630"/>
      <c r="G910" s="630"/>
    </row>
    <row r="911" spans="1:7" ht="18.75" x14ac:dyDescent="0.25">
      <c r="A911" s="629" t="s">
        <v>3081</v>
      </c>
      <c r="B911" s="630">
        <v>407</v>
      </c>
      <c r="C911" s="631" t="str">
        <f t="shared" si="17"/>
        <v>Ô tô tự đổ 5 tấn407</v>
      </c>
      <c r="D911" s="630"/>
      <c r="E911" s="630"/>
      <c r="F911" s="630"/>
      <c r="G911" s="630"/>
    </row>
    <row r="912" spans="1:7" ht="18.75" x14ac:dyDescent="0.25">
      <c r="A912" s="629" t="s">
        <v>3081</v>
      </c>
      <c r="B912" s="630">
        <v>408</v>
      </c>
      <c r="C912" s="631" t="str">
        <f t="shared" si="17"/>
        <v>Ô tô tự đổ 5 tấn408</v>
      </c>
      <c r="D912" s="630"/>
      <c r="E912" s="630"/>
      <c r="F912" s="630"/>
      <c r="G912" s="630"/>
    </row>
    <row r="913" spans="1:7" ht="18.75" x14ac:dyDescent="0.25">
      <c r="A913" s="629" t="s">
        <v>3081</v>
      </c>
      <c r="B913" s="630">
        <v>409</v>
      </c>
      <c r="C913" s="631" t="str">
        <f t="shared" si="17"/>
        <v>Ô tô tự đổ 5 tấn409</v>
      </c>
      <c r="D913" s="630"/>
      <c r="E913" s="630"/>
      <c r="F913" s="630"/>
      <c r="G913" s="630"/>
    </row>
    <row r="914" spans="1:7" ht="18.75" x14ac:dyDescent="0.25">
      <c r="A914" s="629" t="s">
        <v>3081</v>
      </c>
      <c r="B914" s="630">
        <v>410</v>
      </c>
      <c r="C914" s="631" t="str">
        <f t="shared" si="17"/>
        <v>Ô tô tự đổ 5 tấn410</v>
      </c>
      <c r="D914" s="630"/>
      <c r="E914" s="630"/>
      <c r="F914" s="630"/>
      <c r="G914" s="630"/>
    </row>
    <row r="915" spans="1:7" ht="18.75" x14ac:dyDescent="0.25">
      <c r="A915" s="629" t="s">
        <v>3081</v>
      </c>
      <c r="B915" s="630">
        <v>411</v>
      </c>
      <c r="C915" s="631" t="str">
        <f t="shared" si="17"/>
        <v>Ô tô tự đổ 5 tấn411</v>
      </c>
      <c r="D915" s="630"/>
      <c r="E915" s="630"/>
      <c r="F915" s="630"/>
      <c r="G915" s="630"/>
    </row>
    <row r="916" spans="1:7" ht="18.75" x14ac:dyDescent="0.25">
      <c r="A916" s="629" t="s">
        <v>3081</v>
      </c>
      <c r="B916" s="630">
        <v>412</v>
      </c>
      <c r="C916" s="631" t="str">
        <f t="shared" si="17"/>
        <v>Ô tô tự đổ 5 tấn412</v>
      </c>
      <c r="D916" s="630"/>
      <c r="E916" s="630"/>
      <c r="F916" s="630"/>
      <c r="G916" s="630"/>
    </row>
    <row r="917" spans="1:7" ht="18.75" x14ac:dyDescent="0.25">
      <c r="A917" s="629" t="s">
        <v>3081</v>
      </c>
      <c r="B917" s="630">
        <v>413</v>
      </c>
      <c r="C917" s="631" t="str">
        <f t="shared" si="17"/>
        <v>Ô tô tự đổ 5 tấn413</v>
      </c>
      <c r="D917" s="630"/>
      <c r="E917" s="630"/>
      <c r="F917" s="630"/>
      <c r="G917" s="630"/>
    </row>
    <row r="918" spans="1:7" ht="18.75" x14ac:dyDescent="0.25">
      <c r="A918" s="629" t="s">
        <v>3081</v>
      </c>
      <c r="B918" s="630">
        <v>414</v>
      </c>
      <c r="C918" s="631" t="str">
        <f t="shared" si="17"/>
        <v>Ô tô tự đổ 5 tấn414</v>
      </c>
      <c r="D918" s="630"/>
      <c r="E918" s="630"/>
      <c r="F918" s="630"/>
      <c r="G918" s="630"/>
    </row>
    <row r="919" spans="1:7" ht="18.75" x14ac:dyDescent="0.25">
      <c r="A919" s="629" t="s">
        <v>3081</v>
      </c>
      <c r="B919" s="630">
        <v>415</v>
      </c>
      <c r="C919" s="631" t="str">
        <f t="shared" si="17"/>
        <v>Ô tô tự đổ 5 tấn415</v>
      </c>
      <c r="D919" s="630"/>
      <c r="E919" s="630"/>
      <c r="F919" s="630"/>
      <c r="G919" s="630"/>
    </row>
    <row r="920" spans="1:7" ht="18.75" x14ac:dyDescent="0.25">
      <c r="A920" s="629" t="s">
        <v>3081</v>
      </c>
      <c r="B920" s="630">
        <v>416</v>
      </c>
      <c r="C920" s="631" t="str">
        <f t="shared" si="17"/>
        <v>Ô tô tự đổ 5 tấn416</v>
      </c>
      <c r="D920" s="630"/>
      <c r="E920" s="630"/>
      <c r="F920" s="630"/>
      <c r="G920" s="630"/>
    </row>
    <row r="921" spans="1:7" ht="18.75" x14ac:dyDescent="0.25">
      <c r="A921" s="629" t="s">
        <v>3081</v>
      </c>
      <c r="B921" s="630">
        <v>417</v>
      </c>
      <c r="C921" s="631" t="str">
        <f t="shared" si="17"/>
        <v>Ô tô tự đổ 5 tấn417</v>
      </c>
      <c r="D921" s="630"/>
      <c r="E921" s="630"/>
      <c r="F921" s="630"/>
      <c r="G921" s="630"/>
    </row>
    <row r="922" spans="1:7" ht="18.75" x14ac:dyDescent="0.25">
      <c r="A922" s="629" t="s">
        <v>3081</v>
      </c>
      <c r="B922" s="630">
        <v>418</v>
      </c>
      <c r="C922" s="631" t="str">
        <f t="shared" si="17"/>
        <v>Ô tô tự đổ 5 tấn418</v>
      </c>
      <c r="D922" s="630"/>
      <c r="E922" s="630"/>
      <c r="F922" s="630"/>
      <c r="G922" s="630"/>
    </row>
    <row r="923" spans="1:7" ht="18.75" x14ac:dyDescent="0.25">
      <c r="A923" s="629" t="s">
        <v>3081</v>
      </c>
      <c r="B923" s="630">
        <v>419</v>
      </c>
      <c r="C923" s="631" t="str">
        <f t="shared" si="17"/>
        <v>Ô tô tự đổ 5 tấn419</v>
      </c>
      <c r="D923" s="630"/>
      <c r="E923" s="630"/>
      <c r="F923" s="630"/>
      <c r="G923" s="630"/>
    </row>
    <row r="924" spans="1:7" ht="18.75" x14ac:dyDescent="0.25">
      <c r="A924" s="629" t="s">
        <v>3081</v>
      </c>
      <c r="B924" s="630">
        <v>420</v>
      </c>
      <c r="C924" s="631" t="str">
        <f t="shared" si="17"/>
        <v>Ô tô tự đổ 5 tấn420</v>
      </c>
      <c r="D924" s="630"/>
      <c r="E924" s="630"/>
      <c r="F924" s="630"/>
      <c r="G924" s="630"/>
    </row>
    <row r="925" spans="1:7" ht="18.75" x14ac:dyDescent="0.25">
      <c r="A925" s="629" t="s">
        <v>3081</v>
      </c>
      <c r="B925" s="630">
        <v>421</v>
      </c>
      <c r="C925" s="631" t="str">
        <f t="shared" si="17"/>
        <v>Ô tô tự đổ 5 tấn421</v>
      </c>
      <c r="D925" s="630"/>
      <c r="E925" s="630"/>
      <c r="F925" s="630"/>
      <c r="G925" s="630"/>
    </row>
    <row r="926" spans="1:7" ht="18.75" x14ac:dyDescent="0.25">
      <c r="A926" s="629" t="s">
        <v>3081</v>
      </c>
      <c r="B926" s="630">
        <v>422</v>
      </c>
      <c r="C926" s="631" t="str">
        <f t="shared" si="17"/>
        <v>Ô tô tự đổ 5 tấn422</v>
      </c>
      <c r="D926" s="630"/>
      <c r="E926" s="630"/>
      <c r="F926" s="630"/>
      <c r="G926" s="630"/>
    </row>
    <row r="927" spans="1:7" ht="18.75" x14ac:dyDescent="0.25">
      <c r="A927" s="629" t="s">
        <v>3081</v>
      </c>
      <c r="B927" s="630">
        <v>423</v>
      </c>
      <c r="C927" s="631" t="str">
        <f t="shared" si="17"/>
        <v>Ô tô tự đổ 5 tấn423</v>
      </c>
      <c r="D927" s="630"/>
      <c r="E927" s="630"/>
      <c r="F927" s="630"/>
      <c r="G927" s="630"/>
    </row>
    <row r="928" spans="1:7" ht="18.75" x14ac:dyDescent="0.25">
      <c r="A928" s="629" t="s">
        <v>3081</v>
      </c>
      <c r="B928" s="630">
        <v>424</v>
      </c>
      <c r="C928" s="631" t="str">
        <f t="shared" si="17"/>
        <v>Ô tô tự đổ 5 tấn424</v>
      </c>
      <c r="D928" s="630"/>
      <c r="E928" s="630"/>
      <c r="F928" s="630"/>
      <c r="G928" s="630"/>
    </row>
    <row r="929" spans="1:7" ht="18.75" x14ac:dyDescent="0.25">
      <c r="A929" s="629" t="s">
        <v>3081</v>
      </c>
      <c r="B929" s="630">
        <v>425</v>
      </c>
      <c r="C929" s="631" t="str">
        <f t="shared" si="17"/>
        <v>Ô tô tự đổ 5 tấn425</v>
      </c>
      <c r="D929" s="630"/>
      <c r="E929" s="630"/>
      <c r="F929" s="630"/>
      <c r="G929" s="630"/>
    </row>
    <row r="930" spans="1:7" ht="18.75" x14ac:dyDescent="0.25">
      <c r="A930" s="629" t="s">
        <v>3081</v>
      </c>
      <c r="B930" s="630">
        <v>426</v>
      </c>
      <c r="C930" s="631" t="str">
        <f t="shared" si="17"/>
        <v>Ô tô tự đổ 5 tấn426</v>
      </c>
      <c r="D930" s="630"/>
      <c r="E930" s="630"/>
      <c r="F930" s="630"/>
      <c r="G930" s="630"/>
    </row>
    <row r="931" spans="1:7" ht="18.75" x14ac:dyDescent="0.25">
      <c r="A931" s="629" t="s">
        <v>3081</v>
      </c>
      <c r="B931" s="630">
        <v>427</v>
      </c>
      <c r="C931" s="631" t="str">
        <f t="shared" si="17"/>
        <v>Ô tô tự đổ 5 tấn427</v>
      </c>
      <c r="D931" s="630"/>
      <c r="E931" s="630"/>
      <c r="F931" s="630"/>
      <c r="G931" s="630"/>
    </row>
    <row r="932" spans="1:7" ht="18.75" x14ac:dyDescent="0.25">
      <c r="A932" s="629" t="s">
        <v>3081</v>
      </c>
      <c r="B932" s="630">
        <v>428</v>
      </c>
      <c r="C932" s="631" t="str">
        <f t="shared" si="17"/>
        <v>Ô tô tự đổ 5 tấn428</v>
      </c>
      <c r="D932" s="630"/>
      <c r="E932" s="630"/>
      <c r="F932" s="630"/>
      <c r="G932" s="630"/>
    </row>
    <row r="933" spans="1:7" ht="18.75" x14ac:dyDescent="0.25">
      <c r="A933" s="629" t="s">
        <v>3081</v>
      </c>
      <c r="B933" s="630">
        <v>429</v>
      </c>
      <c r="C933" s="631" t="str">
        <f t="shared" si="17"/>
        <v>Ô tô tự đổ 5 tấn429</v>
      </c>
      <c r="D933" s="630"/>
      <c r="E933" s="630"/>
      <c r="F933" s="630"/>
      <c r="G933" s="630"/>
    </row>
    <row r="934" spans="1:7" ht="18.75" x14ac:dyDescent="0.25">
      <c r="A934" s="629" t="s">
        <v>3081</v>
      </c>
      <c r="B934" s="630">
        <v>430</v>
      </c>
      <c r="C934" s="631" t="str">
        <f t="shared" si="17"/>
        <v>Ô tô tự đổ 5 tấn430</v>
      </c>
      <c r="D934" s="630"/>
      <c r="E934" s="630"/>
      <c r="F934" s="630"/>
      <c r="G934" s="630"/>
    </row>
    <row r="935" spans="1:7" ht="18.75" x14ac:dyDescent="0.25">
      <c r="A935" s="629" t="s">
        <v>3081</v>
      </c>
      <c r="B935" s="630">
        <v>431</v>
      </c>
      <c r="C935" s="631" t="str">
        <f t="shared" si="17"/>
        <v>Ô tô tự đổ 5 tấn431</v>
      </c>
      <c r="D935" s="630"/>
      <c r="E935" s="630"/>
      <c r="F935" s="630"/>
      <c r="G935" s="630"/>
    </row>
    <row r="936" spans="1:7" ht="18.75" x14ac:dyDescent="0.25">
      <c r="A936" s="629" t="s">
        <v>3081</v>
      </c>
      <c r="B936" s="630">
        <v>432</v>
      </c>
      <c r="C936" s="631" t="str">
        <f t="shared" si="17"/>
        <v>Ô tô tự đổ 5 tấn432</v>
      </c>
      <c r="D936" s="630"/>
      <c r="E936" s="630"/>
      <c r="F936" s="630"/>
      <c r="G936" s="630"/>
    </row>
    <row r="937" spans="1:7" ht="18.75" x14ac:dyDescent="0.25">
      <c r="A937" s="629" t="s">
        <v>3081</v>
      </c>
      <c r="B937" s="630">
        <v>433</v>
      </c>
      <c r="C937" s="631" t="str">
        <f t="shared" si="17"/>
        <v>Ô tô tự đổ 5 tấn433</v>
      </c>
      <c r="D937" s="630"/>
      <c r="E937" s="630"/>
      <c r="F937" s="630"/>
      <c r="G937" s="630"/>
    </row>
    <row r="938" spans="1:7" ht="18.75" x14ac:dyDescent="0.25">
      <c r="A938" s="629" t="s">
        <v>3081</v>
      </c>
      <c r="B938" s="630">
        <v>434</v>
      </c>
      <c r="C938" s="631" t="str">
        <f t="shared" si="17"/>
        <v>Ô tô tự đổ 5 tấn434</v>
      </c>
      <c r="D938" s="630"/>
      <c r="E938" s="630"/>
      <c r="F938" s="630"/>
      <c r="G938" s="630"/>
    </row>
    <row r="939" spans="1:7" ht="18.75" x14ac:dyDescent="0.25">
      <c r="A939" s="629" t="s">
        <v>3081</v>
      </c>
      <c r="B939" s="630">
        <v>435</v>
      </c>
      <c r="C939" s="631" t="str">
        <f t="shared" si="17"/>
        <v>Ô tô tự đổ 5 tấn435</v>
      </c>
      <c r="D939" s="630"/>
      <c r="E939" s="630"/>
      <c r="F939" s="630"/>
      <c r="G939" s="630"/>
    </row>
    <row r="940" spans="1:7" ht="18.75" x14ac:dyDescent="0.25">
      <c r="A940" s="629" t="s">
        <v>3081</v>
      </c>
      <c r="B940" s="630">
        <v>436</v>
      </c>
      <c r="C940" s="631" t="str">
        <f t="shared" si="17"/>
        <v>Ô tô tự đổ 5 tấn436</v>
      </c>
      <c r="D940" s="630"/>
      <c r="E940" s="630"/>
      <c r="F940" s="630"/>
      <c r="G940" s="630"/>
    </row>
    <row r="941" spans="1:7" ht="18.75" x14ac:dyDescent="0.25">
      <c r="A941" s="629" t="s">
        <v>3081</v>
      </c>
      <c r="B941" s="630">
        <v>437</v>
      </c>
      <c r="C941" s="631" t="str">
        <f t="shared" si="17"/>
        <v>Ô tô tự đổ 5 tấn437</v>
      </c>
      <c r="D941" s="630"/>
      <c r="E941" s="630"/>
      <c r="F941" s="630"/>
      <c r="G941" s="630"/>
    </row>
    <row r="942" spans="1:7" ht="18.75" x14ac:dyDescent="0.25">
      <c r="A942" s="629" t="s">
        <v>3081</v>
      </c>
      <c r="B942" s="630">
        <v>438</v>
      </c>
      <c r="C942" s="631" t="str">
        <f t="shared" si="17"/>
        <v>Ô tô tự đổ 5 tấn438</v>
      </c>
      <c r="D942" s="630"/>
      <c r="E942" s="630"/>
      <c r="F942" s="630"/>
      <c r="G942" s="630"/>
    </row>
    <row r="943" spans="1:7" ht="18.75" x14ac:dyDescent="0.25">
      <c r="A943" s="629" t="s">
        <v>3081</v>
      </c>
      <c r="B943" s="630">
        <v>439</v>
      </c>
      <c r="C943" s="631" t="str">
        <f t="shared" si="17"/>
        <v>Ô tô tự đổ 5 tấn439</v>
      </c>
      <c r="D943" s="630"/>
      <c r="E943" s="630"/>
      <c r="F943" s="630"/>
      <c r="G943" s="630"/>
    </row>
    <row r="944" spans="1:7" ht="18.75" x14ac:dyDescent="0.25">
      <c r="A944" s="629" t="s">
        <v>3081</v>
      </c>
      <c r="B944" s="630">
        <v>440</v>
      </c>
      <c r="C944" s="631" t="str">
        <f t="shared" si="17"/>
        <v>Ô tô tự đổ 5 tấn440</v>
      </c>
      <c r="D944" s="630"/>
      <c r="E944" s="630"/>
      <c r="F944" s="630"/>
      <c r="G944" s="630"/>
    </row>
    <row r="945" spans="1:7" ht="18.75" x14ac:dyDescent="0.25">
      <c r="A945" s="629" t="s">
        <v>3081</v>
      </c>
      <c r="B945" s="630">
        <v>441</v>
      </c>
      <c r="C945" s="631" t="str">
        <f t="shared" si="17"/>
        <v>Ô tô tự đổ 5 tấn441</v>
      </c>
      <c r="D945" s="630"/>
      <c r="E945" s="630"/>
      <c r="F945" s="630"/>
      <c r="G945" s="630"/>
    </row>
    <row r="946" spans="1:7" ht="18.75" x14ac:dyDescent="0.25">
      <c r="A946" s="629" t="s">
        <v>3081</v>
      </c>
      <c r="B946" s="630">
        <v>442</v>
      </c>
      <c r="C946" s="631" t="str">
        <f t="shared" si="17"/>
        <v>Ô tô tự đổ 5 tấn442</v>
      </c>
      <c r="D946" s="630"/>
      <c r="E946" s="630"/>
      <c r="F946" s="630"/>
      <c r="G946" s="630"/>
    </row>
    <row r="947" spans="1:7" ht="18.75" x14ac:dyDescent="0.25">
      <c r="A947" s="629" t="s">
        <v>3081</v>
      </c>
      <c r="B947" s="630">
        <v>443</v>
      </c>
      <c r="C947" s="631" t="str">
        <f t="shared" si="17"/>
        <v>Ô tô tự đổ 5 tấn443</v>
      </c>
      <c r="D947" s="630"/>
      <c r="E947" s="630"/>
      <c r="F947" s="630"/>
      <c r="G947" s="630"/>
    </row>
    <row r="948" spans="1:7" ht="18.75" x14ac:dyDescent="0.25">
      <c r="A948" s="629" t="s">
        <v>3081</v>
      </c>
      <c r="B948" s="630">
        <v>444</v>
      </c>
      <c r="C948" s="631" t="str">
        <f t="shared" si="17"/>
        <v>Ô tô tự đổ 5 tấn444</v>
      </c>
      <c r="D948" s="630"/>
      <c r="E948" s="630"/>
      <c r="F948" s="630"/>
      <c r="G948" s="630"/>
    </row>
    <row r="949" spans="1:7" ht="18.75" x14ac:dyDescent="0.25">
      <c r="A949" s="629" t="s">
        <v>3081</v>
      </c>
      <c r="B949" s="630">
        <v>445</v>
      </c>
      <c r="C949" s="631" t="str">
        <f t="shared" si="17"/>
        <v>Ô tô tự đổ 5 tấn445</v>
      </c>
      <c r="D949" s="630"/>
      <c r="E949" s="630"/>
      <c r="F949" s="630"/>
      <c r="G949" s="630"/>
    </row>
    <row r="950" spans="1:7" ht="18.75" x14ac:dyDescent="0.25">
      <c r="A950" s="629" t="s">
        <v>3081</v>
      </c>
      <c r="B950" s="630">
        <v>446</v>
      </c>
      <c r="C950" s="631" t="str">
        <f t="shared" si="17"/>
        <v>Ô tô tự đổ 5 tấn446</v>
      </c>
      <c r="D950" s="630"/>
      <c r="E950" s="630"/>
      <c r="F950" s="630"/>
      <c r="G950" s="630"/>
    </row>
    <row r="951" spans="1:7" ht="18.75" x14ac:dyDescent="0.25">
      <c r="A951" s="629" t="s">
        <v>3081</v>
      </c>
      <c r="B951" s="630">
        <v>447</v>
      </c>
      <c r="C951" s="631" t="str">
        <f t="shared" si="17"/>
        <v>Ô tô tự đổ 5 tấn447</v>
      </c>
      <c r="D951" s="630"/>
      <c r="E951" s="630"/>
      <c r="F951" s="630"/>
      <c r="G951" s="630"/>
    </row>
    <row r="952" spans="1:7" ht="18.75" x14ac:dyDescent="0.25">
      <c r="A952" s="629" t="s">
        <v>3081</v>
      </c>
      <c r="B952" s="630">
        <v>448</v>
      </c>
      <c r="C952" s="631" t="str">
        <f t="shared" si="17"/>
        <v>Ô tô tự đổ 5 tấn448</v>
      </c>
      <c r="D952" s="630"/>
      <c r="E952" s="630"/>
      <c r="F952" s="630"/>
      <c r="G952" s="630"/>
    </row>
    <row r="953" spans="1:7" ht="18.75" x14ac:dyDescent="0.25">
      <c r="A953" s="629" t="s">
        <v>3081</v>
      </c>
      <c r="B953" s="630">
        <v>449</v>
      </c>
      <c r="C953" s="631" t="str">
        <f t="shared" si="17"/>
        <v>Ô tô tự đổ 5 tấn449</v>
      </c>
      <c r="D953" s="630"/>
      <c r="E953" s="630"/>
      <c r="F953" s="630"/>
      <c r="G953" s="630"/>
    </row>
    <row r="954" spans="1:7" ht="18.75" x14ac:dyDescent="0.25">
      <c r="A954" s="629" t="s">
        <v>3081</v>
      </c>
      <c r="B954" s="630">
        <v>450</v>
      </c>
      <c r="C954" s="631" t="str">
        <f t="shared" ref="C954:C1004" si="18">A954&amp;B954</f>
        <v>Ô tô tự đổ 5 tấn450</v>
      </c>
      <c r="D954" s="630"/>
      <c r="E954" s="630"/>
      <c r="F954" s="630"/>
      <c r="G954" s="630"/>
    </row>
    <row r="955" spans="1:7" ht="18.75" x14ac:dyDescent="0.25">
      <c r="A955" s="629" t="s">
        <v>3081</v>
      </c>
      <c r="B955" s="630">
        <v>451</v>
      </c>
      <c r="C955" s="631" t="str">
        <f t="shared" si="18"/>
        <v>Ô tô tự đổ 5 tấn451</v>
      </c>
      <c r="D955" s="630"/>
      <c r="E955" s="630"/>
      <c r="F955" s="630"/>
      <c r="G955" s="630"/>
    </row>
    <row r="956" spans="1:7" ht="18.75" x14ac:dyDescent="0.25">
      <c r="A956" s="629" t="s">
        <v>3081</v>
      </c>
      <c r="B956" s="630">
        <v>452</v>
      </c>
      <c r="C956" s="631" t="str">
        <f t="shared" si="18"/>
        <v>Ô tô tự đổ 5 tấn452</v>
      </c>
      <c r="D956" s="630"/>
      <c r="E956" s="630"/>
      <c r="F956" s="630"/>
      <c r="G956" s="630"/>
    </row>
    <row r="957" spans="1:7" ht="18.75" x14ac:dyDescent="0.25">
      <c r="A957" s="629" t="s">
        <v>3081</v>
      </c>
      <c r="B957" s="630">
        <v>453</v>
      </c>
      <c r="C957" s="631" t="str">
        <f t="shared" si="18"/>
        <v>Ô tô tự đổ 5 tấn453</v>
      </c>
      <c r="D957" s="630"/>
      <c r="E957" s="630"/>
      <c r="F957" s="630"/>
      <c r="G957" s="630"/>
    </row>
    <row r="958" spans="1:7" ht="18.75" x14ac:dyDescent="0.25">
      <c r="A958" s="629" t="s">
        <v>3081</v>
      </c>
      <c r="B958" s="630">
        <v>454</v>
      </c>
      <c r="C958" s="631" t="str">
        <f t="shared" si="18"/>
        <v>Ô tô tự đổ 5 tấn454</v>
      </c>
      <c r="D958" s="630"/>
      <c r="E958" s="630"/>
      <c r="F958" s="630"/>
      <c r="G958" s="630"/>
    </row>
    <row r="959" spans="1:7" ht="18.75" x14ac:dyDescent="0.25">
      <c r="A959" s="629" t="s">
        <v>3081</v>
      </c>
      <c r="B959" s="630">
        <v>455</v>
      </c>
      <c r="C959" s="631" t="str">
        <f t="shared" si="18"/>
        <v>Ô tô tự đổ 5 tấn455</v>
      </c>
      <c r="D959" s="630"/>
      <c r="E959" s="630"/>
      <c r="F959" s="630"/>
      <c r="G959" s="630"/>
    </row>
    <row r="960" spans="1:7" ht="18.75" x14ac:dyDescent="0.25">
      <c r="A960" s="629" t="s">
        <v>3081</v>
      </c>
      <c r="B960" s="630">
        <v>456</v>
      </c>
      <c r="C960" s="631" t="str">
        <f t="shared" si="18"/>
        <v>Ô tô tự đổ 5 tấn456</v>
      </c>
      <c r="D960" s="630"/>
      <c r="E960" s="630"/>
      <c r="F960" s="630"/>
      <c r="G960" s="630"/>
    </row>
    <row r="961" spans="1:7" ht="18.75" x14ac:dyDescent="0.25">
      <c r="A961" s="629" t="s">
        <v>3081</v>
      </c>
      <c r="B961" s="630">
        <v>457</v>
      </c>
      <c r="C961" s="631" t="str">
        <f t="shared" si="18"/>
        <v>Ô tô tự đổ 5 tấn457</v>
      </c>
      <c r="D961" s="630"/>
      <c r="E961" s="630"/>
      <c r="F961" s="630"/>
      <c r="G961" s="630"/>
    </row>
    <row r="962" spans="1:7" ht="18.75" x14ac:dyDescent="0.25">
      <c r="A962" s="629" t="s">
        <v>3081</v>
      </c>
      <c r="B962" s="630">
        <v>458</v>
      </c>
      <c r="C962" s="631" t="str">
        <f t="shared" si="18"/>
        <v>Ô tô tự đổ 5 tấn458</v>
      </c>
      <c r="D962" s="630"/>
      <c r="E962" s="630"/>
      <c r="F962" s="630"/>
      <c r="G962" s="630"/>
    </row>
    <row r="963" spans="1:7" ht="18.75" x14ac:dyDescent="0.25">
      <c r="A963" s="629" t="s">
        <v>3081</v>
      </c>
      <c r="B963" s="630">
        <v>459</v>
      </c>
      <c r="C963" s="631" t="str">
        <f t="shared" si="18"/>
        <v>Ô tô tự đổ 5 tấn459</v>
      </c>
      <c r="D963" s="630"/>
      <c r="E963" s="630"/>
      <c r="F963" s="630"/>
      <c r="G963" s="630"/>
    </row>
    <row r="964" spans="1:7" ht="18.75" x14ac:dyDescent="0.25">
      <c r="A964" s="629" t="s">
        <v>3081</v>
      </c>
      <c r="B964" s="630">
        <v>460</v>
      </c>
      <c r="C964" s="631" t="str">
        <f t="shared" si="18"/>
        <v>Ô tô tự đổ 5 tấn460</v>
      </c>
      <c r="D964" s="630"/>
      <c r="E964" s="630"/>
      <c r="F964" s="630"/>
      <c r="G964" s="630"/>
    </row>
    <row r="965" spans="1:7" ht="18.75" x14ac:dyDescent="0.25">
      <c r="A965" s="629" t="s">
        <v>3081</v>
      </c>
      <c r="B965" s="630">
        <v>461</v>
      </c>
      <c r="C965" s="631" t="str">
        <f t="shared" si="18"/>
        <v>Ô tô tự đổ 5 tấn461</v>
      </c>
      <c r="D965" s="630"/>
      <c r="E965" s="630"/>
      <c r="F965" s="630"/>
      <c r="G965" s="630"/>
    </row>
    <row r="966" spans="1:7" ht="18.75" x14ac:dyDescent="0.25">
      <c r="A966" s="629" t="s">
        <v>3081</v>
      </c>
      <c r="B966" s="630">
        <v>462</v>
      </c>
      <c r="C966" s="631" t="str">
        <f t="shared" si="18"/>
        <v>Ô tô tự đổ 5 tấn462</v>
      </c>
      <c r="D966" s="630"/>
      <c r="E966" s="630"/>
      <c r="F966" s="630"/>
      <c r="G966" s="630"/>
    </row>
    <row r="967" spans="1:7" ht="18.75" x14ac:dyDescent="0.25">
      <c r="A967" s="629" t="s">
        <v>3081</v>
      </c>
      <c r="B967" s="630">
        <v>463</v>
      </c>
      <c r="C967" s="631" t="str">
        <f t="shared" si="18"/>
        <v>Ô tô tự đổ 5 tấn463</v>
      </c>
      <c r="D967" s="630"/>
      <c r="E967" s="630"/>
      <c r="F967" s="630"/>
      <c r="G967" s="630"/>
    </row>
    <row r="968" spans="1:7" ht="18.75" x14ac:dyDescent="0.25">
      <c r="A968" s="629" t="s">
        <v>3081</v>
      </c>
      <c r="B968" s="630">
        <v>464</v>
      </c>
      <c r="C968" s="631" t="str">
        <f t="shared" si="18"/>
        <v>Ô tô tự đổ 5 tấn464</v>
      </c>
      <c r="D968" s="630"/>
      <c r="E968" s="630"/>
      <c r="F968" s="630"/>
      <c r="G968" s="630"/>
    </row>
    <row r="969" spans="1:7" ht="18.75" x14ac:dyDescent="0.25">
      <c r="A969" s="629" t="s">
        <v>3081</v>
      </c>
      <c r="B969" s="630">
        <v>465</v>
      </c>
      <c r="C969" s="631" t="str">
        <f t="shared" si="18"/>
        <v>Ô tô tự đổ 5 tấn465</v>
      </c>
      <c r="D969" s="630"/>
      <c r="E969" s="630"/>
      <c r="F969" s="630"/>
      <c r="G969" s="630"/>
    </row>
    <row r="970" spans="1:7" ht="18.75" x14ac:dyDescent="0.25">
      <c r="A970" s="629" t="s">
        <v>3081</v>
      </c>
      <c r="B970" s="630">
        <v>466</v>
      </c>
      <c r="C970" s="631" t="str">
        <f t="shared" si="18"/>
        <v>Ô tô tự đổ 5 tấn466</v>
      </c>
      <c r="D970" s="630"/>
      <c r="E970" s="630"/>
      <c r="F970" s="630"/>
      <c r="G970" s="630"/>
    </row>
    <row r="971" spans="1:7" ht="18.75" x14ac:dyDescent="0.25">
      <c r="A971" s="629" t="s">
        <v>3081</v>
      </c>
      <c r="B971" s="630">
        <v>467</v>
      </c>
      <c r="C971" s="631" t="str">
        <f t="shared" si="18"/>
        <v>Ô tô tự đổ 5 tấn467</v>
      </c>
      <c r="D971" s="630"/>
      <c r="E971" s="630"/>
      <c r="F971" s="630"/>
      <c r="G971" s="630"/>
    </row>
    <row r="972" spans="1:7" ht="18.75" x14ac:dyDescent="0.25">
      <c r="A972" s="629" t="s">
        <v>3081</v>
      </c>
      <c r="B972" s="630">
        <v>468</v>
      </c>
      <c r="C972" s="631" t="str">
        <f t="shared" si="18"/>
        <v>Ô tô tự đổ 5 tấn468</v>
      </c>
      <c r="D972" s="630"/>
      <c r="E972" s="630"/>
      <c r="F972" s="630"/>
      <c r="G972" s="630"/>
    </row>
    <row r="973" spans="1:7" ht="18.75" x14ac:dyDescent="0.25">
      <c r="A973" s="629" t="s">
        <v>3081</v>
      </c>
      <c r="B973" s="630">
        <v>469</v>
      </c>
      <c r="C973" s="631" t="str">
        <f t="shared" si="18"/>
        <v>Ô tô tự đổ 5 tấn469</v>
      </c>
      <c r="D973" s="630"/>
      <c r="E973" s="630"/>
      <c r="F973" s="630"/>
      <c r="G973" s="630"/>
    </row>
    <row r="974" spans="1:7" ht="18.75" x14ac:dyDescent="0.25">
      <c r="A974" s="629" t="s">
        <v>3081</v>
      </c>
      <c r="B974" s="630">
        <v>470</v>
      </c>
      <c r="C974" s="631" t="str">
        <f t="shared" si="18"/>
        <v>Ô tô tự đổ 5 tấn470</v>
      </c>
      <c r="D974" s="630"/>
      <c r="E974" s="630"/>
      <c r="F974" s="630"/>
      <c r="G974" s="630"/>
    </row>
    <row r="975" spans="1:7" ht="18.75" x14ac:dyDescent="0.25">
      <c r="A975" s="629" t="s">
        <v>3081</v>
      </c>
      <c r="B975" s="630">
        <v>471</v>
      </c>
      <c r="C975" s="631" t="str">
        <f t="shared" si="18"/>
        <v>Ô tô tự đổ 5 tấn471</v>
      </c>
      <c r="D975" s="630"/>
      <c r="E975" s="630"/>
      <c r="F975" s="630"/>
      <c r="G975" s="630"/>
    </row>
    <row r="976" spans="1:7" ht="18.75" x14ac:dyDescent="0.25">
      <c r="A976" s="629" t="s">
        <v>3081</v>
      </c>
      <c r="B976" s="630">
        <v>472</v>
      </c>
      <c r="C976" s="631" t="str">
        <f t="shared" si="18"/>
        <v>Ô tô tự đổ 5 tấn472</v>
      </c>
      <c r="D976" s="630"/>
      <c r="E976" s="630"/>
      <c r="F976" s="630"/>
      <c r="G976" s="630"/>
    </row>
    <row r="977" spans="1:7" ht="18.75" x14ac:dyDescent="0.25">
      <c r="A977" s="629" t="s">
        <v>3081</v>
      </c>
      <c r="B977" s="630">
        <v>473</v>
      </c>
      <c r="C977" s="631" t="str">
        <f t="shared" si="18"/>
        <v>Ô tô tự đổ 5 tấn473</v>
      </c>
      <c r="D977" s="630"/>
      <c r="E977" s="630"/>
      <c r="F977" s="630"/>
      <c r="G977" s="630"/>
    </row>
    <row r="978" spans="1:7" ht="18.75" x14ac:dyDescent="0.25">
      <c r="A978" s="629" t="s">
        <v>3081</v>
      </c>
      <c r="B978" s="630">
        <v>474</v>
      </c>
      <c r="C978" s="631" t="str">
        <f t="shared" si="18"/>
        <v>Ô tô tự đổ 5 tấn474</v>
      </c>
      <c r="D978" s="630"/>
      <c r="E978" s="630"/>
      <c r="F978" s="630"/>
      <c r="G978" s="630"/>
    </row>
    <row r="979" spans="1:7" ht="18.75" x14ac:dyDescent="0.25">
      <c r="A979" s="629" t="s">
        <v>3081</v>
      </c>
      <c r="B979" s="630">
        <v>475</v>
      </c>
      <c r="C979" s="631" t="str">
        <f t="shared" si="18"/>
        <v>Ô tô tự đổ 5 tấn475</v>
      </c>
      <c r="D979" s="630"/>
      <c r="E979" s="630"/>
      <c r="F979" s="630"/>
      <c r="G979" s="630"/>
    </row>
    <row r="980" spans="1:7" ht="18.75" x14ac:dyDescent="0.25">
      <c r="A980" s="629" t="s">
        <v>3081</v>
      </c>
      <c r="B980" s="630">
        <v>476</v>
      </c>
      <c r="C980" s="631" t="str">
        <f t="shared" si="18"/>
        <v>Ô tô tự đổ 5 tấn476</v>
      </c>
      <c r="D980" s="630"/>
      <c r="E980" s="630"/>
      <c r="F980" s="630"/>
      <c r="G980" s="630"/>
    </row>
    <row r="981" spans="1:7" ht="18.75" x14ac:dyDescent="0.25">
      <c r="A981" s="629" t="s">
        <v>3081</v>
      </c>
      <c r="B981" s="630">
        <v>477</v>
      </c>
      <c r="C981" s="631" t="str">
        <f t="shared" si="18"/>
        <v>Ô tô tự đổ 5 tấn477</v>
      </c>
      <c r="D981" s="630"/>
      <c r="E981" s="630"/>
      <c r="F981" s="630"/>
      <c r="G981" s="630"/>
    </row>
    <row r="982" spans="1:7" ht="18.75" x14ac:dyDescent="0.25">
      <c r="A982" s="629" t="s">
        <v>3081</v>
      </c>
      <c r="B982" s="630">
        <v>478</v>
      </c>
      <c r="C982" s="631" t="str">
        <f t="shared" si="18"/>
        <v>Ô tô tự đổ 5 tấn478</v>
      </c>
      <c r="D982" s="630"/>
      <c r="E982" s="630"/>
      <c r="F982" s="630"/>
      <c r="G982" s="630"/>
    </row>
    <row r="983" spans="1:7" ht="18.75" x14ac:dyDescent="0.25">
      <c r="A983" s="629" t="s">
        <v>3081</v>
      </c>
      <c r="B983" s="630">
        <v>479</v>
      </c>
      <c r="C983" s="631" t="str">
        <f t="shared" si="18"/>
        <v>Ô tô tự đổ 5 tấn479</v>
      </c>
      <c r="D983" s="630"/>
      <c r="E983" s="630"/>
      <c r="F983" s="630"/>
      <c r="G983" s="630"/>
    </row>
    <row r="984" spans="1:7" ht="18.75" x14ac:dyDescent="0.25">
      <c r="A984" s="629" t="s">
        <v>3081</v>
      </c>
      <c r="B984" s="630">
        <v>480</v>
      </c>
      <c r="C984" s="631" t="str">
        <f t="shared" si="18"/>
        <v>Ô tô tự đổ 5 tấn480</v>
      </c>
      <c r="D984" s="630"/>
      <c r="E984" s="630"/>
      <c r="F984" s="630"/>
      <c r="G984" s="630"/>
    </row>
    <row r="985" spans="1:7" ht="18.75" x14ac:dyDescent="0.25">
      <c r="A985" s="629" t="s">
        <v>3081</v>
      </c>
      <c r="B985" s="630">
        <v>481</v>
      </c>
      <c r="C985" s="631" t="str">
        <f t="shared" si="18"/>
        <v>Ô tô tự đổ 5 tấn481</v>
      </c>
      <c r="D985" s="630"/>
      <c r="E985" s="630"/>
      <c r="F985" s="630"/>
      <c r="G985" s="630"/>
    </row>
    <row r="986" spans="1:7" ht="18.75" x14ac:dyDescent="0.25">
      <c r="A986" s="629" t="s">
        <v>3081</v>
      </c>
      <c r="B986" s="630">
        <v>482</v>
      </c>
      <c r="C986" s="631" t="str">
        <f t="shared" si="18"/>
        <v>Ô tô tự đổ 5 tấn482</v>
      </c>
      <c r="D986" s="630"/>
      <c r="E986" s="630"/>
      <c r="F986" s="630"/>
      <c r="G986" s="630"/>
    </row>
    <row r="987" spans="1:7" ht="18.75" x14ac:dyDescent="0.25">
      <c r="A987" s="629" t="s">
        <v>3081</v>
      </c>
      <c r="B987" s="630">
        <v>483</v>
      </c>
      <c r="C987" s="631" t="str">
        <f t="shared" si="18"/>
        <v>Ô tô tự đổ 5 tấn483</v>
      </c>
      <c r="D987" s="630"/>
      <c r="E987" s="630"/>
      <c r="F987" s="630"/>
      <c r="G987" s="630"/>
    </row>
    <row r="988" spans="1:7" ht="18.75" x14ac:dyDescent="0.25">
      <c r="A988" s="629" t="s">
        <v>3081</v>
      </c>
      <c r="B988" s="630">
        <v>484</v>
      </c>
      <c r="C988" s="631" t="str">
        <f t="shared" si="18"/>
        <v>Ô tô tự đổ 5 tấn484</v>
      </c>
      <c r="D988" s="630"/>
      <c r="E988" s="630"/>
      <c r="F988" s="630"/>
      <c r="G988" s="630"/>
    </row>
    <row r="989" spans="1:7" ht="18.75" x14ac:dyDescent="0.25">
      <c r="A989" s="629" t="s">
        <v>3081</v>
      </c>
      <c r="B989" s="630">
        <v>485</v>
      </c>
      <c r="C989" s="631" t="str">
        <f t="shared" si="18"/>
        <v>Ô tô tự đổ 5 tấn485</v>
      </c>
      <c r="D989" s="630"/>
      <c r="E989" s="630"/>
      <c r="F989" s="630"/>
      <c r="G989" s="630"/>
    </row>
    <row r="990" spans="1:7" ht="18.75" x14ac:dyDescent="0.25">
      <c r="A990" s="629" t="s">
        <v>3081</v>
      </c>
      <c r="B990" s="630">
        <v>486</v>
      </c>
      <c r="C990" s="631" t="str">
        <f t="shared" si="18"/>
        <v>Ô tô tự đổ 5 tấn486</v>
      </c>
      <c r="D990" s="630"/>
      <c r="E990" s="630"/>
      <c r="F990" s="630"/>
      <c r="G990" s="630"/>
    </row>
    <row r="991" spans="1:7" ht="18.75" x14ac:dyDescent="0.25">
      <c r="A991" s="629" t="s">
        <v>3081</v>
      </c>
      <c r="B991" s="630">
        <v>487</v>
      </c>
      <c r="C991" s="631" t="str">
        <f t="shared" si="18"/>
        <v>Ô tô tự đổ 5 tấn487</v>
      </c>
      <c r="D991" s="630"/>
      <c r="E991" s="630"/>
      <c r="F991" s="630"/>
      <c r="G991" s="630"/>
    </row>
    <row r="992" spans="1:7" ht="18.75" x14ac:dyDescent="0.25">
      <c r="A992" s="629" t="s">
        <v>3081</v>
      </c>
      <c r="B992" s="630">
        <v>488</v>
      </c>
      <c r="C992" s="631" t="str">
        <f t="shared" si="18"/>
        <v>Ô tô tự đổ 5 tấn488</v>
      </c>
      <c r="D992" s="630"/>
      <c r="E992" s="630"/>
      <c r="F992" s="630"/>
      <c r="G992" s="630"/>
    </row>
    <row r="993" spans="1:7" ht="18.75" x14ac:dyDescent="0.25">
      <c r="A993" s="629" t="s">
        <v>3081</v>
      </c>
      <c r="B993" s="630">
        <v>489</v>
      </c>
      <c r="C993" s="631" t="str">
        <f t="shared" si="18"/>
        <v>Ô tô tự đổ 5 tấn489</v>
      </c>
      <c r="D993" s="630"/>
      <c r="E993" s="630"/>
      <c r="F993" s="630"/>
      <c r="G993" s="630"/>
    </row>
    <row r="994" spans="1:7" ht="18.75" x14ac:dyDescent="0.25">
      <c r="A994" s="629" t="s">
        <v>3081</v>
      </c>
      <c r="B994" s="630">
        <v>490</v>
      </c>
      <c r="C994" s="631" t="str">
        <f t="shared" si="18"/>
        <v>Ô tô tự đổ 5 tấn490</v>
      </c>
      <c r="D994" s="630"/>
      <c r="E994" s="630"/>
      <c r="F994" s="630"/>
      <c r="G994" s="630"/>
    </row>
    <row r="995" spans="1:7" ht="18.75" x14ac:dyDescent="0.25">
      <c r="A995" s="629" t="s">
        <v>3081</v>
      </c>
      <c r="B995" s="630">
        <v>491</v>
      </c>
      <c r="C995" s="631" t="str">
        <f t="shared" si="18"/>
        <v>Ô tô tự đổ 5 tấn491</v>
      </c>
      <c r="D995" s="630"/>
      <c r="E995" s="630"/>
      <c r="F995" s="630"/>
      <c r="G995" s="630"/>
    </row>
    <row r="996" spans="1:7" ht="18.75" x14ac:dyDescent="0.25">
      <c r="A996" s="629" t="s">
        <v>3081</v>
      </c>
      <c r="B996" s="630">
        <v>492</v>
      </c>
      <c r="C996" s="631" t="str">
        <f t="shared" si="18"/>
        <v>Ô tô tự đổ 5 tấn492</v>
      </c>
      <c r="D996" s="630"/>
      <c r="E996" s="630"/>
      <c r="F996" s="630"/>
      <c r="G996" s="630"/>
    </row>
    <row r="997" spans="1:7" ht="18.75" x14ac:dyDescent="0.25">
      <c r="A997" s="629" t="s">
        <v>3081</v>
      </c>
      <c r="B997" s="630">
        <v>493</v>
      </c>
      <c r="C997" s="631" t="str">
        <f t="shared" si="18"/>
        <v>Ô tô tự đổ 5 tấn493</v>
      </c>
      <c r="D997" s="630"/>
      <c r="E997" s="630"/>
      <c r="F997" s="630"/>
      <c r="G997" s="630"/>
    </row>
    <row r="998" spans="1:7" ht="18.75" x14ac:dyDescent="0.25">
      <c r="A998" s="629" t="s">
        <v>3081</v>
      </c>
      <c r="B998" s="630">
        <v>494</v>
      </c>
      <c r="C998" s="631" t="str">
        <f t="shared" si="18"/>
        <v>Ô tô tự đổ 5 tấn494</v>
      </c>
      <c r="D998" s="630"/>
      <c r="E998" s="630"/>
      <c r="F998" s="630"/>
      <c r="G998" s="630"/>
    </row>
    <row r="999" spans="1:7" ht="18.75" x14ac:dyDescent="0.25">
      <c r="A999" s="629" t="s">
        <v>3081</v>
      </c>
      <c r="B999" s="630">
        <v>495</v>
      </c>
      <c r="C999" s="631" t="str">
        <f t="shared" si="18"/>
        <v>Ô tô tự đổ 5 tấn495</v>
      </c>
      <c r="D999" s="630"/>
      <c r="E999" s="630"/>
      <c r="F999" s="630"/>
      <c r="G999" s="630"/>
    </row>
    <row r="1000" spans="1:7" ht="18.75" x14ac:dyDescent="0.25">
      <c r="A1000" s="629" t="s">
        <v>3081</v>
      </c>
      <c r="B1000" s="630">
        <v>496</v>
      </c>
      <c r="C1000" s="631" t="str">
        <f t="shared" si="18"/>
        <v>Ô tô tự đổ 5 tấn496</v>
      </c>
      <c r="D1000" s="630"/>
      <c r="E1000" s="630"/>
      <c r="F1000" s="630"/>
      <c r="G1000" s="630"/>
    </row>
    <row r="1001" spans="1:7" ht="18.75" x14ac:dyDescent="0.25">
      <c r="A1001" s="629" t="s">
        <v>3081</v>
      </c>
      <c r="B1001" s="630">
        <v>497</v>
      </c>
      <c r="C1001" s="631" t="str">
        <f t="shared" si="18"/>
        <v>Ô tô tự đổ 5 tấn497</v>
      </c>
      <c r="D1001" s="630"/>
      <c r="E1001" s="630"/>
      <c r="F1001" s="630"/>
      <c r="G1001" s="630"/>
    </row>
    <row r="1002" spans="1:7" ht="18.75" x14ac:dyDescent="0.25">
      <c r="A1002" s="629" t="s">
        <v>3081</v>
      </c>
      <c r="B1002" s="630">
        <v>498</v>
      </c>
      <c r="C1002" s="631" t="str">
        <f t="shared" si="18"/>
        <v>Ô tô tự đổ 5 tấn498</v>
      </c>
      <c r="D1002" s="630"/>
      <c r="E1002" s="630"/>
      <c r="F1002" s="630"/>
      <c r="G1002" s="630"/>
    </row>
    <row r="1003" spans="1:7" ht="18.75" x14ac:dyDescent="0.25">
      <c r="A1003" s="629" t="s">
        <v>3081</v>
      </c>
      <c r="B1003" s="630">
        <v>499</v>
      </c>
      <c r="C1003" s="631" t="str">
        <f t="shared" si="18"/>
        <v>Ô tô tự đổ 5 tấn499</v>
      </c>
      <c r="D1003" s="630"/>
      <c r="E1003" s="630"/>
      <c r="F1003" s="630"/>
      <c r="G1003" s="630"/>
    </row>
    <row r="1004" spans="1:7" ht="18.75" x14ac:dyDescent="0.25">
      <c r="A1004" s="629" t="s">
        <v>3081</v>
      </c>
      <c r="B1004" s="630">
        <v>500</v>
      </c>
      <c r="C1004" s="631" t="str">
        <f t="shared" si="18"/>
        <v>Ô tô tự đổ 5 tấn500</v>
      </c>
      <c r="D1004" s="630"/>
      <c r="E1004" s="630"/>
      <c r="F1004" s="630"/>
      <c r="G1004" s="630"/>
    </row>
    <row r="1005" spans="1:7" ht="18.75" x14ac:dyDescent="0.25">
      <c r="A1005" s="629" t="s">
        <v>3077</v>
      </c>
      <c r="B1005" s="630">
        <v>1</v>
      </c>
      <c r="C1005" s="631" t="str">
        <f>A1005&amp;B1005</f>
        <v>Ô tô tự đổ 10 tấn1</v>
      </c>
      <c r="D1005" s="633">
        <v>0.62</v>
      </c>
      <c r="E1005" s="633">
        <v>0.65</v>
      </c>
      <c r="F1005" s="633"/>
      <c r="G1005" s="633"/>
    </row>
    <row r="1006" spans="1:7" ht="18.75" x14ac:dyDescent="0.25">
      <c r="A1006" s="629" t="s">
        <v>3077</v>
      </c>
      <c r="B1006" s="630">
        <v>2</v>
      </c>
      <c r="C1006" s="631" t="str">
        <f t="shared" ref="C1006:C1069" si="19">A1006&amp;B1006</f>
        <v>Ô tô tự đổ 10 tấn2</v>
      </c>
      <c r="D1006" s="633">
        <v>0.3</v>
      </c>
      <c r="E1006" s="633">
        <v>0.31</v>
      </c>
      <c r="F1006" s="633"/>
      <c r="G1006" s="633"/>
    </row>
    <row r="1007" spans="1:7" ht="18.75" x14ac:dyDescent="0.25">
      <c r="A1007" s="629" t="s">
        <v>3077</v>
      </c>
      <c r="B1007" s="630">
        <v>3</v>
      </c>
      <c r="C1007" s="631" t="str">
        <f t="shared" si="19"/>
        <v>Ô tô tự đổ 10 tấn3</v>
      </c>
      <c r="D1007" s="633">
        <v>0.3</v>
      </c>
      <c r="E1007" s="633">
        <v>0.31</v>
      </c>
      <c r="F1007" s="633"/>
      <c r="G1007" s="633"/>
    </row>
    <row r="1008" spans="1:7" ht="18.75" x14ac:dyDescent="0.25">
      <c r="A1008" s="629" t="s">
        <v>3077</v>
      </c>
      <c r="B1008" s="630">
        <v>4</v>
      </c>
      <c r="C1008" s="631" t="str">
        <f t="shared" si="19"/>
        <v>Ô tô tự đổ 10 tấn4</v>
      </c>
      <c r="D1008" s="633">
        <v>0.3</v>
      </c>
      <c r="E1008" s="633">
        <v>0.31</v>
      </c>
      <c r="F1008" s="633"/>
      <c r="G1008" s="633"/>
    </row>
    <row r="1009" spans="1:7" ht="18.75" x14ac:dyDescent="0.25">
      <c r="A1009" s="629" t="s">
        <v>3077</v>
      </c>
      <c r="B1009" s="630">
        <v>5</v>
      </c>
      <c r="C1009" s="631" t="str">
        <f t="shared" si="19"/>
        <v>Ô tô tự đổ 10 tấn5</v>
      </c>
      <c r="D1009" s="633">
        <v>0.3</v>
      </c>
      <c r="E1009" s="633">
        <v>0.31</v>
      </c>
      <c r="F1009" s="633"/>
      <c r="G1009" s="633"/>
    </row>
    <row r="1010" spans="1:7" ht="18.75" x14ac:dyDescent="0.25">
      <c r="A1010" s="629" t="s">
        <v>3077</v>
      </c>
      <c r="B1010" s="630">
        <v>6</v>
      </c>
      <c r="C1010" s="631" t="str">
        <f t="shared" si="19"/>
        <v>Ô tô tự đổ 10 tấn6</v>
      </c>
      <c r="D1010" s="633">
        <v>0.23</v>
      </c>
      <c r="E1010" s="633">
        <v>0.24</v>
      </c>
      <c r="F1010" s="633"/>
      <c r="G1010" s="633"/>
    </row>
    <row r="1011" spans="1:7" ht="18.75" x14ac:dyDescent="0.25">
      <c r="A1011" s="629" t="s">
        <v>3077</v>
      </c>
      <c r="B1011" s="630">
        <v>7</v>
      </c>
      <c r="C1011" s="631" t="str">
        <f t="shared" si="19"/>
        <v>Ô tô tự đổ 10 tấn7</v>
      </c>
      <c r="D1011" s="633">
        <v>0.23</v>
      </c>
      <c r="E1011" s="633">
        <v>0.24</v>
      </c>
      <c r="F1011" s="633"/>
      <c r="G1011" s="633"/>
    </row>
    <row r="1012" spans="1:7" ht="18.75" x14ac:dyDescent="0.25">
      <c r="A1012" s="629" t="s">
        <v>3077</v>
      </c>
      <c r="B1012" s="630">
        <v>8</v>
      </c>
      <c r="C1012" s="631" t="str">
        <f t="shared" si="19"/>
        <v>Ô tô tự đổ 10 tấn8</v>
      </c>
      <c r="D1012" s="633">
        <v>0.23</v>
      </c>
      <c r="E1012" s="633">
        <v>0.24</v>
      </c>
      <c r="F1012" s="633"/>
      <c r="G1012" s="633"/>
    </row>
    <row r="1013" spans="1:7" ht="18.75" x14ac:dyDescent="0.25">
      <c r="A1013" s="629" t="s">
        <v>3077</v>
      </c>
      <c r="B1013" s="630">
        <v>9</v>
      </c>
      <c r="C1013" s="631" t="str">
        <f t="shared" si="19"/>
        <v>Ô tô tự đổ 10 tấn9</v>
      </c>
      <c r="D1013" s="633">
        <v>0.23</v>
      </c>
      <c r="E1013" s="633">
        <v>0.24</v>
      </c>
      <c r="F1013" s="633"/>
      <c r="G1013" s="633"/>
    </row>
    <row r="1014" spans="1:7" ht="18.75" x14ac:dyDescent="0.25">
      <c r="A1014" s="629" t="s">
        <v>3077</v>
      </c>
      <c r="B1014" s="630">
        <v>10</v>
      </c>
      <c r="C1014" s="631" t="str">
        <f t="shared" si="19"/>
        <v>Ô tô tự đổ 10 tấn10</v>
      </c>
      <c r="D1014" s="633">
        <v>0.23</v>
      </c>
      <c r="E1014" s="633">
        <v>0.24</v>
      </c>
      <c r="F1014" s="633"/>
      <c r="G1014" s="633"/>
    </row>
    <row r="1015" spans="1:7" ht="18.75" x14ac:dyDescent="0.25">
      <c r="A1015" s="629" t="s">
        <v>3077</v>
      </c>
      <c r="B1015" s="630">
        <v>11</v>
      </c>
      <c r="C1015" s="631" t="str">
        <f t="shared" si="19"/>
        <v>Ô tô tự đổ 10 tấn11</v>
      </c>
      <c r="D1015" s="633">
        <v>0.2</v>
      </c>
      <c r="E1015" s="633">
        <v>0.21</v>
      </c>
      <c r="F1015" s="633"/>
      <c r="G1015" s="633"/>
    </row>
    <row r="1016" spans="1:7" ht="18.75" x14ac:dyDescent="0.25">
      <c r="A1016" s="629" t="s">
        <v>3077</v>
      </c>
      <c r="B1016" s="630">
        <v>12</v>
      </c>
      <c r="C1016" s="631" t="str">
        <f t="shared" si="19"/>
        <v>Ô tô tự đổ 10 tấn12</v>
      </c>
      <c r="D1016" s="633">
        <v>0.2</v>
      </c>
      <c r="E1016" s="633">
        <v>0.21</v>
      </c>
      <c r="F1016" s="633"/>
      <c r="G1016" s="633"/>
    </row>
    <row r="1017" spans="1:7" ht="18.75" x14ac:dyDescent="0.25">
      <c r="A1017" s="629" t="s">
        <v>3077</v>
      </c>
      <c r="B1017" s="630">
        <v>13</v>
      </c>
      <c r="C1017" s="631" t="str">
        <f t="shared" si="19"/>
        <v>Ô tô tự đổ 10 tấn13</v>
      </c>
      <c r="D1017" s="633">
        <v>0.2</v>
      </c>
      <c r="E1017" s="633">
        <v>0.21</v>
      </c>
      <c r="F1017" s="633"/>
      <c r="G1017" s="633"/>
    </row>
    <row r="1018" spans="1:7" ht="18.75" x14ac:dyDescent="0.25">
      <c r="A1018" s="629" t="s">
        <v>3077</v>
      </c>
      <c r="B1018" s="630">
        <v>14</v>
      </c>
      <c r="C1018" s="631" t="str">
        <f t="shared" si="19"/>
        <v>Ô tô tự đổ 10 tấn14</v>
      </c>
      <c r="D1018" s="633">
        <v>0.2</v>
      </c>
      <c r="E1018" s="633">
        <v>0.21</v>
      </c>
      <c r="F1018" s="633"/>
      <c r="G1018" s="633"/>
    </row>
    <row r="1019" spans="1:7" ht="18.75" x14ac:dyDescent="0.25">
      <c r="A1019" s="629" t="s">
        <v>3077</v>
      </c>
      <c r="B1019" s="630">
        <v>15</v>
      </c>
      <c r="C1019" s="631" t="str">
        <f t="shared" si="19"/>
        <v>Ô tô tự đổ 10 tấn15</v>
      </c>
      <c r="D1019" s="633">
        <v>0.2</v>
      </c>
      <c r="E1019" s="633">
        <v>0.21</v>
      </c>
      <c r="F1019" s="633"/>
      <c r="G1019" s="633"/>
    </row>
    <row r="1020" spans="1:7" ht="18.75" x14ac:dyDescent="0.25">
      <c r="A1020" s="629" t="s">
        <v>3077</v>
      </c>
      <c r="B1020" s="630">
        <v>16</v>
      </c>
      <c r="C1020" s="631" t="str">
        <f t="shared" si="19"/>
        <v>Ô tô tự đổ 10 tấn16</v>
      </c>
      <c r="D1020" s="633">
        <v>0.18</v>
      </c>
      <c r="E1020" s="633">
        <v>0.19</v>
      </c>
      <c r="F1020" s="633"/>
      <c r="G1020" s="633"/>
    </row>
    <row r="1021" spans="1:7" ht="18.75" x14ac:dyDescent="0.25">
      <c r="A1021" s="629" t="s">
        <v>3077</v>
      </c>
      <c r="B1021" s="630">
        <v>17</v>
      </c>
      <c r="C1021" s="631" t="str">
        <f t="shared" si="19"/>
        <v>Ô tô tự đổ 10 tấn17</v>
      </c>
      <c r="D1021" s="633">
        <v>0.18</v>
      </c>
      <c r="E1021" s="633">
        <v>0.19</v>
      </c>
      <c r="F1021" s="633"/>
      <c r="G1021" s="633"/>
    </row>
    <row r="1022" spans="1:7" ht="18.75" x14ac:dyDescent="0.25">
      <c r="A1022" s="629" t="s">
        <v>3077</v>
      </c>
      <c r="B1022" s="630">
        <v>18</v>
      </c>
      <c r="C1022" s="631" t="str">
        <f t="shared" si="19"/>
        <v>Ô tô tự đổ 10 tấn18</v>
      </c>
      <c r="D1022" s="633">
        <v>0.18</v>
      </c>
      <c r="E1022" s="633">
        <v>0.19</v>
      </c>
      <c r="F1022" s="633"/>
      <c r="G1022" s="633"/>
    </row>
    <row r="1023" spans="1:7" ht="18.75" x14ac:dyDescent="0.25">
      <c r="A1023" s="629" t="s">
        <v>3077</v>
      </c>
      <c r="B1023" s="630">
        <v>19</v>
      </c>
      <c r="C1023" s="631" t="str">
        <f t="shared" si="19"/>
        <v>Ô tô tự đổ 10 tấn19</v>
      </c>
      <c r="D1023" s="633">
        <v>0.18</v>
      </c>
      <c r="E1023" s="633">
        <v>0.19</v>
      </c>
      <c r="F1023" s="633"/>
      <c r="G1023" s="633"/>
    </row>
    <row r="1024" spans="1:7" ht="18.75" x14ac:dyDescent="0.25">
      <c r="A1024" s="629" t="s">
        <v>3077</v>
      </c>
      <c r="B1024" s="630">
        <v>20</v>
      </c>
      <c r="C1024" s="631" t="str">
        <f t="shared" si="19"/>
        <v>Ô tô tự đổ 10 tấn20</v>
      </c>
      <c r="D1024" s="633">
        <v>0.18</v>
      </c>
      <c r="E1024" s="633">
        <v>0.19</v>
      </c>
      <c r="F1024" s="633"/>
      <c r="G1024" s="633"/>
    </row>
    <row r="1025" spans="1:7" ht="18.75" x14ac:dyDescent="0.25">
      <c r="A1025" s="629" t="s">
        <v>3077</v>
      </c>
      <c r="B1025" s="630">
        <v>21</v>
      </c>
      <c r="C1025" s="631" t="str">
        <f t="shared" si="19"/>
        <v>Ô tô tự đổ 10 tấn21</v>
      </c>
      <c r="D1025" s="630"/>
      <c r="E1025" s="630"/>
      <c r="F1025" s="630"/>
      <c r="G1025" s="630"/>
    </row>
    <row r="1026" spans="1:7" ht="18.75" x14ac:dyDescent="0.25">
      <c r="A1026" s="629" t="s">
        <v>3077</v>
      </c>
      <c r="B1026" s="630">
        <v>22</v>
      </c>
      <c r="C1026" s="631" t="str">
        <f t="shared" si="19"/>
        <v>Ô tô tự đổ 10 tấn22</v>
      </c>
      <c r="D1026" s="630"/>
      <c r="E1026" s="630"/>
      <c r="F1026" s="630"/>
      <c r="G1026" s="630"/>
    </row>
    <row r="1027" spans="1:7" ht="18.75" x14ac:dyDescent="0.25">
      <c r="A1027" s="629" t="s">
        <v>3077</v>
      </c>
      <c r="B1027" s="630">
        <v>23</v>
      </c>
      <c r="C1027" s="631" t="str">
        <f t="shared" si="19"/>
        <v>Ô tô tự đổ 10 tấn23</v>
      </c>
      <c r="D1027" s="630"/>
      <c r="E1027" s="630"/>
      <c r="F1027" s="630"/>
      <c r="G1027" s="630"/>
    </row>
    <row r="1028" spans="1:7" ht="18.75" x14ac:dyDescent="0.25">
      <c r="A1028" s="629" t="s">
        <v>3077</v>
      </c>
      <c r="B1028" s="630">
        <v>24</v>
      </c>
      <c r="C1028" s="631" t="str">
        <f t="shared" si="19"/>
        <v>Ô tô tự đổ 10 tấn24</v>
      </c>
      <c r="D1028" s="630"/>
      <c r="E1028" s="630"/>
      <c r="F1028" s="630"/>
      <c r="G1028" s="630"/>
    </row>
    <row r="1029" spans="1:7" ht="18.75" x14ac:dyDescent="0.25">
      <c r="A1029" s="629" t="s">
        <v>3077</v>
      </c>
      <c r="B1029" s="630">
        <v>25</v>
      </c>
      <c r="C1029" s="631" t="str">
        <f t="shared" si="19"/>
        <v>Ô tô tự đổ 10 tấn25</v>
      </c>
      <c r="D1029" s="630"/>
      <c r="E1029" s="630"/>
      <c r="F1029" s="630"/>
      <c r="G1029" s="630"/>
    </row>
    <row r="1030" spans="1:7" ht="18.75" x14ac:dyDescent="0.25">
      <c r="A1030" s="629" t="s">
        <v>3077</v>
      </c>
      <c r="B1030" s="630">
        <v>26</v>
      </c>
      <c r="C1030" s="631" t="str">
        <f t="shared" si="19"/>
        <v>Ô tô tự đổ 10 tấn26</v>
      </c>
      <c r="D1030" s="630"/>
      <c r="E1030" s="630"/>
      <c r="F1030" s="630"/>
      <c r="G1030" s="630"/>
    </row>
    <row r="1031" spans="1:7" ht="18.75" x14ac:dyDescent="0.25">
      <c r="A1031" s="629" t="s">
        <v>3077</v>
      </c>
      <c r="B1031" s="630">
        <v>27</v>
      </c>
      <c r="C1031" s="631" t="str">
        <f t="shared" si="19"/>
        <v>Ô tô tự đổ 10 tấn27</v>
      </c>
      <c r="D1031" s="630"/>
      <c r="E1031" s="630"/>
      <c r="F1031" s="630"/>
      <c r="G1031" s="630"/>
    </row>
    <row r="1032" spans="1:7" ht="18.75" x14ac:dyDescent="0.25">
      <c r="A1032" s="629" t="s">
        <v>3077</v>
      </c>
      <c r="B1032" s="630">
        <v>28</v>
      </c>
      <c r="C1032" s="631" t="str">
        <f t="shared" si="19"/>
        <v>Ô tô tự đổ 10 tấn28</v>
      </c>
      <c r="D1032" s="630"/>
      <c r="E1032" s="630"/>
      <c r="F1032" s="630"/>
      <c r="G1032" s="630"/>
    </row>
    <row r="1033" spans="1:7" ht="18.75" x14ac:dyDescent="0.25">
      <c r="A1033" s="629" t="s">
        <v>3077</v>
      </c>
      <c r="B1033" s="630">
        <v>29</v>
      </c>
      <c r="C1033" s="631" t="str">
        <f t="shared" si="19"/>
        <v>Ô tô tự đổ 10 tấn29</v>
      </c>
      <c r="D1033" s="630"/>
      <c r="E1033" s="630"/>
      <c r="F1033" s="630"/>
      <c r="G1033" s="630"/>
    </row>
    <row r="1034" spans="1:7" ht="18.75" x14ac:dyDescent="0.25">
      <c r="A1034" s="629" t="s">
        <v>3077</v>
      </c>
      <c r="B1034" s="630">
        <v>30</v>
      </c>
      <c r="C1034" s="631" t="str">
        <f t="shared" si="19"/>
        <v>Ô tô tự đổ 10 tấn30</v>
      </c>
      <c r="D1034" s="630"/>
      <c r="E1034" s="630"/>
      <c r="F1034" s="630"/>
      <c r="G1034" s="630"/>
    </row>
    <row r="1035" spans="1:7" ht="18.75" x14ac:dyDescent="0.25">
      <c r="A1035" s="629" t="s">
        <v>3077</v>
      </c>
      <c r="B1035" s="630">
        <v>31</v>
      </c>
      <c r="C1035" s="631" t="str">
        <f t="shared" si="19"/>
        <v>Ô tô tự đổ 10 tấn31</v>
      </c>
      <c r="D1035" s="630"/>
      <c r="E1035" s="630"/>
      <c r="F1035" s="630"/>
      <c r="G1035" s="630"/>
    </row>
    <row r="1036" spans="1:7" ht="18.75" x14ac:dyDescent="0.25">
      <c r="A1036" s="629" t="s">
        <v>3077</v>
      </c>
      <c r="B1036" s="630">
        <v>32</v>
      </c>
      <c r="C1036" s="631" t="str">
        <f t="shared" si="19"/>
        <v>Ô tô tự đổ 10 tấn32</v>
      </c>
      <c r="D1036" s="630"/>
      <c r="E1036" s="630"/>
      <c r="F1036" s="630"/>
      <c r="G1036" s="630"/>
    </row>
    <row r="1037" spans="1:7" ht="18.75" x14ac:dyDescent="0.25">
      <c r="A1037" s="629" t="s">
        <v>3077</v>
      </c>
      <c r="B1037" s="630">
        <v>33</v>
      </c>
      <c r="C1037" s="631" t="str">
        <f t="shared" si="19"/>
        <v>Ô tô tự đổ 10 tấn33</v>
      </c>
      <c r="D1037" s="630"/>
      <c r="E1037" s="630"/>
      <c r="F1037" s="630"/>
      <c r="G1037" s="630"/>
    </row>
    <row r="1038" spans="1:7" ht="18.75" x14ac:dyDescent="0.25">
      <c r="A1038" s="629" t="s">
        <v>3077</v>
      </c>
      <c r="B1038" s="630">
        <v>34</v>
      </c>
      <c r="C1038" s="631" t="str">
        <f t="shared" si="19"/>
        <v>Ô tô tự đổ 10 tấn34</v>
      </c>
      <c r="D1038" s="630"/>
      <c r="E1038" s="630"/>
      <c r="F1038" s="630"/>
      <c r="G1038" s="630"/>
    </row>
    <row r="1039" spans="1:7" ht="18.75" x14ac:dyDescent="0.25">
      <c r="A1039" s="629" t="s">
        <v>3077</v>
      </c>
      <c r="B1039" s="630">
        <v>35</v>
      </c>
      <c r="C1039" s="631" t="str">
        <f t="shared" si="19"/>
        <v>Ô tô tự đổ 10 tấn35</v>
      </c>
      <c r="D1039" s="630"/>
      <c r="E1039" s="630"/>
      <c r="F1039" s="630"/>
      <c r="G1039" s="630"/>
    </row>
    <row r="1040" spans="1:7" ht="18.75" x14ac:dyDescent="0.25">
      <c r="A1040" s="629" t="s">
        <v>3077</v>
      </c>
      <c r="B1040" s="630">
        <v>36</v>
      </c>
      <c r="C1040" s="631" t="str">
        <f t="shared" si="19"/>
        <v>Ô tô tự đổ 10 tấn36</v>
      </c>
      <c r="D1040" s="630"/>
      <c r="E1040" s="630"/>
      <c r="F1040" s="630"/>
      <c r="G1040" s="630"/>
    </row>
    <row r="1041" spans="1:7" ht="18.75" x14ac:dyDescent="0.25">
      <c r="A1041" s="629" t="s">
        <v>3077</v>
      </c>
      <c r="B1041" s="630">
        <v>37</v>
      </c>
      <c r="C1041" s="631" t="str">
        <f t="shared" si="19"/>
        <v>Ô tô tự đổ 10 tấn37</v>
      </c>
      <c r="D1041" s="630"/>
      <c r="E1041" s="630"/>
      <c r="F1041" s="630"/>
      <c r="G1041" s="630"/>
    </row>
    <row r="1042" spans="1:7" ht="18.75" x14ac:dyDescent="0.25">
      <c r="A1042" s="629" t="s">
        <v>3077</v>
      </c>
      <c r="B1042" s="630">
        <v>38</v>
      </c>
      <c r="C1042" s="631" t="str">
        <f t="shared" si="19"/>
        <v>Ô tô tự đổ 10 tấn38</v>
      </c>
      <c r="D1042" s="630"/>
      <c r="E1042" s="630"/>
      <c r="F1042" s="630"/>
      <c r="G1042" s="630"/>
    </row>
    <row r="1043" spans="1:7" ht="18.75" x14ac:dyDescent="0.25">
      <c r="A1043" s="629" t="s">
        <v>3077</v>
      </c>
      <c r="B1043" s="630">
        <v>39</v>
      </c>
      <c r="C1043" s="631" t="str">
        <f t="shared" si="19"/>
        <v>Ô tô tự đổ 10 tấn39</v>
      </c>
      <c r="D1043" s="630"/>
      <c r="E1043" s="630"/>
      <c r="F1043" s="630"/>
      <c r="G1043" s="630"/>
    </row>
    <row r="1044" spans="1:7" ht="18.75" x14ac:dyDescent="0.25">
      <c r="A1044" s="629" t="s">
        <v>3077</v>
      </c>
      <c r="B1044" s="630">
        <v>40</v>
      </c>
      <c r="C1044" s="631" t="str">
        <f t="shared" si="19"/>
        <v>Ô tô tự đổ 10 tấn40</v>
      </c>
      <c r="D1044" s="630"/>
      <c r="E1044" s="630"/>
      <c r="F1044" s="630"/>
      <c r="G1044" s="630"/>
    </row>
    <row r="1045" spans="1:7" ht="18.75" x14ac:dyDescent="0.25">
      <c r="A1045" s="629" t="s">
        <v>3077</v>
      </c>
      <c r="B1045" s="630">
        <v>41</v>
      </c>
      <c r="C1045" s="631" t="str">
        <f t="shared" si="19"/>
        <v>Ô tô tự đổ 10 tấn41</v>
      </c>
      <c r="D1045" s="630"/>
      <c r="E1045" s="630"/>
      <c r="F1045" s="630"/>
      <c r="G1045" s="630"/>
    </row>
    <row r="1046" spans="1:7" ht="18.75" x14ac:dyDescent="0.25">
      <c r="A1046" s="629" t="s">
        <v>3077</v>
      </c>
      <c r="B1046" s="630">
        <v>42</v>
      </c>
      <c r="C1046" s="631" t="str">
        <f t="shared" si="19"/>
        <v>Ô tô tự đổ 10 tấn42</v>
      </c>
      <c r="D1046" s="630"/>
      <c r="E1046" s="630"/>
      <c r="F1046" s="630"/>
      <c r="G1046" s="630"/>
    </row>
    <row r="1047" spans="1:7" ht="18.75" x14ac:dyDescent="0.25">
      <c r="A1047" s="629" t="s">
        <v>3077</v>
      </c>
      <c r="B1047" s="630">
        <v>43</v>
      </c>
      <c r="C1047" s="631" t="str">
        <f t="shared" si="19"/>
        <v>Ô tô tự đổ 10 tấn43</v>
      </c>
      <c r="D1047" s="630"/>
      <c r="E1047" s="630"/>
      <c r="F1047" s="630"/>
      <c r="G1047" s="630"/>
    </row>
    <row r="1048" spans="1:7" ht="18.75" x14ac:dyDescent="0.25">
      <c r="A1048" s="629" t="s">
        <v>3077</v>
      </c>
      <c r="B1048" s="630">
        <v>44</v>
      </c>
      <c r="C1048" s="631" t="str">
        <f t="shared" si="19"/>
        <v>Ô tô tự đổ 10 tấn44</v>
      </c>
      <c r="D1048" s="630"/>
      <c r="E1048" s="630"/>
      <c r="F1048" s="630"/>
      <c r="G1048" s="630"/>
    </row>
    <row r="1049" spans="1:7" ht="18.75" x14ac:dyDescent="0.25">
      <c r="A1049" s="629" t="s">
        <v>3077</v>
      </c>
      <c r="B1049" s="630">
        <v>45</v>
      </c>
      <c r="C1049" s="631" t="str">
        <f t="shared" si="19"/>
        <v>Ô tô tự đổ 10 tấn45</v>
      </c>
      <c r="D1049" s="630"/>
      <c r="E1049" s="630"/>
      <c r="F1049" s="630"/>
      <c r="G1049" s="630"/>
    </row>
    <row r="1050" spans="1:7" ht="18.75" x14ac:dyDescent="0.25">
      <c r="A1050" s="629" t="s">
        <v>3077</v>
      </c>
      <c r="B1050" s="630">
        <v>46</v>
      </c>
      <c r="C1050" s="631" t="str">
        <f t="shared" si="19"/>
        <v>Ô tô tự đổ 10 tấn46</v>
      </c>
      <c r="D1050" s="630"/>
      <c r="E1050" s="630"/>
      <c r="F1050" s="630"/>
      <c r="G1050" s="630"/>
    </row>
    <row r="1051" spans="1:7" ht="18.75" x14ac:dyDescent="0.25">
      <c r="A1051" s="629" t="s">
        <v>3077</v>
      </c>
      <c r="B1051" s="630">
        <v>47</v>
      </c>
      <c r="C1051" s="631" t="str">
        <f t="shared" si="19"/>
        <v>Ô tô tự đổ 10 tấn47</v>
      </c>
      <c r="D1051" s="630"/>
      <c r="E1051" s="630"/>
      <c r="F1051" s="630"/>
      <c r="G1051" s="630"/>
    </row>
    <row r="1052" spans="1:7" ht="18.75" x14ac:dyDescent="0.25">
      <c r="A1052" s="629" t="s">
        <v>3077</v>
      </c>
      <c r="B1052" s="630">
        <v>48</v>
      </c>
      <c r="C1052" s="631" t="str">
        <f t="shared" si="19"/>
        <v>Ô tô tự đổ 10 tấn48</v>
      </c>
      <c r="D1052" s="630"/>
      <c r="E1052" s="630"/>
      <c r="F1052" s="630"/>
      <c r="G1052" s="630"/>
    </row>
    <row r="1053" spans="1:7" ht="18.75" x14ac:dyDescent="0.25">
      <c r="A1053" s="629" t="s">
        <v>3077</v>
      </c>
      <c r="B1053" s="630">
        <v>49</v>
      </c>
      <c r="C1053" s="631" t="str">
        <f t="shared" si="19"/>
        <v>Ô tô tự đổ 10 tấn49</v>
      </c>
      <c r="D1053" s="630"/>
      <c r="E1053" s="630"/>
      <c r="F1053" s="630"/>
      <c r="G1053" s="630"/>
    </row>
    <row r="1054" spans="1:7" ht="18.75" x14ac:dyDescent="0.25">
      <c r="A1054" s="629" t="s">
        <v>3077</v>
      </c>
      <c r="B1054" s="630">
        <v>50</v>
      </c>
      <c r="C1054" s="631" t="str">
        <f t="shared" si="19"/>
        <v>Ô tô tự đổ 10 tấn50</v>
      </c>
      <c r="D1054" s="630"/>
      <c r="E1054" s="630"/>
      <c r="F1054" s="630"/>
      <c r="G1054" s="630"/>
    </row>
    <row r="1055" spans="1:7" ht="18.75" x14ac:dyDescent="0.25">
      <c r="A1055" s="629" t="s">
        <v>3077</v>
      </c>
      <c r="B1055" s="630">
        <v>51</v>
      </c>
      <c r="C1055" s="631" t="str">
        <f t="shared" si="19"/>
        <v>Ô tô tự đổ 10 tấn51</v>
      </c>
      <c r="D1055" s="630"/>
      <c r="E1055" s="630"/>
      <c r="F1055" s="630"/>
      <c r="G1055" s="630"/>
    </row>
    <row r="1056" spans="1:7" ht="18.75" x14ac:dyDescent="0.25">
      <c r="A1056" s="629" t="s">
        <v>3077</v>
      </c>
      <c r="B1056" s="630">
        <v>52</v>
      </c>
      <c r="C1056" s="631" t="str">
        <f t="shared" si="19"/>
        <v>Ô tô tự đổ 10 tấn52</v>
      </c>
      <c r="D1056" s="630"/>
      <c r="E1056" s="630"/>
      <c r="F1056" s="630"/>
      <c r="G1056" s="630"/>
    </row>
    <row r="1057" spans="1:7" ht="18.75" x14ac:dyDescent="0.25">
      <c r="A1057" s="629" t="s">
        <v>3077</v>
      </c>
      <c r="B1057" s="630">
        <v>53</v>
      </c>
      <c r="C1057" s="631" t="str">
        <f t="shared" si="19"/>
        <v>Ô tô tự đổ 10 tấn53</v>
      </c>
      <c r="D1057" s="630"/>
      <c r="E1057" s="630"/>
      <c r="F1057" s="630"/>
      <c r="G1057" s="630"/>
    </row>
    <row r="1058" spans="1:7" ht="18.75" x14ac:dyDescent="0.25">
      <c r="A1058" s="629" t="s">
        <v>3077</v>
      </c>
      <c r="B1058" s="630">
        <v>54</v>
      </c>
      <c r="C1058" s="631" t="str">
        <f t="shared" si="19"/>
        <v>Ô tô tự đổ 10 tấn54</v>
      </c>
      <c r="D1058" s="630"/>
      <c r="E1058" s="630"/>
      <c r="F1058" s="630"/>
      <c r="G1058" s="630"/>
    </row>
    <row r="1059" spans="1:7" ht="18.75" x14ac:dyDescent="0.25">
      <c r="A1059" s="629" t="s">
        <v>3077</v>
      </c>
      <c r="B1059" s="630">
        <v>55</v>
      </c>
      <c r="C1059" s="631" t="str">
        <f t="shared" si="19"/>
        <v>Ô tô tự đổ 10 tấn55</v>
      </c>
      <c r="D1059" s="630"/>
      <c r="E1059" s="630"/>
      <c r="F1059" s="630"/>
      <c r="G1059" s="630"/>
    </row>
    <row r="1060" spans="1:7" ht="18.75" x14ac:dyDescent="0.25">
      <c r="A1060" s="629" t="s">
        <v>3077</v>
      </c>
      <c r="B1060" s="630">
        <v>56</v>
      </c>
      <c r="C1060" s="631" t="str">
        <f t="shared" si="19"/>
        <v>Ô tô tự đổ 10 tấn56</v>
      </c>
      <c r="D1060" s="630"/>
      <c r="E1060" s="630"/>
      <c r="F1060" s="630"/>
      <c r="G1060" s="630"/>
    </row>
    <row r="1061" spans="1:7" ht="18.75" x14ac:dyDescent="0.25">
      <c r="A1061" s="629" t="s">
        <v>3077</v>
      </c>
      <c r="B1061" s="630">
        <v>57</v>
      </c>
      <c r="C1061" s="631" t="str">
        <f t="shared" si="19"/>
        <v>Ô tô tự đổ 10 tấn57</v>
      </c>
      <c r="D1061" s="630"/>
      <c r="E1061" s="630"/>
      <c r="F1061" s="630"/>
      <c r="G1061" s="630"/>
    </row>
    <row r="1062" spans="1:7" ht="18.75" x14ac:dyDescent="0.25">
      <c r="A1062" s="629" t="s">
        <v>3077</v>
      </c>
      <c r="B1062" s="630">
        <v>58</v>
      </c>
      <c r="C1062" s="631" t="str">
        <f t="shared" si="19"/>
        <v>Ô tô tự đổ 10 tấn58</v>
      </c>
      <c r="D1062" s="630"/>
      <c r="E1062" s="630"/>
      <c r="F1062" s="630"/>
      <c r="G1062" s="630"/>
    </row>
    <row r="1063" spans="1:7" ht="18.75" x14ac:dyDescent="0.25">
      <c r="A1063" s="629" t="s">
        <v>3077</v>
      </c>
      <c r="B1063" s="630">
        <v>59</v>
      </c>
      <c r="C1063" s="631" t="str">
        <f t="shared" si="19"/>
        <v>Ô tô tự đổ 10 tấn59</v>
      </c>
      <c r="D1063" s="630"/>
      <c r="E1063" s="630"/>
      <c r="F1063" s="630"/>
      <c r="G1063" s="630"/>
    </row>
    <row r="1064" spans="1:7" ht="18.75" x14ac:dyDescent="0.25">
      <c r="A1064" s="629" t="s">
        <v>3077</v>
      </c>
      <c r="B1064" s="630">
        <v>60</v>
      </c>
      <c r="C1064" s="631" t="str">
        <f t="shared" si="19"/>
        <v>Ô tô tự đổ 10 tấn60</v>
      </c>
      <c r="D1064" s="630"/>
      <c r="E1064" s="630"/>
      <c r="F1064" s="630"/>
      <c r="G1064" s="630"/>
    </row>
    <row r="1065" spans="1:7" ht="18.75" x14ac:dyDescent="0.25">
      <c r="A1065" s="629" t="s">
        <v>3077</v>
      </c>
      <c r="B1065" s="630">
        <v>61</v>
      </c>
      <c r="C1065" s="631" t="str">
        <f t="shared" si="19"/>
        <v>Ô tô tự đổ 10 tấn61</v>
      </c>
      <c r="D1065" s="630"/>
      <c r="E1065" s="630"/>
      <c r="F1065" s="630"/>
      <c r="G1065" s="630"/>
    </row>
    <row r="1066" spans="1:7" ht="18.75" x14ac:dyDescent="0.25">
      <c r="A1066" s="629" t="s">
        <v>3077</v>
      </c>
      <c r="B1066" s="630">
        <v>62</v>
      </c>
      <c r="C1066" s="631" t="str">
        <f t="shared" si="19"/>
        <v>Ô tô tự đổ 10 tấn62</v>
      </c>
      <c r="D1066" s="630"/>
      <c r="E1066" s="630"/>
      <c r="F1066" s="630"/>
      <c r="G1066" s="630"/>
    </row>
    <row r="1067" spans="1:7" ht="18.75" x14ac:dyDescent="0.25">
      <c r="A1067" s="629" t="s">
        <v>3077</v>
      </c>
      <c r="B1067" s="630">
        <v>63</v>
      </c>
      <c r="C1067" s="631" t="str">
        <f t="shared" si="19"/>
        <v>Ô tô tự đổ 10 tấn63</v>
      </c>
      <c r="D1067" s="630"/>
      <c r="E1067" s="630"/>
      <c r="F1067" s="630"/>
      <c r="G1067" s="630"/>
    </row>
    <row r="1068" spans="1:7" ht="18.75" x14ac:dyDescent="0.25">
      <c r="A1068" s="629" t="s">
        <v>3077</v>
      </c>
      <c r="B1068" s="630">
        <v>64</v>
      </c>
      <c r="C1068" s="631" t="str">
        <f t="shared" si="19"/>
        <v>Ô tô tự đổ 10 tấn64</v>
      </c>
      <c r="D1068" s="630"/>
      <c r="E1068" s="630"/>
      <c r="F1068" s="630"/>
      <c r="G1068" s="630"/>
    </row>
    <row r="1069" spans="1:7" ht="18.75" x14ac:dyDescent="0.25">
      <c r="A1069" s="629" t="s">
        <v>3077</v>
      </c>
      <c r="B1069" s="630">
        <v>65</v>
      </c>
      <c r="C1069" s="631" t="str">
        <f t="shared" si="19"/>
        <v>Ô tô tự đổ 10 tấn65</v>
      </c>
      <c r="D1069" s="630"/>
      <c r="E1069" s="630"/>
      <c r="F1069" s="630"/>
      <c r="G1069" s="630"/>
    </row>
    <row r="1070" spans="1:7" ht="18.75" x14ac:dyDescent="0.25">
      <c r="A1070" s="629" t="s">
        <v>3077</v>
      </c>
      <c r="B1070" s="630">
        <v>66</v>
      </c>
      <c r="C1070" s="631" t="str">
        <f t="shared" ref="C1070:C1133" si="20">A1070&amp;B1070</f>
        <v>Ô tô tự đổ 10 tấn66</v>
      </c>
      <c r="D1070" s="630"/>
      <c r="E1070" s="630"/>
      <c r="F1070" s="630"/>
      <c r="G1070" s="630"/>
    </row>
    <row r="1071" spans="1:7" ht="18.75" x14ac:dyDescent="0.25">
      <c r="A1071" s="629" t="s">
        <v>3077</v>
      </c>
      <c r="B1071" s="630">
        <v>67</v>
      </c>
      <c r="C1071" s="631" t="str">
        <f t="shared" si="20"/>
        <v>Ô tô tự đổ 10 tấn67</v>
      </c>
      <c r="D1071" s="630"/>
      <c r="E1071" s="630"/>
      <c r="F1071" s="630"/>
      <c r="G1071" s="630"/>
    </row>
    <row r="1072" spans="1:7" ht="18.75" x14ac:dyDescent="0.25">
      <c r="A1072" s="629" t="s">
        <v>3077</v>
      </c>
      <c r="B1072" s="630">
        <v>68</v>
      </c>
      <c r="C1072" s="631" t="str">
        <f t="shared" si="20"/>
        <v>Ô tô tự đổ 10 tấn68</v>
      </c>
      <c r="D1072" s="630"/>
      <c r="E1072" s="630"/>
      <c r="F1072" s="630"/>
      <c r="G1072" s="630"/>
    </row>
    <row r="1073" spans="1:7" ht="18.75" x14ac:dyDescent="0.25">
      <c r="A1073" s="629" t="s">
        <v>3077</v>
      </c>
      <c r="B1073" s="630">
        <v>69</v>
      </c>
      <c r="C1073" s="631" t="str">
        <f t="shared" si="20"/>
        <v>Ô tô tự đổ 10 tấn69</v>
      </c>
      <c r="D1073" s="630"/>
      <c r="E1073" s="630"/>
      <c r="F1073" s="630"/>
      <c r="G1073" s="630"/>
    </row>
    <row r="1074" spans="1:7" ht="18.75" x14ac:dyDescent="0.25">
      <c r="A1074" s="629" t="s">
        <v>3077</v>
      </c>
      <c r="B1074" s="630">
        <v>70</v>
      </c>
      <c r="C1074" s="631" t="str">
        <f t="shared" si="20"/>
        <v>Ô tô tự đổ 10 tấn70</v>
      </c>
      <c r="D1074" s="630"/>
      <c r="E1074" s="630"/>
      <c r="F1074" s="630"/>
      <c r="G1074" s="630"/>
    </row>
    <row r="1075" spans="1:7" ht="18.75" x14ac:dyDescent="0.25">
      <c r="A1075" s="629" t="s">
        <v>3077</v>
      </c>
      <c r="B1075" s="630">
        <v>71</v>
      </c>
      <c r="C1075" s="631" t="str">
        <f t="shared" si="20"/>
        <v>Ô tô tự đổ 10 tấn71</v>
      </c>
      <c r="D1075" s="630"/>
      <c r="E1075" s="630"/>
      <c r="F1075" s="630"/>
      <c r="G1075" s="630"/>
    </row>
    <row r="1076" spans="1:7" ht="18.75" x14ac:dyDescent="0.25">
      <c r="A1076" s="629" t="s">
        <v>3077</v>
      </c>
      <c r="B1076" s="630">
        <v>72</v>
      </c>
      <c r="C1076" s="631" t="str">
        <f t="shared" si="20"/>
        <v>Ô tô tự đổ 10 tấn72</v>
      </c>
      <c r="D1076" s="630"/>
      <c r="E1076" s="630"/>
      <c r="F1076" s="630"/>
      <c r="G1076" s="630"/>
    </row>
    <row r="1077" spans="1:7" ht="18.75" x14ac:dyDescent="0.25">
      <c r="A1077" s="629" t="s">
        <v>3077</v>
      </c>
      <c r="B1077" s="630">
        <v>73</v>
      </c>
      <c r="C1077" s="631" t="str">
        <f t="shared" si="20"/>
        <v>Ô tô tự đổ 10 tấn73</v>
      </c>
      <c r="D1077" s="630"/>
      <c r="E1077" s="630"/>
      <c r="F1077" s="630"/>
      <c r="G1077" s="630"/>
    </row>
    <row r="1078" spans="1:7" ht="18.75" x14ac:dyDescent="0.25">
      <c r="A1078" s="629" t="s">
        <v>3077</v>
      </c>
      <c r="B1078" s="630">
        <v>74</v>
      </c>
      <c r="C1078" s="631" t="str">
        <f t="shared" si="20"/>
        <v>Ô tô tự đổ 10 tấn74</v>
      </c>
      <c r="D1078" s="630"/>
      <c r="E1078" s="630"/>
      <c r="F1078" s="630"/>
      <c r="G1078" s="630"/>
    </row>
    <row r="1079" spans="1:7" ht="18.75" x14ac:dyDescent="0.25">
      <c r="A1079" s="629" t="s">
        <v>3077</v>
      </c>
      <c r="B1079" s="630">
        <v>75</v>
      </c>
      <c r="C1079" s="631" t="str">
        <f t="shared" si="20"/>
        <v>Ô tô tự đổ 10 tấn75</v>
      </c>
      <c r="D1079" s="630"/>
      <c r="E1079" s="630"/>
      <c r="F1079" s="630"/>
      <c r="G1079" s="630"/>
    </row>
    <row r="1080" spans="1:7" ht="18.75" x14ac:dyDescent="0.25">
      <c r="A1080" s="629" t="s">
        <v>3077</v>
      </c>
      <c r="B1080" s="630">
        <v>76</v>
      </c>
      <c r="C1080" s="631" t="str">
        <f t="shared" si="20"/>
        <v>Ô tô tự đổ 10 tấn76</v>
      </c>
      <c r="D1080" s="630"/>
      <c r="E1080" s="630"/>
      <c r="F1080" s="630"/>
      <c r="G1080" s="630"/>
    </row>
    <row r="1081" spans="1:7" ht="18.75" x14ac:dyDescent="0.25">
      <c r="A1081" s="629" t="s">
        <v>3077</v>
      </c>
      <c r="B1081" s="630">
        <v>77</v>
      </c>
      <c r="C1081" s="631" t="str">
        <f t="shared" si="20"/>
        <v>Ô tô tự đổ 10 tấn77</v>
      </c>
      <c r="D1081" s="630"/>
      <c r="E1081" s="630"/>
      <c r="F1081" s="630"/>
      <c r="G1081" s="630"/>
    </row>
    <row r="1082" spans="1:7" ht="18.75" x14ac:dyDescent="0.25">
      <c r="A1082" s="629" t="s">
        <v>3077</v>
      </c>
      <c r="B1082" s="630">
        <v>78</v>
      </c>
      <c r="C1082" s="631" t="str">
        <f t="shared" si="20"/>
        <v>Ô tô tự đổ 10 tấn78</v>
      </c>
      <c r="D1082" s="630"/>
      <c r="E1082" s="630"/>
      <c r="F1082" s="630"/>
      <c r="G1082" s="630"/>
    </row>
    <row r="1083" spans="1:7" ht="18.75" x14ac:dyDescent="0.25">
      <c r="A1083" s="629" t="s">
        <v>3077</v>
      </c>
      <c r="B1083" s="630">
        <v>79</v>
      </c>
      <c r="C1083" s="631" t="str">
        <f t="shared" si="20"/>
        <v>Ô tô tự đổ 10 tấn79</v>
      </c>
      <c r="D1083" s="630"/>
      <c r="E1083" s="630"/>
      <c r="F1083" s="630"/>
      <c r="G1083" s="630"/>
    </row>
    <row r="1084" spans="1:7" ht="18.75" x14ac:dyDescent="0.25">
      <c r="A1084" s="629" t="s">
        <v>3077</v>
      </c>
      <c r="B1084" s="630">
        <v>80</v>
      </c>
      <c r="C1084" s="631" t="str">
        <f t="shared" si="20"/>
        <v>Ô tô tự đổ 10 tấn80</v>
      </c>
      <c r="D1084" s="630"/>
      <c r="E1084" s="630"/>
      <c r="F1084" s="630"/>
      <c r="G1084" s="630"/>
    </row>
    <row r="1085" spans="1:7" ht="18.75" x14ac:dyDescent="0.25">
      <c r="A1085" s="629" t="s">
        <v>3077</v>
      </c>
      <c r="B1085" s="630">
        <v>81</v>
      </c>
      <c r="C1085" s="631" t="str">
        <f t="shared" si="20"/>
        <v>Ô tô tự đổ 10 tấn81</v>
      </c>
      <c r="D1085" s="630"/>
      <c r="E1085" s="630"/>
      <c r="F1085" s="630"/>
      <c r="G1085" s="630"/>
    </row>
    <row r="1086" spans="1:7" ht="18.75" x14ac:dyDescent="0.25">
      <c r="A1086" s="629" t="s">
        <v>3077</v>
      </c>
      <c r="B1086" s="630">
        <v>82</v>
      </c>
      <c r="C1086" s="631" t="str">
        <f t="shared" si="20"/>
        <v>Ô tô tự đổ 10 tấn82</v>
      </c>
      <c r="D1086" s="630"/>
      <c r="E1086" s="630"/>
      <c r="F1086" s="630"/>
      <c r="G1086" s="630"/>
    </row>
    <row r="1087" spans="1:7" ht="18.75" x14ac:dyDescent="0.25">
      <c r="A1087" s="629" t="s">
        <v>3077</v>
      </c>
      <c r="B1087" s="630">
        <v>83</v>
      </c>
      <c r="C1087" s="631" t="str">
        <f t="shared" si="20"/>
        <v>Ô tô tự đổ 10 tấn83</v>
      </c>
      <c r="D1087" s="630"/>
      <c r="E1087" s="630"/>
      <c r="F1087" s="630"/>
      <c r="G1087" s="630"/>
    </row>
    <row r="1088" spans="1:7" ht="18.75" x14ac:dyDescent="0.25">
      <c r="A1088" s="629" t="s">
        <v>3077</v>
      </c>
      <c r="B1088" s="630">
        <v>84</v>
      </c>
      <c r="C1088" s="631" t="str">
        <f t="shared" si="20"/>
        <v>Ô tô tự đổ 10 tấn84</v>
      </c>
      <c r="D1088" s="630"/>
      <c r="E1088" s="630"/>
      <c r="F1088" s="630"/>
      <c r="G1088" s="630"/>
    </row>
    <row r="1089" spans="1:7" ht="18.75" x14ac:dyDescent="0.25">
      <c r="A1089" s="629" t="s">
        <v>3077</v>
      </c>
      <c r="B1089" s="630">
        <v>85</v>
      </c>
      <c r="C1089" s="631" t="str">
        <f t="shared" si="20"/>
        <v>Ô tô tự đổ 10 tấn85</v>
      </c>
      <c r="D1089" s="630"/>
      <c r="E1089" s="630"/>
      <c r="F1089" s="630"/>
      <c r="G1089" s="630"/>
    </row>
    <row r="1090" spans="1:7" ht="18.75" x14ac:dyDescent="0.25">
      <c r="A1090" s="629" t="s">
        <v>3077</v>
      </c>
      <c r="B1090" s="630">
        <v>86</v>
      </c>
      <c r="C1090" s="631" t="str">
        <f t="shared" si="20"/>
        <v>Ô tô tự đổ 10 tấn86</v>
      </c>
      <c r="D1090" s="630"/>
      <c r="E1090" s="630"/>
      <c r="F1090" s="630"/>
      <c r="G1090" s="630"/>
    </row>
    <row r="1091" spans="1:7" ht="18.75" x14ac:dyDescent="0.25">
      <c r="A1091" s="629" t="s">
        <v>3077</v>
      </c>
      <c r="B1091" s="630">
        <v>87</v>
      </c>
      <c r="C1091" s="631" t="str">
        <f t="shared" si="20"/>
        <v>Ô tô tự đổ 10 tấn87</v>
      </c>
      <c r="D1091" s="630"/>
      <c r="E1091" s="630"/>
      <c r="F1091" s="630"/>
      <c r="G1091" s="630"/>
    </row>
    <row r="1092" spans="1:7" ht="18.75" x14ac:dyDescent="0.25">
      <c r="A1092" s="629" t="s">
        <v>3077</v>
      </c>
      <c r="B1092" s="630">
        <v>88</v>
      </c>
      <c r="C1092" s="631" t="str">
        <f t="shared" si="20"/>
        <v>Ô tô tự đổ 10 tấn88</v>
      </c>
      <c r="D1092" s="630"/>
      <c r="E1092" s="630"/>
      <c r="F1092" s="630"/>
      <c r="G1092" s="630"/>
    </row>
    <row r="1093" spans="1:7" ht="18.75" x14ac:dyDescent="0.25">
      <c r="A1093" s="629" t="s">
        <v>3077</v>
      </c>
      <c r="B1093" s="630">
        <v>89</v>
      </c>
      <c r="C1093" s="631" t="str">
        <f t="shared" si="20"/>
        <v>Ô tô tự đổ 10 tấn89</v>
      </c>
      <c r="D1093" s="630"/>
      <c r="E1093" s="630"/>
      <c r="F1093" s="630"/>
      <c r="G1093" s="630"/>
    </row>
    <row r="1094" spans="1:7" ht="18.75" x14ac:dyDescent="0.25">
      <c r="A1094" s="629" t="s">
        <v>3077</v>
      </c>
      <c r="B1094" s="630">
        <v>90</v>
      </c>
      <c r="C1094" s="631" t="str">
        <f t="shared" si="20"/>
        <v>Ô tô tự đổ 10 tấn90</v>
      </c>
      <c r="D1094" s="630"/>
      <c r="E1094" s="630"/>
      <c r="F1094" s="630"/>
      <c r="G1094" s="630"/>
    </row>
    <row r="1095" spans="1:7" ht="18.75" x14ac:dyDescent="0.25">
      <c r="A1095" s="629" t="s">
        <v>3077</v>
      </c>
      <c r="B1095" s="630">
        <v>91</v>
      </c>
      <c r="C1095" s="631" t="str">
        <f t="shared" si="20"/>
        <v>Ô tô tự đổ 10 tấn91</v>
      </c>
      <c r="D1095" s="630"/>
      <c r="E1095" s="630"/>
      <c r="F1095" s="630"/>
      <c r="G1095" s="630"/>
    </row>
    <row r="1096" spans="1:7" ht="18.75" x14ac:dyDescent="0.25">
      <c r="A1096" s="629" t="s">
        <v>3077</v>
      </c>
      <c r="B1096" s="630">
        <v>92</v>
      </c>
      <c r="C1096" s="631" t="str">
        <f t="shared" si="20"/>
        <v>Ô tô tự đổ 10 tấn92</v>
      </c>
      <c r="D1096" s="630"/>
      <c r="E1096" s="630"/>
      <c r="F1096" s="630"/>
      <c r="G1096" s="630"/>
    </row>
    <row r="1097" spans="1:7" ht="18.75" x14ac:dyDescent="0.25">
      <c r="A1097" s="629" t="s">
        <v>3077</v>
      </c>
      <c r="B1097" s="630">
        <v>93</v>
      </c>
      <c r="C1097" s="631" t="str">
        <f t="shared" si="20"/>
        <v>Ô tô tự đổ 10 tấn93</v>
      </c>
      <c r="D1097" s="630"/>
      <c r="E1097" s="630"/>
      <c r="F1097" s="630"/>
      <c r="G1097" s="630"/>
    </row>
    <row r="1098" spans="1:7" ht="18.75" x14ac:dyDescent="0.25">
      <c r="A1098" s="629" t="s">
        <v>3077</v>
      </c>
      <c r="B1098" s="630">
        <v>94</v>
      </c>
      <c r="C1098" s="631" t="str">
        <f t="shared" si="20"/>
        <v>Ô tô tự đổ 10 tấn94</v>
      </c>
      <c r="D1098" s="630"/>
      <c r="E1098" s="630"/>
      <c r="F1098" s="630"/>
      <c r="G1098" s="630"/>
    </row>
    <row r="1099" spans="1:7" ht="18.75" x14ac:dyDescent="0.25">
      <c r="A1099" s="629" t="s">
        <v>3077</v>
      </c>
      <c r="B1099" s="630">
        <v>95</v>
      </c>
      <c r="C1099" s="631" t="str">
        <f t="shared" si="20"/>
        <v>Ô tô tự đổ 10 tấn95</v>
      </c>
      <c r="D1099" s="630"/>
      <c r="E1099" s="630"/>
      <c r="F1099" s="630"/>
      <c r="G1099" s="630"/>
    </row>
    <row r="1100" spans="1:7" ht="18.75" x14ac:dyDescent="0.25">
      <c r="A1100" s="629" t="s">
        <v>3077</v>
      </c>
      <c r="B1100" s="630">
        <v>96</v>
      </c>
      <c r="C1100" s="631" t="str">
        <f t="shared" si="20"/>
        <v>Ô tô tự đổ 10 tấn96</v>
      </c>
      <c r="D1100" s="630"/>
      <c r="E1100" s="630"/>
      <c r="F1100" s="630"/>
      <c r="G1100" s="630"/>
    </row>
    <row r="1101" spans="1:7" ht="18.75" x14ac:dyDescent="0.25">
      <c r="A1101" s="629" t="s">
        <v>3077</v>
      </c>
      <c r="B1101" s="630">
        <v>97</v>
      </c>
      <c r="C1101" s="631" t="str">
        <f t="shared" si="20"/>
        <v>Ô tô tự đổ 10 tấn97</v>
      </c>
      <c r="D1101" s="630"/>
      <c r="E1101" s="630"/>
      <c r="F1101" s="630"/>
      <c r="G1101" s="630"/>
    </row>
    <row r="1102" spans="1:7" ht="18.75" x14ac:dyDescent="0.25">
      <c r="A1102" s="629" t="s">
        <v>3077</v>
      </c>
      <c r="B1102" s="630">
        <v>98</v>
      </c>
      <c r="C1102" s="631" t="str">
        <f t="shared" si="20"/>
        <v>Ô tô tự đổ 10 tấn98</v>
      </c>
      <c r="D1102" s="630"/>
      <c r="E1102" s="630"/>
      <c r="F1102" s="630"/>
      <c r="G1102" s="630"/>
    </row>
    <row r="1103" spans="1:7" ht="18.75" x14ac:dyDescent="0.25">
      <c r="A1103" s="629" t="s">
        <v>3077</v>
      </c>
      <c r="B1103" s="630">
        <v>99</v>
      </c>
      <c r="C1103" s="631" t="str">
        <f t="shared" si="20"/>
        <v>Ô tô tự đổ 10 tấn99</v>
      </c>
      <c r="D1103" s="630"/>
      <c r="E1103" s="630"/>
      <c r="F1103" s="630"/>
      <c r="G1103" s="630"/>
    </row>
    <row r="1104" spans="1:7" ht="18.75" x14ac:dyDescent="0.25">
      <c r="A1104" s="629" t="s">
        <v>3077</v>
      </c>
      <c r="B1104" s="630">
        <v>100</v>
      </c>
      <c r="C1104" s="631" t="str">
        <f t="shared" si="20"/>
        <v>Ô tô tự đổ 10 tấn100</v>
      </c>
      <c r="D1104" s="630"/>
      <c r="E1104" s="630"/>
      <c r="F1104" s="630"/>
      <c r="G1104" s="630"/>
    </row>
    <row r="1105" spans="1:7" ht="18.75" x14ac:dyDescent="0.25">
      <c r="A1105" s="629" t="s">
        <v>3077</v>
      </c>
      <c r="B1105" s="630">
        <v>101</v>
      </c>
      <c r="C1105" s="631" t="str">
        <f t="shared" si="20"/>
        <v>Ô tô tự đổ 10 tấn101</v>
      </c>
      <c r="D1105" s="630"/>
      <c r="E1105" s="630"/>
      <c r="F1105" s="630"/>
      <c r="G1105" s="630"/>
    </row>
    <row r="1106" spans="1:7" ht="18.75" x14ac:dyDescent="0.25">
      <c r="A1106" s="629" t="s">
        <v>3077</v>
      </c>
      <c r="B1106" s="630">
        <v>102</v>
      </c>
      <c r="C1106" s="631" t="str">
        <f t="shared" si="20"/>
        <v>Ô tô tự đổ 10 tấn102</v>
      </c>
      <c r="D1106" s="630"/>
      <c r="E1106" s="630"/>
      <c r="F1106" s="630"/>
      <c r="G1106" s="630"/>
    </row>
    <row r="1107" spans="1:7" ht="18.75" x14ac:dyDescent="0.25">
      <c r="A1107" s="629" t="s">
        <v>3077</v>
      </c>
      <c r="B1107" s="630">
        <v>103</v>
      </c>
      <c r="C1107" s="631" t="str">
        <f t="shared" si="20"/>
        <v>Ô tô tự đổ 10 tấn103</v>
      </c>
      <c r="D1107" s="630"/>
      <c r="E1107" s="630"/>
      <c r="F1107" s="630"/>
      <c r="G1107" s="630"/>
    </row>
    <row r="1108" spans="1:7" ht="18.75" x14ac:dyDescent="0.25">
      <c r="A1108" s="629" t="s">
        <v>3077</v>
      </c>
      <c r="B1108" s="630">
        <v>104</v>
      </c>
      <c r="C1108" s="631" t="str">
        <f t="shared" si="20"/>
        <v>Ô tô tự đổ 10 tấn104</v>
      </c>
      <c r="D1108" s="630"/>
      <c r="E1108" s="630"/>
      <c r="F1108" s="630"/>
      <c r="G1108" s="630"/>
    </row>
    <row r="1109" spans="1:7" ht="18.75" x14ac:dyDescent="0.25">
      <c r="A1109" s="629" t="s">
        <v>3077</v>
      </c>
      <c r="B1109" s="630">
        <v>105</v>
      </c>
      <c r="C1109" s="631" t="str">
        <f t="shared" si="20"/>
        <v>Ô tô tự đổ 10 tấn105</v>
      </c>
      <c r="D1109" s="630"/>
      <c r="E1109" s="630"/>
      <c r="F1109" s="630"/>
      <c r="G1109" s="630"/>
    </row>
    <row r="1110" spans="1:7" ht="18.75" x14ac:dyDescent="0.25">
      <c r="A1110" s="629" t="s">
        <v>3077</v>
      </c>
      <c r="B1110" s="630">
        <v>106</v>
      </c>
      <c r="C1110" s="631" t="str">
        <f t="shared" si="20"/>
        <v>Ô tô tự đổ 10 tấn106</v>
      </c>
      <c r="D1110" s="630"/>
      <c r="E1110" s="630"/>
      <c r="F1110" s="630"/>
      <c r="G1110" s="630"/>
    </row>
    <row r="1111" spans="1:7" ht="18.75" x14ac:dyDescent="0.25">
      <c r="A1111" s="629" t="s">
        <v>3077</v>
      </c>
      <c r="B1111" s="630">
        <v>107</v>
      </c>
      <c r="C1111" s="631" t="str">
        <f t="shared" si="20"/>
        <v>Ô tô tự đổ 10 tấn107</v>
      </c>
      <c r="D1111" s="630"/>
      <c r="E1111" s="630"/>
      <c r="F1111" s="630"/>
      <c r="G1111" s="630"/>
    </row>
    <row r="1112" spans="1:7" ht="18.75" x14ac:dyDescent="0.25">
      <c r="A1112" s="629" t="s">
        <v>3077</v>
      </c>
      <c r="B1112" s="630">
        <v>108</v>
      </c>
      <c r="C1112" s="631" t="str">
        <f t="shared" si="20"/>
        <v>Ô tô tự đổ 10 tấn108</v>
      </c>
      <c r="D1112" s="630"/>
      <c r="E1112" s="630"/>
      <c r="F1112" s="630"/>
      <c r="G1112" s="630"/>
    </row>
    <row r="1113" spans="1:7" ht="18.75" x14ac:dyDescent="0.25">
      <c r="A1113" s="629" t="s">
        <v>3077</v>
      </c>
      <c r="B1113" s="630">
        <v>109</v>
      </c>
      <c r="C1113" s="631" t="str">
        <f t="shared" si="20"/>
        <v>Ô tô tự đổ 10 tấn109</v>
      </c>
      <c r="D1113" s="630"/>
      <c r="E1113" s="630"/>
      <c r="F1113" s="630"/>
      <c r="G1113" s="630"/>
    </row>
    <row r="1114" spans="1:7" ht="18.75" x14ac:dyDescent="0.25">
      <c r="A1114" s="629" t="s">
        <v>3077</v>
      </c>
      <c r="B1114" s="630">
        <v>110</v>
      </c>
      <c r="C1114" s="631" t="str">
        <f t="shared" si="20"/>
        <v>Ô tô tự đổ 10 tấn110</v>
      </c>
      <c r="D1114" s="630"/>
      <c r="E1114" s="630"/>
      <c r="F1114" s="630"/>
      <c r="G1114" s="630"/>
    </row>
    <row r="1115" spans="1:7" ht="18.75" x14ac:dyDescent="0.25">
      <c r="A1115" s="629" t="s">
        <v>3077</v>
      </c>
      <c r="B1115" s="630">
        <v>111</v>
      </c>
      <c r="C1115" s="631" t="str">
        <f t="shared" si="20"/>
        <v>Ô tô tự đổ 10 tấn111</v>
      </c>
      <c r="D1115" s="630"/>
      <c r="E1115" s="630"/>
      <c r="F1115" s="630"/>
      <c r="G1115" s="630"/>
    </row>
    <row r="1116" spans="1:7" ht="18.75" x14ac:dyDescent="0.25">
      <c r="A1116" s="629" t="s">
        <v>3077</v>
      </c>
      <c r="B1116" s="630">
        <v>112</v>
      </c>
      <c r="C1116" s="631" t="str">
        <f t="shared" si="20"/>
        <v>Ô tô tự đổ 10 tấn112</v>
      </c>
      <c r="D1116" s="630"/>
      <c r="E1116" s="630"/>
      <c r="F1116" s="630"/>
      <c r="G1116" s="630"/>
    </row>
    <row r="1117" spans="1:7" ht="18.75" x14ac:dyDescent="0.25">
      <c r="A1117" s="629" t="s">
        <v>3077</v>
      </c>
      <c r="B1117" s="630">
        <v>113</v>
      </c>
      <c r="C1117" s="631" t="str">
        <f t="shared" si="20"/>
        <v>Ô tô tự đổ 10 tấn113</v>
      </c>
      <c r="D1117" s="630"/>
      <c r="E1117" s="630"/>
      <c r="F1117" s="630"/>
      <c r="G1117" s="630"/>
    </row>
    <row r="1118" spans="1:7" ht="18.75" x14ac:dyDescent="0.25">
      <c r="A1118" s="629" t="s">
        <v>3077</v>
      </c>
      <c r="B1118" s="630">
        <v>114</v>
      </c>
      <c r="C1118" s="631" t="str">
        <f t="shared" si="20"/>
        <v>Ô tô tự đổ 10 tấn114</v>
      </c>
      <c r="D1118" s="630"/>
      <c r="E1118" s="630"/>
      <c r="F1118" s="630"/>
      <c r="G1118" s="630"/>
    </row>
    <row r="1119" spans="1:7" ht="18.75" x14ac:dyDescent="0.25">
      <c r="A1119" s="629" t="s">
        <v>3077</v>
      </c>
      <c r="B1119" s="630">
        <v>115</v>
      </c>
      <c r="C1119" s="631" t="str">
        <f t="shared" si="20"/>
        <v>Ô tô tự đổ 10 tấn115</v>
      </c>
      <c r="D1119" s="630"/>
      <c r="E1119" s="630"/>
      <c r="F1119" s="630"/>
      <c r="G1119" s="630"/>
    </row>
    <row r="1120" spans="1:7" ht="18.75" x14ac:dyDescent="0.25">
      <c r="A1120" s="629" t="s">
        <v>3077</v>
      </c>
      <c r="B1120" s="630">
        <v>116</v>
      </c>
      <c r="C1120" s="631" t="str">
        <f t="shared" si="20"/>
        <v>Ô tô tự đổ 10 tấn116</v>
      </c>
      <c r="D1120" s="630"/>
      <c r="E1120" s="630"/>
      <c r="F1120" s="630"/>
      <c r="G1120" s="630"/>
    </row>
    <row r="1121" spans="1:7" ht="18.75" x14ac:dyDescent="0.25">
      <c r="A1121" s="629" t="s">
        <v>3077</v>
      </c>
      <c r="B1121" s="630">
        <v>117</v>
      </c>
      <c r="C1121" s="631" t="str">
        <f t="shared" si="20"/>
        <v>Ô tô tự đổ 10 tấn117</v>
      </c>
      <c r="D1121" s="630"/>
      <c r="E1121" s="630"/>
      <c r="F1121" s="630"/>
      <c r="G1121" s="630"/>
    </row>
    <row r="1122" spans="1:7" ht="18.75" x14ac:dyDescent="0.25">
      <c r="A1122" s="629" t="s">
        <v>3077</v>
      </c>
      <c r="B1122" s="630">
        <v>118</v>
      </c>
      <c r="C1122" s="631" t="str">
        <f t="shared" si="20"/>
        <v>Ô tô tự đổ 10 tấn118</v>
      </c>
      <c r="D1122" s="630"/>
      <c r="E1122" s="630"/>
      <c r="F1122" s="630"/>
      <c r="G1122" s="630"/>
    </row>
    <row r="1123" spans="1:7" ht="18.75" x14ac:dyDescent="0.25">
      <c r="A1123" s="629" t="s">
        <v>3077</v>
      </c>
      <c r="B1123" s="630">
        <v>119</v>
      </c>
      <c r="C1123" s="631" t="str">
        <f t="shared" si="20"/>
        <v>Ô tô tự đổ 10 tấn119</v>
      </c>
      <c r="D1123" s="630"/>
      <c r="E1123" s="630"/>
      <c r="F1123" s="630"/>
      <c r="G1123" s="630"/>
    </row>
    <row r="1124" spans="1:7" ht="18.75" x14ac:dyDescent="0.25">
      <c r="A1124" s="629" t="s">
        <v>3077</v>
      </c>
      <c r="B1124" s="630">
        <v>120</v>
      </c>
      <c r="C1124" s="631" t="str">
        <f t="shared" si="20"/>
        <v>Ô tô tự đổ 10 tấn120</v>
      </c>
      <c r="D1124" s="630"/>
      <c r="E1124" s="630"/>
      <c r="F1124" s="630"/>
      <c r="G1124" s="630"/>
    </row>
    <row r="1125" spans="1:7" ht="18.75" x14ac:dyDescent="0.25">
      <c r="A1125" s="629" t="s">
        <v>3077</v>
      </c>
      <c r="B1125" s="630">
        <v>121</v>
      </c>
      <c r="C1125" s="631" t="str">
        <f t="shared" si="20"/>
        <v>Ô tô tự đổ 10 tấn121</v>
      </c>
      <c r="D1125" s="630"/>
      <c r="E1125" s="630"/>
      <c r="F1125" s="630"/>
      <c r="G1125" s="630"/>
    </row>
    <row r="1126" spans="1:7" ht="18.75" x14ac:dyDescent="0.25">
      <c r="A1126" s="629" t="s">
        <v>3077</v>
      </c>
      <c r="B1126" s="630">
        <v>122</v>
      </c>
      <c r="C1126" s="631" t="str">
        <f t="shared" si="20"/>
        <v>Ô tô tự đổ 10 tấn122</v>
      </c>
      <c r="D1126" s="630"/>
      <c r="E1126" s="630"/>
      <c r="F1126" s="630"/>
      <c r="G1126" s="630"/>
    </row>
    <row r="1127" spans="1:7" ht="18.75" x14ac:dyDescent="0.25">
      <c r="A1127" s="629" t="s">
        <v>3077</v>
      </c>
      <c r="B1127" s="630">
        <v>123</v>
      </c>
      <c r="C1127" s="631" t="str">
        <f t="shared" si="20"/>
        <v>Ô tô tự đổ 10 tấn123</v>
      </c>
      <c r="D1127" s="630"/>
      <c r="E1127" s="630"/>
      <c r="F1127" s="630"/>
      <c r="G1127" s="630"/>
    </row>
    <row r="1128" spans="1:7" ht="18.75" x14ac:dyDescent="0.25">
      <c r="A1128" s="629" t="s">
        <v>3077</v>
      </c>
      <c r="B1128" s="630">
        <v>124</v>
      </c>
      <c r="C1128" s="631" t="str">
        <f t="shared" si="20"/>
        <v>Ô tô tự đổ 10 tấn124</v>
      </c>
      <c r="D1128" s="630"/>
      <c r="E1128" s="630"/>
      <c r="F1128" s="630"/>
      <c r="G1128" s="630"/>
    </row>
    <row r="1129" spans="1:7" ht="18.75" x14ac:dyDescent="0.25">
      <c r="A1129" s="629" t="s">
        <v>3077</v>
      </c>
      <c r="B1129" s="630">
        <v>125</v>
      </c>
      <c r="C1129" s="631" t="str">
        <f t="shared" si="20"/>
        <v>Ô tô tự đổ 10 tấn125</v>
      </c>
      <c r="D1129" s="630"/>
      <c r="E1129" s="630"/>
      <c r="F1129" s="630"/>
      <c r="G1129" s="630"/>
    </row>
    <row r="1130" spans="1:7" ht="18.75" x14ac:dyDescent="0.25">
      <c r="A1130" s="629" t="s">
        <v>3077</v>
      </c>
      <c r="B1130" s="630">
        <v>126</v>
      </c>
      <c r="C1130" s="631" t="str">
        <f t="shared" si="20"/>
        <v>Ô tô tự đổ 10 tấn126</v>
      </c>
      <c r="D1130" s="630"/>
      <c r="E1130" s="630"/>
      <c r="F1130" s="630"/>
      <c r="G1130" s="630"/>
    </row>
    <row r="1131" spans="1:7" ht="18.75" x14ac:dyDescent="0.25">
      <c r="A1131" s="629" t="s">
        <v>3077</v>
      </c>
      <c r="B1131" s="630">
        <v>127</v>
      </c>
      <c r="C1131" s="631" t="str">
        <f t="shared" si="20"/>
        <v>Ô tô tự đổ 10 tấn127</v>
      </c>
      <c r="D1131" s="630"/>
      <c r="E1131" s="630"/>
      <c r="F1131" s="630"/>
      <c r="G1131" s="630"/>
    </row>
    <row r="1132" spans="1:7" ht="18.75" x14ac:dyDescent="0.25">
      <c r="A1132" s="629" t="s">
        <v>3077</v>
      </c>
      <c r="B1132" s="630">
        <v>128</v>
      </c>
      <c r="C1132" s="631" t="str">
        <f t="shared" si="20"/>
        <v>Ô tô tự đổ 10 tấn128</v>
      </c>
      <c r="D1132" s="630"/>
      <c r="E1132" s="630"/>
      <c r="F1132" s="630"/>
      <c r="G1132" s="630"/>
    </row>
    <row r="1133" spans="1:7" ht="18.75" x14ac:dyDescent="0.25">
      <c r="A1133" s="629" t="s">
        <v>3077</v>
      </c>
      <c r="B1133" s="630">
        <v>129</v>
      </c>
      <c r="C1133" s="631" t="str">
        <f t="shared" si="20"/>
        <v>Ô tô tự đổ 10 tấn129</v>
      </c>
      <c r="D1133" s="630"/>
      <c r="E1133" s="630"/>
      <c r="F1133" s="630"/>
      <c r="G1133" s="630"/>
    </row>
    <row r="1134" spans="1:7" ht="18.75" x14ac:dyDescent="0.25">
      <c r="A1134" s="629" t="s">
        <v>3077</v>
      </c>
      <c r="B1134" s="630">
        <v>130</v>
      </c>
      <c r="C1134" s="631" t="str">
        <f t="shared" ref="C1134:C1197" si="21">A1134&amp;B1134</f>
        <v>Ô tô tự đổ 10 tấn130</v>
      </c>
      <c r="D1134" s="630"/>
      <c r="E1134" s="630"/>
      <c r="F1134" s="630"/>
      <c r="G1134" s="630"/>
    </row>
    <row r="1135" spans="1:7" ht="18.75" x14ac:dyDescent="0.25">
      <c r="A1135" s="629" t="s">
        <v>3077</v>
      </c>
      <c r="B1135" s="630">
        <v>131</v>
      </c>
      <c r="C1135" s="631" t="str">
        <f t="shared" si="21"/>
        <v>Ô tô tự đổ 10 tấn131</v>
      </c>
      <c r="D1135" s="630"/>
      <c r="E1135" s="630"/>
      <c r="F1135" s="630"/>
      <c r="G1135" s="630"/>
    </row>
    <row r="1136" spans="1:7" ht="18.75" x14ac:dyDescent="0.25">
      <c r="A1136" s="629" t="s">
        <v>3077</v>
      </c>
      <c r="B1136" s="630">
        <v>132</v>
      </c>
      <c r="C1136" s="631" t="str">
        <f t="shared" si="21"/>
        <v>Ô tô tự đổ 10 tấn132</v>
      </c>
      <c r="D1136" s="630"/>
      <c r="E1136" s="630"/>
      <c r="F1136" s="630"/>
      <c r="G1136" s="630"/>
    </row>
    <row r="1137" spans="1:7" ht="18.75" x14ac:dyDescent="0.25">
      <c r="A1137" s="629" t="s">
        <v>3077</v>
      </c>
      <c r="B1137" s="630">
        <v>133</v>
      </c>
      <c r="C1137" s="631" t="str">
        <f t="shared" si="21"/>
        <v>Ô tô tự đổ 10 tấn133</v>
      </c>
      <c r="D1137" s="630"/>
      <c r="E1137" s="630"/>
      <c r="F1137" s="630"/>
      <c r="G1137" s="630"/>
    </row>
    <row r="1138" spans="1:7" ht="18.75" x14ac:dyDescent="0.25">
      <c r="A1138" s="629" t="s">
        <v>3077</v>
      </c>
      <c r="B1138" s="630">
        <v>134</v>
      </c>
      <c r="C1138" s="631" t="str">
        <f t="shared" si="21"/>
        <v>Ô tô tự đổ 10 tấn134</v>
      </c>
      <c r="D1138" s="630"/>
      <c r="E1138" s="630"/>
      <c r="F1138" s="630"/>
      <c r="G1138" s="630"/>
    </row>
    <row r="1139" spans="1:7" ht="18.75" x14ac:dyDescent="0.25">
      <c r="A1139" s="629" t="s">
        <v>3077</v>
      </c>
      <c r="B1139" s="630">
        <v>135</v>
      </c>
      <c r="C1139" s="631" t="str">
        <f t="shared" si="21"/>
        <v>Ô tô tự đổ 10 tấn135</v>
      </c>
      <c r="D1139" s="630"/>
      <c r="E1139" s="630"/>
      <c r="F1139" s="630"/>
      <c r="G1139" s="630"/>
    </row>
    <row r="1140" spans="1:7" ht="18.75" x14ac:dyDescent="0.25">
      <c r="A1140" s="629" t="s">
        <v>3077</v>
      </c>
      <c r="B1140" s="630">
        <v>136</v>
      </c>
      <c r="C1140" s="631" t="str">
        <f t="shared" si="21"/>
        <v>Ô tô tự đổ 10 tấn136</v>
      </c>
      <c r="D1140" s="630"/>
      <c r="E1140" s="630"/>
      <c r="F1140" s="630"/>
      <c r="G1140" s="630"/>
    </row>
    <row r="1141" spans="1:7" ht="18.75" x14ac:dyDescent="0.25">
      <c r="A1141" s="629" t="s">
        <v>3077</v>
      </c>
      <c r="B1141" s="630">
        <v>137</v>
      </c>
      <c r="C1141" s="631" t="str">
        <f t="shared" si="21"/>
        <v>Ô tô tự đổ 10 tấn137</v>
      </c>
      <c r="D1141" s="630"/>
      <c r="E1141" s="630"/>
      <c r="F1141" s="630"/>
      <c r="G1141" s="630"/>
    </row>
    <row r="1142" spans="1:7" ht="18.75" x14ac:dyDescent="0.25">
      <c r="A1142" s="629" t="s">
        <v>3077</v>
      </c>
      <c r="B1142" s="630">
        <v>138</v>
      </c>
      <c r="C1142" s="631" t="str">
        <f t="shared" si="21"/>
        <v>Ô tô tự đổ 10 tấn138</v>
      </c>
      <c r="D1142" s="630"/>
      <c r="E1142" s="630"/>
      <c r="F1142" s="630"/>
      <c r="G1142" s="630"/>
    </row>
    <row r="1143" spans="1:7" ht="18.75" x14ac:dyDescent="0.25">
      <c r="A1143" s="629" t="s">
        <v>3077</v>
      </c>
      <c r="B1143" s="630">
        <v>139</v>
      </c>
      <c r="C1143" s="631" t="str">
        <f t="shared" si="21"/>
        <v>Ô tô tự đổ 10 tấn139</v>
      </c>
      <c r="D1143" s="630"/>
      <c r="E1143" s="630"/>
      <c r="F1143" s="630"/>
      <c r="G1143" s="630"/>
    </row>
    <row r="1144" spans="1:7" ht="18.75" x14ac:dyDescent="0.25">
      <c r="A1144" s="629" t="s">
        <v>3077</v>
      </c>
      <c r="B1144" s="630">
        <v>140</v>
      </c>
      <c r="C1144" s="631" t="str">
        <f t="shared" si="21"/>
        <v>Ô tô tự đổ 10 tấn140</v>
      </c>
      <c r="D1144" s="630"/>
      <c r="E1144" s="630"/>
      <c r="F1144" s="630"/>
      <c r="G1144" s="630"/>
    </row>
    <row r="1145" spans="1:7" ht="18.75" x14ac:dyDescent="0.25">
      <c r="A1145" s="629" t="s">
        <v>3077</v>
      </c>
      <c r="B1145" s="630">
        <v>141</v>
      </c>
      <c r="C1145" s="631" t="str">
        <f t="shared" si="21"/>
        <v>Ô tô tự đổ 10 tấn141</v>
      </c>
      <c r="D1145" s="630"/>
      <c r="E1145" s="630"/>
      <c r="F1145" s="630"/>
      <c r="G1145" s="630"/>
    </row>
    <row r="1146" spans="1:7" ht="18.75" x14ac:dyDescent="0.25">
      <c r="A1146" s="629" t="s">
        <v>3077</v>
      </c>
      <c r="B1146" s="630">
        <v>142</v>
      </c>
      <c r="C1146" s="631" t="str">
        <f t="shared" si="21"/>
        <v>Ô tô tự đổ 10 tấn142</v>
      </c>
      <c r="D1146" s="630"/>
      <c r="E1146" s="630"/>
      <c r="F1146" s="630"/>
      <c r="G1146" s="630"/>
    </row>
    <row r="1147" spans="1:7" ht="18.75" x14ac:dyDescent="0.25">
      <c r="A1147" s="629" t="s">
        <v>3077</v>
      </c>
      <c r="B1147" s="630">
        <v>143</v>
      </c>
      <c r="C1147" s="631" t="str">
        <f t="shared" si="21"/>
        <v>Ô tô tự đổ 10 tấn143</v>
      </c>
      <c r="D1147" s="630"/>
      <c r="E1147" s="630"/>
      <c r="F1147" s="630"/>
      <c r="G1147" s="630"/>
    </row>
    <row r="1148" spans="1:7" ht="18.75" x14ac:dyDescent="0.25">
      <c r="A1148" s="629" t="s">
        <v>3077</v>
      </c>
      <c r="B1148" s="630">
        <v>144</v>
      </c>
      <c r="C1148" s="631" t="str">
        <f t="shared" si="21"/>
        <v>Ô tô tự đổ 10 tấn144</v>
      </c>
      <c r="D1148" s="630"/>
      <c r="E1148" s="630"/>
      <c r="F1148" s="630"/>
      <c r="G1148" s="630"/>
    </row>
    <row r="1149" spans="1:7" ht="18.75" x14ac:dyDescent="0.25">
      <c r="A1149" s="629" t="s">
        <v>3077</v>
      </c>
      <c r="B1149" s="630">
        <v>145</v>
      </c>
      <c r="C1149" s="631" t="str">
        <f t="shared" si="21"/>
        <v>Ô tô tự đổ 10 tấn145</v>
      </c>
      <c r="D1149" s="630"/>
      <c r="E1149" s="630"/>
      <c r="F1149" s="630"/>
      <c r="G1149" s="630"/>
    </row>
    <row r="1150" spans="1:7" ht="18.75" x14ac:dyDescent="0.25">
      <c r="A1150" s="629" t="s">
        <v>3077</v>
      </c>
      <c r="B1150" s="630">
        <v>146</v>
      </c>
      <c r="C1150" s="631" t="str">
        <f t="shared" si="21"/>
        <v>Ô tô tự đổ 10 tấn146</v>
      </c>
      <c r="D1150" s="630"/>
      <c r="E1150" s="630"/>
      <c r="F1150" s="630"/>
      <c r="G1150" s="630"/>
    </row>
    <row r="1151" spans="1:7" ht="18.75" x14ac:dyDescent="0.25">
      <c r="A1151" s="629" t="s">
        <v>3077</v>
      </c>
      <c r="B1151" s="630">
        <v>147</v>
      </c>
      <c r="C1151" s="631" t="str">
        <f t="shared" si="21"/>
        <v>Ô tô tự đổ 10 tấn147</v>
      </c>
      <c r="D1151" s="630"/>
      <c r="E1151" s="630"/>
      <c r="F1151" s="630"/>
      <c r="G1151" s="630"/>
    </row>
    <row r="1152" spans="1:7" ht="18.75" x14ac:dyDescent="0.25">
      <c r="A1152" s="629" t="s">
        <v>3077</v>
      </c>
      <c r="B1152" s="630">
        <v>148</v>
      </c>
      <c r="C1152" s="631" t="str">
        <f t="shared" si="21"/>
        <v>Ô tô tự đổ 10 tấn148</v>
      </c>
      <c r="D1152" s="630"/>
      <c r="E1152" s="630"/>
      <c r="F1152" s="630"/>
      <c r="G1152" s="630"/>
    </row>
    <row r="1153" spans="1:7" ht="18.75" x14ac:dyDescent="0.25">
      <c r="A1153" s="629" t="s">
        <v>3077</v>
      </c>
      <c r="B1153" s="630">
        <v>149</v>
      </c>
      <c r="C1153" s="631" t="str">
        <f t="shared" si="21"/>
        <v>Ô tô tự đổ 10 tấn149</v>
      </c>
      <c r="D1153" s="630"/>
      <c r="E1153" s="630"/>
      <c r="F1153" s="630"/>
      <c r="G1153" s="630"/>
    </row>
    <row r="1154" spans="1:7" ht="18.75" x14ac:dyDescent="0.25">
      <c r="A1154" s="629" t="s">
        <v>3077</v>
      </c>
      <c r="B1154" s="630">
        <v>150</v>
      </c>
      <c r="C1154" s="631" t="str">
        <f t="shared" si="21"/>
        <v>Ô tô tự đổ 10 tấn150</v>
      </c>
      <c r="D1154" s="630"/>
      <c r="E1154" s="630"/>
      <c r="F1154" s="630"/>
      <c r="G1154" s="630"/>
    </row>
    <row r="1155" spans="1:7" ht="18.75" x14ac:dyDescent="0.25">
      <c r="A1155" s="629" t="s">
        <v>3077</v>
      </c>
      <c r="B1155" s="630">
        <v>151</v>
      </c>
      <c r="C1155" s="631" t="str">
        <f t="shared" si="21"/>
        <v>Ô tô tự đổ 10 tấn151</v>
      </c>
      <c r="D1155" s="630"/>
      <c r="E1155" s="630"/>
      <c r="F1155" s="630"/>
      <c r="G1155" s="630"/>
    </row>
    <row r="1156" spans="1:7" ht="18.75" x14ac:dyDescent="0.25">
      <c r="A1156" s="629" t="s">
        <v>3077</v>
      </c>
      <c r="B1156" s="630">
        <v>152</v>
      </c>
      <c r="C1156" s="631" t="str">
        <f t="shared" si="21"/>
        <v>Ô tô tự đổ 10 tấn152</v>
      </c>
      <c r="D1156" s="630"/>
      <c r="E1156" s="630"/>
      <c r="F1156" s="630"/>
      <c r="G1156" s="630"/>
    </row>
    <row r="1157" spans="1:7" ht="18.75" x14ac:dyDescent="0.25">
      <c r="A1157" s="629" t="s">
        <v>3077</v>
      </c>
      <c r="B1157" s="630">
        <v>153</v>
      </c>
      <c r="C1157" s="631" t="str">
        <f t="shared" si="21"/>
        <v>Ô tô tự đổ 10 tấn153</v>
      </c>
      <c r="D1157" s="630"/>
      <c r="E1157" s="630"/>
      <c r="F1157" s="630"/>
      <c r="G1157" s="630"/>
    </row>
    <row r="1158" spans="1:7" ht="18.75" x14ac:dyDescent="0.25">
      <c r="A1158" s="629" t="s">
        <v>3077</v>
      </c>
      <c r="B1158" s="630">
        <v>154</v>
      </c>
      <c r="C1158" s="631" t="str">
        <f t="shared" si="21"/>
        <v>Ô tô tự đổ 10 tấn154</v>
      </c>
      <c r="D1158" s="630"/>
      <c r="E1158" s="630"/>
      <c r="F1158" s="630"/>
      <c r="G1158" s="630"/>
    </row>
    <row r="1159" spans="1:7" ht="18.75" x14ac:dyDescent="0.25">
      <c r="A1159" s="629" t="s">
        <v>3077</v>
      </c>
      <c r="B1159" s="630">
        <v>155</v>
      </c>
      <c r="C1159" s="631" t="str">
        <f t="shared" si="21"/>
        <v>Ô tô tự đổ 10 tấn155</v>
      </c>
      <c r="D1159" s="630"/>
      <c r="E1159" s="630"/>
      <c r="F1159" s="630"/>
      <c r="G1159" s="630"/>
    </row>
    <row r="1160" spans="1:7" ht="18.75" x14ac:dyDescent="0.25">
      <c r="A1160" s="629" t="s">
        <v>3077</v>
      </c>
      <c r="B1160" s="630">
        <v>156</v>
      </c>
      <c r="C1160" s="631" t="str">
        <f t="shared" si="21"/>
        <v>Ô tô tự đổ 10 tấn156</v>
      </c>
      <c r="D1160" s="630"/>
      <c r="E1160" s="630"/>
      <c r="F1160" s="630"/>
      <c r="G1160" s="630"/>
    </row>
    <row r="1161" spans="1:7" ht="18.75" x14ac:dyDescent="0.25">
      <c r="A1161" s="629" t="s">
        <v>3077</v>
      </c>
      <c r="B1161" s="630">
        <v>157</v>
      </c>
      <c r="C1161" s="631" t="str">
        <f t="shared" si="21"/>
        <v>Ô tô tự đổ 10 tấn157</v>
      </c>
      <c r="D1161" s="630"/>
      <c r="E1161" s="630"/>
      <c r="F1161" s="630"/>
      <c r="G1161" s="630"/>
    </row>
    <row r="1162" spans="1:7" ht="18.75" x14ac:dyDescent="0.25">
      <c r="A1162" s="629" t="s">
        <v>3077</v>
      </c>
      <c r="B1162" s="630">
        <v>158</v>
      </c>
      <c r="C1162" s="631" t="str">
        <f t="shared" si="21"/>
        <v>Ô tô tự đổ 10 tấn158</v>
      </c>
      <c r="D1162" s="630"/>
      <c r="E1162" s="630"/>
      <c r="F1162" s="630"/>
      <c r="G1162" s="630"/>
    </row>
    <row r="1163" spans="1:7" ht="18.75" x14ac:dyDescent="0.25">
      <c r="A1163" s="629" t="s">
        <v>3077</v>
      </c>
      <c r="B1163" s="630">
        <v>159</v>
      </c>
      <c r="C1163" s="631" t="str">
        <f t="shared" si="21"/>
        <v>Ô tô tự đổ 10 tấn159</v>
      </c>
      <c r="D1163" s="630"/>
      <c r="E1163" s="630"/>
      <c r="F1163" s="630"/>
      <c r="G1163" s="630"/>
    </row>
    <row r="1164" spans="1:7" ht="18.75" x14ac:dyDescent="0.25">
      <c r="A1164" s="629" t="s">
        <v>3077</v>
      </c>
      <c r="B1164" s="630">
        <v>160</v>
      </c>
      <c r="C1164" s="631" t="str">
        <f t="shared" si="21"/>
        <v>Ô tô tự đổ 10 tấn160</v>
      </c>
      <c r="D1164" s="630"/>
      <c r="E1164" s="630"/>
      <c r="F1164" s="630"/>
      <c r="G1164" s="630"/>
    </row>
    <row r="1165" spans="1:7" ht="18.75" x14ac:dyDescent="0.25">
      <c r="A1165" s="629" t="s">
        <v>3077</v>
      </c>
      <c r="B1165" s="630">
        <v>161</v>
      </c>
      <c r="C1165" s="631" t="str">
        <f t="shared" si="21"/>
        <v>Ô tô tự đổ 10 tấn161</v>
      </c>
      <c r="D1165" s="630"/>
      <c r="E1165" s="630"/>
      <c r="F1165" s="630"/>
      <c r="G1165" s="630"/>
    </row>
    <row r="1166" spans="1:7" ht="18.75" x14ac:dyDescent="0.25">
      <c r="A1166" s="629" t="s">
        <v>3077</v>
      </c>
      <c r="B1166" s="630">
        <v>162</v>
      </c>
      <c r="C1166" s="631" t="str">
        <f t="shared" si="21"/>
        <v>Ô tô tự đổ 10 tấn162</v>
      </c>
      <c r="D1166" s="630"/>
      <c r="E1166" s="630"/>
      <c r="F1166" s="630"/>
      <c r="G1166" s="630"/>
    </row>
    <row r="1167" spans="1:7" ht="18.75" x14ac:dyDescent="0.25">
      <c r="A1167" s="629" t="s">
        <v>3077</v>
      </c>
      <c r="B1167" s="630">
        <v>163</v>
      </c>
      <c r="C1167" s="631" t="str">
        <f t="shared" si="21"/>
        <v>Ô tô tự đổ 10 tấn163</v>
      </c>
      <c r="D1167" s="630"/>
      <c r="E1167" s="630"/>
      <c r="F1167" s="630"/>
      <c r="G1167" s="630"/>
    </row>
    <row r="1168" spans="1:7" ht="18.75" x14ac:dyDescent="0.25">
      <c r="A1168" s="629" t="s">
        <v>3077</v>
      </c>
      <c r="B1168" s="630">
        <v>164</v>
      </c>
      <c r="C1168" s="631" t="str">
        <f t="shared" si="21"/>
        <v>Ô tô tự đổ 10 tấn164</v>
      </c>
      <c r="D1168" s="630"/>
      <c r="E1168" s="630"/>
      <c r="F1168" s="630"/>
      <c r="G1168" s="630"/>
    </row>
    <row r="1169" spans="1:7" ht="18.75" x14ac:dyDescent="0.25">
      <c r="A1169" s="629" t="s">
        <v>3077</v>
      </c>
      <c r="B1169" s="630">
        <v>165</v>
      </c>
      <c r="C1169" s="631" t="str">
        <f t="shared" si="21"/>
        <v>Ô tô tự đổ 10 tấn165</v>
      </c>
      <c r="D1169" s="630"/>
      <c r="E1169" s="630"/>
      <c r="F1169" s="630"/>
      <c r="G1169" s="630"/>
    </row>
    <row r="1170" spans="1:7" ht="18.75" x14ac:dyDescent="0.25">
      <c r="A1170" s="629" t="s">
        <v>3077</v>
      </c>
      <c r="B1170" s="630">
        <v>166</v>
      </c>
      <c r="C1170" s="631" t="str">
        <f t="shared" si="21"/>
        <v>Ô tô tự đổ 10 tấn166</v>
      </c>
      <c r="D1170" s="630"/>
      <c r="E1170" s="630"/>
      <c r="F1170" s="630"/>
      <c r="G1170" s="630"/>
    </row>
    <row r="1171" spans="1:7" ht="18.75" x14ac:dyDescent="0.25">
      <c r="A1171" s="629" t="s">
        <v>3077</v>
      </c>
      <c r="B1171" s="630">
        <v>167</v>
      </c>
      <c r="C1171" s="631" t="str">
        <f t="shared" si="21"/>
        <v>Ô tô tự đổ 10 tấn167</v>
      </c>
      <c r="D1171" s="630"/>
      <c r="E1171" s="630"/>
      <c r="F1171" s="630"/>
      <c r="G1171" s="630"/>
    </row>
    <row r="1172" spans="1:7" ht="18.75" x14ac:dyDescent="0.25">
      <c r="A1172" s="629" t="s">
        <v>3077</v>
      </c>
      <c r="B1172" s="630">
        <v>168</v>
      </c>
      <c r="C1172" s="631" t="str">
        <f t="shared" si="21"/>
        <v>Ô tô tự đổ 10 tấn168</v>
      </c>
      <c r="D1172" s="630"/>
      <c r="E1172" s="630"/>
      <c r="F1172" s="630"/>
      <c r="G1172" s="630"/>
    </row>
    <row r="1173" spans="1:7" ht="18.75" x14ac:dyDescent="0.25">
      <c r="A1173" s="629" t="s">
        <v>3077</v>
      </c>
      <c r="B1173" s="630">
        <v>169</v>
      </c>
      <c r="C1173" s="631" t="str">
        <f t="shared" si="21"/>
        <v>Ô tô tự đổ 10 tấn169</v>
      </c>
      <c r="D1173" s="630"/>
      <c r="E1173" s="630"/>
      <c r="F1173" s="630"/>
      <c r="G1173" s="630"/>
    </row>
    <row r="1174" spans="1:7" ht="18.75" x14ac:dyDescent="0.25">
      <c r="A1174" s="629" t="s">
        <v>3077</v>
      </c>
      <c r="B1174" s="630">
        <v>170</v>
      </c>
      <c r="C1174" s="631" t="str">
        <f t="shared" si="21"/>
        <v>Ô tô tự đổ 10 tấn170</v>
      </c>
      <c r="D1174" s="630"/>
      <c r="E1174" s="630"/>
      <c r="F1174" s="630"/>
      <c r="G1174" s="630"/>
    </row>
    <row r="1175" spans="1:7" ht="18.75" x14ac:dyDescent="0.25">
      <c r="A1175" s="629" t="s">
        <v>3077</v>
      </c>
      <c r="B1175" s="630">
        <v>171</v>
      </c>
      <c r="C1175" s="631" t="str">
        <f t="shared" si="21"/>
        <v>Ô tô tự đổ 10 tấn171</v>
      </c>
      <c r="D1175" s="630"/>
      <c r="E1175" s="630"/>
      <c r="F1175" s="630"/>
      <c r="G1175" s="630"/>
    </row>
    <row r="1176" spans="1:7" ht="18.75" x14ac:dyDescent="0.25">
      <c r="A1176" s="629" t="s">
        <v>3077</v>
      </c>
      <c r="B1176" s="630">
        <v>172</v>
      </c>
      <c r="C1176" s="631" t="str">
        <f t="shared" si="21"/>
        <v>Ô tô tự đổ 10 tấn172</v>
      </c>
      <c r="D1176" s="630"/>
      <c r="E1176" s="630"/>
      <c r="F1176" s="630"/>
      <c r="G1176" s="630"/>
    </row>
    <row r="1177" spans="1:7" ht="18.75" x14ac:dyDescent="0.25">
      <c r="A1177" s="629" t="s">
        <v>3077</v>
      </c>
      <c r="B1177" s="630">
        <v>173</v>
      </c>
      <c r="C1177" s="631" t="str">
        <f t="shared" si="21"/>
        <v>Ô tô tự đổ 10 tấn173</v>
      </c>
      <c r="D1177" s="630"/>
      <c r="E1177" s="630"/>
      <c r="F1177" s="630"/>
      <c r="G1177" s="630"/>
    </row>
    <row r="1178" spans="1:7" ht="18.75" x14ac:dyDescent="0.25">
      <c r="A1178" s="629" t="s">
        <v>3077</v>
      </c>
      <c r="B1178" s="630">
        <v>174</v>
      </c>
      <c r="C1178" s="631" t="str">
        <f t="shared" si="21"/>
        <v>Ô tô tự đổ 10 tấn174</v>
      </c>
      <c r="D1178" s="630"/>
      <c r="E1178" s="630"/>
      <c r="F1178" s="630"/>
      <c r="G1178" s="630"/>
    </row>
    <row r="1179" spans="1:7" ht="18.75" x14ac:dyDescent="0.25">
      <c r="A1179" s="629" t="s">
        <v>3077</v>
      </c>
      <c r="B1179" s="630">
        <v>175</v>
      </c>
      <c r="C1179" s="631" t="str">
        <f t="shared" si="21"/>
        <v>Ô tô tự đổ 10 tấn175</v>
      </c>
      <c r="D1179" s="630"/>
      <c r="E1179" s="630"/>
      <c r="F1179" s="630"/>
      <c r="G1179" s="630"/>
    </row>
    <row r="1180" spans="1:7" ht="18.75" x14ac:dyDescent="0.25">
      <c r="A1180" s="629" t="s">
        <v>3077</v>
      </c>
      <c r="B1180" s="630">
        <v>176</v>
      </c>
      <c r="C1180" s="631" t="str">
        <f t="shared" si="21"/>
        <v>Ô tô tự đổ 10 tấn176</v>
      </c>
      <c r="D1180" s="630"/>
      <c r="E1180" s="630"/>
      <c r="F1180" s="630"/>
      <c r="G1180" s="630"/>
    </row>
    <row r="1181" spans="1:7" ht="18.75" x14ac:dyDescent="0.25">
      <c r="A1181" s="629" t="s">
        <v>3077</v>
      </c>
      <c r="B1181" s="630">
        <v>177</v>
      </c>
      <c r="C1181" s="631" t="str">
        <f t="shared" si="21"/>
        <v>Ô tô tự đổ 10 tấn177</v>
      </c>
      <c r="D1181" s="630"/>
      <c r="E1181" s="630"/>
      <c r="F1181" s="630"/>
      <c r="G1181" s="630"/>
    </row>
    <row r="1182" spans="1:7" ht="18.75" x14ac:dyDescent="0.25">
      <c r="A1182" s="629" t="s">
        <v>3077</v>
      </c>
      <c r="B1182" s="630">
        <v>178</v>
      </c>
      <c r="C1182" s="631" t="str">
        <f t="shared" si="21"/>
        <v>Ô tô tự đổ 10 tấn178</v>
      </c>
      <c r="D1182" s="630"/>
      <c r="E1182" s="630"/>
      <c r="F1182" s="630"/>
      <c r="G1182" s="630"/>
    </row>
    <row r="1183" spans="1:7" ht="18.75" x14ac:dyDescent="0.25">
      <c r="A1183" s="629" t="s">
        <v>3077</v>
      </c>
      <c r="B1183" s="630">
        <v>179</v>
      </c>
      <c r="C1183" s="631" t="str">
        <f t="shared" si="21"/>
        <v>Ô tô tự đổ 10 tấn179</v>
      </c>
      <c r="D1183" s="630"/>
      <c r="E1183" s="630"/>
      <c r="F1183" s="630"/>
      <c r="G1183" s="630"/>
    </row>
    <row r="1184" spans="1:7" ht="18.75" x14ac:dyDescent="0.25">
      <c r="A1184" s="629" t="s">
        <v>3077</v>
      </c>
      <c r="B1184" s="630">
        <v>180</v>
      </c>
      <c r="C1184" s="631" t="str">
        <f t="shared" si="21"/>
        <v>Ô tô tự đổ 10 tấn180</v>
      </c>
      <c r="D1184" s="630"/>
      <c r="E1184" s="630"/>
      <c r="F1184" s="630"/>
      <c r="G1184" s="630"/>
    </row>
    <row r="1185" spans="1:7" ht="18.75" x14ac:dyDescent="0.25">
      <c r="A1185" s="629" t="s">
        <v>3077</v>
      </c>
      <c r="B1185" s="630">
        <v>181</v>
      </c>
      <c r="C1185" s="631" t="str">
        <f t="shared" si="21"/>
        <v>Ô tô tự đổ 10 tấn181</v>
      </c>
      <c r="D1185" s="630"/>
      <c r="E1185" s="630"/>
      <c r="F1185" s="630"/>
      <c r="G1185" s="630"/>
    </row>
    <row r="1186" spans="1:7" ht="18.75" x14ac:dyDescent="0.25">
      <c r="A1186" s="629" t="s">
        <v>3077</v>
      </c>
      <c r="B1186" s="630">
        <v>182</v>
      </c>
      <c r="C1186" s="631" t="str">
        <f t="shared" si="21"/>
        <v>Ô tô tự đổ 10 tấn182</v>
      </c>
      <c r="D1186" s="630"/>
      <c r="E1186" s="630"/>
      <c r="F1186" s="630"/>
      <c r="G1186" s="630"/>
    </row>
    <row r="1187" spans="1:7" ht="18.75" x14ac:dyDescent="0.25">
      <c r="A1187" s="629" t="s">
        <v>3077</v>
      </c>
      <c r="B1187" s="630">
        <v>183</v>
      </c>
      <c r="C1187" s="631" t="str">
        <f t="shared" si="21"/>
        <v>Ô tô tự đổ 10 tấn183</v>
      </c>
      <c r="D1187" s="630"/>
      <c r="E1187" s="630"/>
      <c r="F1187" s="630"/>
      <c r="G1187" s="630"/>
    </row>
    <row r="1188" spans="1:7" ht="18.75" x14ac:dyDescent="0.25">
      <c r="A1188" s="629" t="s">
        <v>3077</v>
      </c>
      <c r="B1188" s="630">
        <v>184</v>
      </c>
      <c r="C1188" s="631" t="str">
        <f t="shared" si="21"/>
        <v>Ô tô tự đổ 10 tấn184</v>
      </c>
      <c r="D1188" s="630"/>
      <c r="E1188" s="630"/>
      <c r="F1188" s="630"/>
      <c r="G1188" s="630"/>
    </row>
    <row r="1189" spans="1:7" ht="18.75" x14ac:dyDescent="0.25">
      <c r="A1189" s="629" t="s">
        <v>3077</v>
      </c>
      <c r="B1189" s="630">
        <v>185</v>
      </c>
      <c r="C1189" s="631" t="str">
        <f t="shared" si="21"/>
        <v>Ô tô tự đổ 10 tấn185</v>
      </c>
      <c r="D1189" s="630"/>
      <c r="E1189" s="630"/>
      <c r="F1189" s="630"/>
      <c r="G1189" s="630"/>
    </row>
    <row r="1190" spans="1:7" ht="18.75" x14ac:dyDescent="0.25">
      <c r="A1190" s="629" t="s">
        <v>3077</v>
      </c>
      <c r="B1190" s="630">
        <v>186</v>
      </c>
      <c r="C1190" s="631" t="str">
        <f t="shared" si="21"/>
        <v>Ô tô tự đổ 10 tấn186</v>
      </c>
      <c r="D1190" s="630"/>
      <c r="E1190" s="630"/>
      <c r="F1190" s="630"/>
      <c r="G1190" s="630"/>
    </row>
    <row r="1191" spans="1:7" ht="18.75" x14ac:dyDescent="0.25">
      <c r="A1191" s="629" t="s">
        <v>3077</v>
      </c>
      <c r="B1191" s="630">
        <v>187</v>
      </c>
      <c r="C1191" s="631" t="str">
        <f t="shared" si="21"/>
        <v>Ô tô tự đổ 10 tấn187</v>
      </c>
      <c r="D1191" s="630"/>
      <c r="E1191" s="630"/>
      <c r="F1191" s="630"/>
      <c r="G1191" s="630"/>
    </row>
    <row r="1192" spans="1:7" ht="18.75" x14ac:dyDescent="0.25">
      <c r="A1192" s="629" t="s">
        <v>3077</v>
      </c>
      <c r="B1192" s="630">
        <v>188</v>
      </c>
      <c r="C1192" s="631" t="str">
        <f t="shared" si="21"/>
        <v>Ô tô tự đổ 10 tấn188</v>
      </c>
      <c r="D1192" s="630"/>
      <c r="E1192" s="630"/>
      <c r="F1192" s="630"/>
      <c r="G1192" s="630"/>
    </row>
    <row r="1193" spans="1:7" ht="18.75" x14ac:dyDescent="0.25">
      <c r="A1193" s="629" t="s">
        <v>3077</v>
      </c>
      <c r="B1193" s="630">
        <v>189</v>
      </c>
      <c r="C1193" s="631" t="str">
        <f t="shared" si="21"/>
        <v>Ô tô tự đổ 10 tấn189</v>
      </c>
      <c r="D1193" s="630"/>
      <c r="E1193" s="630"/>
      <c r="F1193" s="630"/>
      <c r="G1193" s="630"/>
    </row>
    <row r="1194" spans="1:7" ht="18.75" x14ac:dyDescent="0.25">
      <c r="A1194" s="629" t="s">
        <v>3077</v>
      </c>
      <c r="B1194" s="630">
        <v>190</v>
      </c>
      <c r="C1194" s="631" t="str">
        <f t="shared" si="21"/>
        <v>Ô tô tự đổ 10 tấn190</v>
      </c>
      <c r="D1194" s="630"/>
      <c r="E1194" s="630"/>
      <c r="F1194" s="630"/>
      <c r="G1194" s="630"/>
    </row>
    <row r="1195" spans="1:7" ht="18.75" x14ac:dyDescent="0.25">
      <c r="A1195" s="629" t="s">
        <v>3077</v>
      </c>
      <c r="B1195" s="630">
        <v>191</v>
      </c>
      <c r="C1195" s="631" t="str">
        <f t="shared" si="21"/>
        <v>Ô tô tự đổ 10 tấn191</v>
      </c>
      <c r="D1195" s="630"/>
      <c r="E1195" s="630"/>
      <c r="F1195" s="630"/>
      <c r="G1195" s="630"/>
    </row>
    <row r="1196" spans="1:7" ht="18.75" x14ac:dyDescent="0.25">
      <c r="A1196" s="629" t="s">
        <v>3077</v>
      </c>
      <c r="B1196" s="630">
        <v>192</v>
      </c>
      <c r="C1196" s="631" t="str">
        <f t="shared" si="21"/>
        <v>Ô tô tự đổ 10 tấn192</v>
      </c>
      <c r="D1196" s="630"/>
      <c r="E1196" s="630"/>
      <c r="F1196" s="630"/>
      <c r="G1196" s="630"/>
    </row>
    <row r="1197" spans="1:7" ht="18.75" x14ac:dyDescent="0.25">
      <c r="A1197" s="629" t="s">
        <v>3077</v>
      </c>
      <c r="B1197" s="630">
        <v>193</v>
      </c>
      <c r="C1197" s="631" t="str">
        <f t="shared" si="21"/>
        <v>Ô tô tự đổ 10 tấn193</v>
      </c>
      <c r="D1197" s="630"/>
      <c r="E1197" s="630"/>
      <c r="F1197" s="630"/>
      <c r="G1197" s="630"/>
    </row>
    <row r="1198" spans="1:7" ht="18.75" x14ac:dyDescent="0.25">
      <c r="A1198" s="629" t="s">
        <v>3077</v>
      </c>
      <c r="B1198" s="630">
        <v>194</v>
      </c>
      <c r="C1198" s="631" t="str">
        <f t="shared" ref="C1198:C1261" si="22">A1198&amp;B1198</f>
        <v>Ô tô tự đổ 10 tấn194</v>
      </c>
      <c r="D1198" s="630"/>
      <c r="E1198" s="630"/>
      <c r="F1198" s="630"/>
      <c r="G1198" s="630"/>
    </row>
    <row r="1199" spans="1:7" ht="18.75" x14ac:dyDescent="0.25">
      <c r="A1199" s="629" t="s">
        <v>3077</v>
      </c>
      <c r="B1199" s="630">
        <v>195</v>
      </c>
      <c r="C1199" s="631" t="str">
        <f t="shared" si="22"/>
        <v>Ô tô tự đổ 10 tấn195</v>
      </c>
      <c r="D1199" s="630"/>
      <c r="E1199" s="630"/>
      <c r="F1199" s="630"/>
      <c r="G1199" s="630"/>
    </row>
    <row r="1200" spans="1:7" ht="18.75" x14ac:dyDescent="0.25">
      <c r="A1200" s="629" t="s">
        <v>3077</v>
      </c>
      <c r="B1200" s="630">
        <v>196</v>
      </c>
      <c r="C1200" s="631" t="str">
        <f t="shared" si="22"/>
        <v>Ô tô tự đổ 10 tấn196</v>
      </c>
      <c r="D1200" s="630"/>
      <c r="E1200" s="630"/>
      <c r="F1200" s="630"/>
      <c r="G1200" s="630"/>
    </row>
    <row r="1201" spans="1:7" ht="18.75" x14ac:dyDescent="0.25">
      <c r="A1201" s="629" t="s">
        <v>3077</v>
      </c>
      <c r="B1201" s="630">
        <v>197</v>
      </c>
      <c r="C1201" s="631" t="str">
        <f t="shared" si="22"/>
        <v>Ô tô tự đổ 10 tấn197</v>
      </c>
      <c r="D1201" s="630"/>
      <c r="E1201" s="630"/>
      <c r="F1201" s="630"/>
      <c r="G1201" s="630"/>
    </row>
    <row r="1202" spans="1:7" ht="18.75" x14ac:dyDescent="0.25">
      <c r="A1202" s="629" t="s">
        <v>3077</v>
      </c>
      <c r="B1202" s="630">
        <v>198</v>
      </c>
      <c r="C1202" s="631" t="str">
        <f t="shared" si="22"/>
        <v>Ô tô tự đổ 10 tấn198</v>
      </c>
      <c r="D1202" s="630"/>
      <c r="E1202" s="630"/>
      <c r="F1202" s="630"/>
      <c r="G1202" s="630"/>
    </row>
    <row r="1203" spans="1:7" ht="18.75" x14ac:dyDescent="0.25">
      <c r="A1203" s="629" t="s">
        <v>3077</v>
      </c>
      <c r="B1203" s="630">
        <v>199</v>
      </c>
      <c r="C1203" s="631" t="str">
        <f t="shared" si="22"/>
        <v>Ô tô tự đổ 10 tấn199</v>
      </c>
      <c r="D1203" s="630"/>
      <c r="E1203" s="630"/>
      <c r="F1203" s="630"/>
      <c r="G1203" s="630"/>
    </row>
    <row r="1204" spans="1:7" ht="18.75" x14ac:dyDescent="0.25">
      <c r="A1204" s="629" t="s">
        <v>3077</v>
      </c>
      <c r="B1204" s="630">
        <v>200</v>
      </c>
      <c r="C1204" s="631" t="str">
        <f t="shared" si="22"/>
        <v>Ô tô tự đổ 10 tấn200</v>
      </c>
      <c r="D1204" s="630"/>
      <c r="E1204" s="630"/>
      <c r="F1204" s="630"/>
      <c r="G1204" s="630"/>
    </row>
    <row r="1205" spans="1:7" ht="18.75" x14ac:dyDescent="0.25">
      <c r="A1205" s="629" t="s">
        <v>3077</v>
      </c>
      <c r="B1205" s="630">
        <v>201</v>
      </c>
      <c r="C1205" s="631" t="str">
        <f t="shared" si="22"/>
        <v>Ô tô tự đổ 10 tấn201</v>
      </c>
      <c r="D1205" s="630"/>
      <c r="E1205" s="630"/>
      <c r="F1205" s="630"/>
      <c r="G1205" s="630"/>
    </row>
    <row r="1206" spans="1:7" ht="18.75" x14ac:dyDescent="0.25">
      <c r="A1206" s="629" t="s">
        <v>3077</v>
      </c>
      <c r="B1206" s="630">
        <v>202</v>
      </c>
      <c r="C1206" s="631" t="str">
        <f t="shared" si="22"/>
        <v>Ô tô tự đổ 10 tấn202</v>
      </c>
      <c r="D1206" s="630"/>
      <c r="E1206" s="630"/>
      <c r="F1206" s="630"/>
      <c r="G1206" s="630"/>
    </row>
    <row r="1207" spans="1:7" ht="18.75" x14ac:dyDescent="0.25">
      <c r="A1207" s="629" t="s">
        <v>3077</v>
      </c>
      <c r="B1207" s="630">
        <v>203</v>
      </c>
      <c r="C1207" s="631" t="str">
        <f t="shared" si="22"/>
        <v>Ô tô tự đổ 10 tấn203</v>
      </c>
      <c r="D1207" s="630"/>
      <c r="E1207" s="630"/>
      <c r="F1207" s="630"/>
      <c r="G1207" s="630"/>
    </row>
    <row r="1208" spans="1:7" ht="18.75" x14ac:dyDescent="0.25">
      <c r="A1208" s="629" t="s">
        <v>3077</v>
      </c>
      <c r="B1208" s="630">
        <v>204</v>
      </c>
      <c r="C1208" s="631" t="str">
        <f t="shared" si="22"/>
        <v>Ô tô tự đổ 10 tấn204</v>
      </c>
      <c r="D1208" s="630"/>
      <c r="E1208" s="630"/>
      <c r="F1208" s="630"/>
      <c r="G1208" s="630"/>
    </row>
    <row r="1209" spans="1:7" ht="18.75" x14ac:dyDescent="0.25">
      <c r="A1209" s="629" t="s">
        <v>3077</v>
      </c>
      <c r="B1209" s="630">
        <v>205</v>
      </c>
      <c r="C1209" s="631" t="str">
        <f t="shared" si="22"/>
        <v>Ô tô tự đổ 10 tấn205</v>
      </c>
      <c r="D1209" s="630"/>
      <c r="E1209" s="630"/>
      <c r="F1209" s="630"/>
      <c r="G1209" s="630"/>
    </row>
    <row r="1210" spans="1:7" ht="18.75" x14ac:dyDescent="0.25">
      <c r="A1210" s="629" t="s">
        <v>3077</v>
      </c>
      <c r="B1210" s="630">
        <v>206</v>
      </c>
      <c r="C1210" s="631" t="str">
        <f t="shared" si="22"/>
        <v>Ô tô tự đổ 10 tấn206</v>
      </c>
      <c r="D1210" s="630"/>
      <c r="E1210" s="630"/>
      <c r="F1210" s="630"/>
      <c r="G1210" s="630"/>
    </row>
    <row r="1211" spans="1:7" ht="18.75" x14ac:dyDescent="0.25">
      <c r="A1211" s="629" t="s">
        <v>3077</v>
      </c>
      <c r="B1211" s="630">
        <v>207</v>
      </c>
      <c r="C1211" s="631" t="str">
        <f t="shared" si="22"/>
        <v>Ô tô tự đổ 10 tấn207</v>
      </c>
      <c r="D1211" s="630"/>
      <c r="E1211" s="630"/>
      <c r="F1211" s="630"/>
      <c r="G1211" s="630"/>
    </row>
    <row r="1212" spans="1:7" ht="18.75" x14ac:dyDescent="0.25">
      <c r="A1212" s="629" t="s">
        <v>3077</v>
      </c>
      <c r="B1212" s="630">
        <v>208</v>
      </c>
      <c r="C1212" s="631" t="str">
        <f t="shared" si="22"/>
        <v>Ô tô tự đổ 10 tấn208</v>
      </c>
      <c r="D1212" s="630"/>
      <c r="E1212" s="630"/>
      <c r="F1212" s="630"/>
      <c r="G1212" s="630"/>
    </row>
    <row r="1213" spans="1:7" ht="18.75" x14ac:dyDescent="0.25">
      <c r="A1213" s="629" t="s">
        <v>3077</v>
      </c>
      <c r="B1213" s="630">
        <v>209</v>
      </c>
      <c r="C1213" s="631" t="str">
        <f t="shared" si="22"/>
        <v>Ô tô tự đổ 10 tấn209</v>
      </c>
      <c r="D1213" s="630"/>
      <c r="E1213" s="630"/>
      <c r="F1213" s="630"/>
      <c r="G1213" s="630"/>
    </row>
    <row r="1214" spans="1:7" ht="18.75" x14ac:dyDescent="0.25">
      <c r="A1214" s="629" t="s">
        <v>3077</v>
      </c>
      <c r="B1214" s="630">
        <v>210</v>
      </c>
      <c r="C1214" s="631" t="str">
        <f t="shared" si="22"/>
        <v>Ô tô tự đổ 10 tấn210</v>
      </c>
      <c r="D1214" s="630"/>
      <c r="E1214" s="630"/>
      <c r="F1214" s="630"/>
      <c r="G1214" s="630"/>
    </row>
    <row r="1215" spans="1:7" ht="18.75" x14ac:dyDescent="0.25">
      <c r="A1215" s="629" t="s">
        <v>3077</v>
      </c>
      <c r="B1215" s="630">
        <v>211</v>
      </c>
      <c r="C1215" s="631" t="str">
        <f t="shared" si="22"/>
        <v>Ô tô tự đổ 10 tấn211</v>
      </c>
      <c r="D1215" s="630"/>
      <c r="E1215" s="630"/>
      <c r="F1215" s="630"/>
      <c r="G1215" s="630"/>
    </row>
    <row r="1216" spans="1:7" ht="18.75" x14ac:dyDescent="0.25">
      <c r="A1216" s="629" t="s">
        <v>3077</v>
      </c>
      <c r="B1216" s="630">
        <v>212</v>
      </c>
      <c r="C1216" s="631" t="str">
        <f t="shared" si="22"/>
        <v>Ô tô tự đổ 10 tấn212</v>
      </c>
      <c r="D1216" s="630"/>
      <c r="E1216" s="630"/>
      <c r="F1216" s="630"/>
      <c r="G1216" s="630"/>
    </row>
    <row r="1217" spans="1:7" ht="18.75" x14ac:dyDescent="0.25">
      <c r="A1217" s="629" t="s">
        <v>3077</v>
      </c>
      <c r="B1217" s="630">
        <v>213</v>
      </c>
      <c r="C1217" s="631" t="str">
        <f t="shared" si="22"/>
        <v>Ô tô tự đổ 10 tấn213</v>
      </c>
      <c r="D1217" s="630"/>
      <c r="E1217" s="630"/>
      <c r="F1217" s="630"/>
      <c r="G1217" s="630"/>
    </row>
    <row r="1218" spans="1:7" ht="18.75" x14ac:dyDescent="0.25">
      <c r="A1218" s="629" t="s">
        <v>3077</v>
      </c>
      <c r="B1218" s="630">
        <v>214</v>
      </c>
      <c r="C1218" s="631" t="str">
        <f t="shared" si="22"/>
        <v>Ô tô tự đổ 10 tấn214</v>
      </c>
      <c r="D1218" s="630"/>
      <c r="E1218" s="630"/>
      <c r="F1218" s="630"/>
      <c r="G1218" s="630"/>
    </row>
    <row r="1219" spans="1:7" ht="18.75" x14ac:dyDescent="0.25">
      <c r="A1219" s="629" t="s">
        <v>3077</v>
      </c>
      <c r="B1219" s="630">
        <v>215</v>
      </c>
      <c r="C1219" s="631" t="str">
        <f t="shared" si="22"/>
        <v>Ô tô tự đổ 10 tấn215</v>
      </c>
      <c r="D1219" s="630"/>
      <c r="E1219" s="630"/>
      <c r="F1219" s="630"/>
      <c r="G1219" s="630"/>
    </row>
    <row r="1220" spans="1:7" ht="18.75" x14ac:dyDescent="0.25">
      <c r="A1220" s="629" t="s">
        <v>3077</v>
      </c>
      <c r="B1220" s="630">
        <v>216</v>
      </c>
      <c r="C1220" s="631" t="str">
        <f t="shared" si="22"/>
        <v>Ô tô tự đổ 10 tấn216</v>
      </c>
      <c r="D1220" s="630"/>
      <c r="E1220" s="630"/>
      <c r="F1220" s="630"/>
      <c r="G1220" s="630"/>
    </row>
    <row r="1221" spans="1:7" ht="18.75" x14ac:dyDescent="0.25">
      <c r="A1221" s="629" t="s">
        <v>3077</v>
      </c>
      <c r="B1221" s="630">
        <v>217</v>
      </c>
      <c r="C1221" s="631" t="str">
        <f t="shared" si="22"/>
        <v>Ô tô tự đổ 10 tấn217</v>
      </c>
      <c r="D1221" s="630"/>
      <c r="E1221" s="630"/>
      <c r="F1221" s="630"/>
      <c r="G1221" s="630"/>
    </row>
    <row r="1222" spans="1:7" ht="18.75" x14ac:dyDescent="0.25">
      <c r="A1222" s="629" t="s">
        <v>3077</v>
      </c>
      <c r="B1222" s="630">
        <v>218</v>
      </c>
      <c r="C1222" s="631" t="str">
        <f t="shared" si="22"/>
        <v>Ô tô tự đổ 10 tấn218</v>
      </c>
      <c r="D1222" s="630"/>
      <c r="E1222" s="630"/>
      <c r="F1222" s="630"/>
      <c r="G1222" s="630"/>
    </row>
    <row r="1223" spans="1:7" ht="18.75" x14ac:dyDescent="0.25">
      <c r="A1223" s="629" t="s">
        <v>3077</v>
      </c>
      <c r="B1223" s="630">
        <v>219</v>
      </c>
      <c r="C1223" s="631" t="str">
        <f t="shared" si="22"/>
        <v>Ô tô tự đổ 10 tấn219</v>
      </c>
      <c r="D1223" s="630"/>
      <c r="E1223" s="630"/>
      <c r="F1223" s="630"/>
      <c r="G1223" s="630"/>
    </row>
    <row r="1224" spans="1:7" ht="18.75" x14ac:dyDescent="0.25">
      <c r="A1224" s="629" t="s">
        <v>3077</v>
      </c>
      <c r="B1224" s="630">
        <v>220</v>
      </c>
      <c r="C1224" s="631" t="str">
        <f t="shared" si="22"/>
        <v>Ô tô tự đổ 10 tấn220</v>
      </c>
      <c r="D1224" s="630"/>
      <c r="E1224" s="630"/>
      <c r="F1224" s="630"/>
      <c r="G1224" s="630"/>
    </row>
    <row r="1225" spans="1:7" ht="18.75" x14ac:dyDescent="0.25">
      <c r="A1225" s="629" t="s">
        <v>3077</v>
      </c>
      <c r="B1225" s="630">
        <v>221</v>
      </c>
      <c r="C1225" s="631" t="str">
        <f t="shared" si="22"/>
        <v>Ô tô tự đổ 10 tấn221</v>
      </c>
      <c r="D1225" s="630"/>
      <c r="E1225" s="630"/>
      <c r="F1225" s="630"/>
      <c r="G1225" s="630"/>
    </row>
    <row r="1226" spans="1:7" ht="18.75" x14ac:dyDescent="0.25">
      <c r="A1226" s="629" t="s">
        <v>3077</v>
      </c>
      <c r="B1226" s="630">
        <v>222</v>
      </c>
      <c r="C1226" s="631" t="str">
        <f t="shared" si="22"/>
        <v>Ô tô tự đổ 10 tấn222</v>
      </c>
      <c r="D1226" s="630"/>
      <c r="E1226" s="630"/>
      <c r="F1226" s="630"/>
      <c r="G1226" s="630"/>
    </row>
    <row r="1227" spans="1:7" ht="18.75" x14ac:dyDescent="0.25">
      <c r="A1227" s="629" t="s">
        <v>3077</v>
      </c>
      <c r="B1227" s="630">
        <v>223</v>
      </c>
      <c r="C1227" s="631" t="str">
        <f t="shared" si="22"/>
        <v>Ô tô tự đổ 10 tấn223</v>
      </c>
      <c r="D1227" s="630"/>
      <c r="E1227" s="630"/>
      <c r="F1227" s="630"/>
      <c r="G1227" s="630"/>
    </row>
    <row r="1228" spans="1:7" ht="18.75" x14ac:dyDescent="0.25">
      <c r="A1228" s="629" t="s">
        <v>3077</v>
      </c>
      <c r="B1228" s="630">
        <v>224</v>
      </c>
      <c r="C1228" s="631" t="str">
        <f t="shared" si="22"/>
        <v>Ô tô tự đổ 10 tấn224</v>
      </c>
      <c r="D1228" s="630"/>
      <c r="E1228" s="630"/>
      <c r="F1228" s="630"/>
      <c r="G1228" s="630"/>
    </row>
    <row r="1229" spans="1:7" ht="18.75" x14ac:dyDescent="0.25">
      <c r="A1229" s="629" t="s">
        <v>3077</v>
      </c>
      <c r="B1229" s="630">
        <v>225</v>
      </c>
      <c r="C1229" s="631" t="str">
        <f t="shared" si="22"/>
        <v>Ô tô tự đổ 10 tấn225</v>
      </c>
      <c r="D1229" s="630"/>
      <c r="E1229" s="630"/>
      <c r="F1229" s="630"/>
      <c r="G1229" s="630"/>
    </row>
    <row r="1230" spans="1:7" ht="18.75" x14ac:dyDescent="0.25">
      <c r="A1230" s="629" t="s">
        <v>3077</v>
      </c>
      <c r="B1230" s="630">
        <v>226</v>
      </c>
      <c r="C1230" s="631" t="str">
        <f t="shared" si="22"/>
        <v>Ô tô tự đổ 10 tấn226</v>
      </c>
      <c r="D1230" s="630"/>
      <c r="E1230" s="630"/>
      <c r="F1230" s="630"/>
      <c r="G1230" s="630"/>
    </row>
    <row r="1231" spans="1:7" ht="18.75" x14ac:dyDescent="0.25">
      <c r="A1231" s="629" t="s">
        <v>3077</v>
      </c>
      <c r="B1231" s="630">
        <v>227</v>
      </c>
      <c r="C1231" s="631" t="str">
        <f t="shared" si="22"/>
        <v>Ô tô tự đổ 10 tấn227</v>
      </c>
      <c r="D1231" s="630"/>
      <c r="E1231" s="630"/>
      <c r="F1231" s="630"/>
      <c r="G1231" s="630"/>
    </row>
    <row r="1232" spans="1:7" ht="18.75" x14ac:dyDescent="0.25">
      <c r="A1232" s="629" t="s">
        <v>3077</v>
      </c>
      <c r="B1232" s="630">
        <v>228</v>
      </c>
      <c r="C1232" s="631" t="str">
        <f t="shared" si="22"/>
        <v>Ô tô tự đổ 10 tấn228</v>
      </c>
      <c r="D1232" s="630"/>
      <c r="E1232" s="630"/>
      <c r="F1232" s="630"/>
      <c r="G1232" s="630"/>
    </row>
    <row r="1233" spans="1:7" ht="18.75" x14ac:dyDescent="0.25">
      <c r="A1233" s="629" t="s">
        <v>3077</v>
      </c>
      <c r="B1233" s="630">
        <v>229</v>
      </c>
      <c r="C1233" s="631" t="str">
        <f t="shared" si="22"/>
        <v>Ô tô tự đổ 10 tấn229</v>
      </c>
      <c r="D1233" s="630"/>
      <c r="E1233" s="630"/>
      <c r="F1233" s="630"/>
      <c r="G1233" s="630"/>
    </row>
    <row r="1234" spans="1:7" ht="18.75" x14ac:dyDescent="0.25">
      <c r="A1234" s="629" t="s">
        <v>3077</v>
      </c>
      <c r="B1234" s="630">
        <v>230</v>
      </c>
      <c r="C1234" s="631" t="str">
        <f t="shared" si="22"/>
        <v>Ô tô tự đổ 10 tấn230</v>
      </c>
      <c r="D1234" s="630"/>
      <c r="E1234" s="630"/>
      <c r="F1234" s="630"/>
      <c r="G1234" s="630"/>
    </row>
    <row r="1235" spans="1:7" ht="18.75" x14ac:dyDescent="0.25">
      <c r="A1235" s="629" t="s">
        <v>3077</v>
      </c>
      <c r="B1235" s="630">
        <v>231</v>
      </c>
      <c r="C1235" s="631" t="str">
        <f t="shared" si="22"/>
        <v>Ô tô tự đổ 10 tấn231</v>
      </c>
      <c r="D1235" s="630"/>
      <c r="E1235" s="630"/>
      <c r="F1235" s="630"/>
      <c r="G1235" s="630"/>
    </row>
    <row r="1236" spans="1:7" ht="18.75" x14ac:dyDescent="0.25">
      <c r="A1236" s="629" t="s">
        <v>3077</v>
      </c>
      <c r="B1236" s="630">
        <v>232</v>
      </c>
      <c r="C1236" s="631" t="str">
        <f t="shared" si="22"/>
        <v>Ô tô tự đổ 10 tấn232</v>
      </c>
      <c r="D1236" s="630"/>
      <c r="E1236" s="630"/>
      <c r="F1236" s="630"/>
      <c r="G1236" s="630"/>
    </row>
    <row r="1237" spans="1:7" ht="18.75" x14ac:dyDescent="0.25">
      <c r="A1237" s="629" t="s">
        <v>3077</v>
      </c>
      <c r="B1237" s="630">
        <v>233</v>
      </c>
      <c r="C1237" s="631" t="str">
        <f t="shared" si="22"/>
        <v>Ô tô tự đổ 10 tấn233</v>
      </c>
      <c r="D1237" s="630"/>
      <c r="E1237" s="630"/>
      <c r="F1237" s="630"/>
      <c r="G1237" s="630"/>
    </row>
    <row r="1238" spans="1:7" ht="18.75" x14ac:dyDescent="0.25">
      <c r="A1238" s="629" t="s">
        <v>3077</v>
      </c>
      <c r="B1238" s="630">
        <v>234</v>
      </c>
      <c r="C1238" s="631" t="str">
        <f t="shared" si="22"/>
        <v>Ô tô tự đổ 10 tấn234</v>
      </c>
      <c r="D1238" s="630"/>
      <c r="E1238" s="630"/>
      <c r="F1238" s="630"/>
      <c r="G1238" s="630"/>
    </row>
    <row r="1239" spans="1:7" ht="18.75" x14ac:dyDescent="0.25">
      <c r="A1239" s="629" t="s">
        <v>3077</v>
      </c>
      <c r="B1239" s="630">
        <v>235</v>
      </c>
      <c r="C1239" s="631" t="str">
        <f t="shared" si="22"/>
        <v>Ô tô tự đổ 10 tấn235</v>
      </c>
      <c r="D1239" s="630"/>
      <c r="E1239" s="630"/>
      <c r="F1239" s="630"/>
      <c r="G1239" s="630"/>
    </row>
    <row r="1240" spans="1:7" ht="18.75" x14ac:dyDescent="0.25">
      <c r="A1240" s="629" t="s">
        <v>3077</v>
      </c>
      <c r="B1240" s="630">
        <v>236</v>
      </c>
      <c r="C1240" s="631" t="str">
        <f t="shared" si="22"/>
        <v>Ô tô tự đổ 10 tấn236</v>
      </c>
      <c r="D1240" s="630"/>
      <c r="E1240" s="630"/>
      <c r="F1240" s="630"/>
      <c r="G1240" s="630"/>
    </row>
    <row r="1241" spans="1:7" ht="18.75" x14ac:dyDescent="0.25">
      <c r="A1241" s="629" t="s">
        <v>3077</v>
      </c>
      <c r="B1241" s="630">
        <v>237</v>
      </c>
      <c r="C1241" s="631" t="str">
        <f t="shared" si="22"/>
        <v>Ô tô tự đổ 10 tấn237</v>
      </c>
      <c r="D1241" s="630"/>
      <c r="E1241" s="630"/>
      <c r="F1241" s="630"/>
      <c r="G1241" s="630"/>
    </row>
    <row r="1242" spans="1:7" ht="18.75" x14ac:dyDescent="0.25">
      <c r="A1242" s="629" t="s">
        <v>3077</v>
      </c>
      <c r="B1242" s="630">
        <v>238</v>
      </c>
      <c r="C1242" s="631" t="str">
        <f t="shared" si="22"/>
        <v>Ô tô tự đổ 10 tấn238</v>
      </c>
      <c r="D1242" s="630"/>
      <c r="E1242" s="630"/>
      <c r="F1242" s="630"/>
      <c r="G1242" s="630"/>
    </row>
    <row r="1243" spans="1:7" ht="18.75" x14ac:dyDescent="0.25">
      <c r="A1243" s="629" t="s">
        <v>3077</v>
      </c>
      <c r="B1243" s="630">
        <v>239</v>
      </c>
      <c r="C1243" s="631" t="str">
        <f t="shared" si="22"/>
        <v>Ô tô tự đổ 10 tấn239</v>
      </c>
      <c r="D1243" s="630"/>
      <c r="E1243" s="630"/>
      <c r="F1243" s="630"/>
      <c r="G1243" s="630"/>
    </row>
    <row r="1244" spans="1:7" ht="18.75" x14ac:dyDescent="0.25">
      <c r="A1244" s="629" t="s">
        <v>3077</v>
      </c>
      <c r="B1244" s="630">
        <v>240</v>
      </c>
      <c r="C1244" s="631" t="str">
        <f t="shared" si="22"/>
        <v>Ô tô tự đổ 10 tấn240</v>
      </c>
      <c r="D1244" s="630"/>
      <c r="E1244" s="630"/>
      <c r="F1244" s="630"/>
      <c r="G1244" s="630"/>
    </row>
    <row r="1245" spans="1:7" ht="18.75" x14ac:dyDescent="0.25">
      <c r="A1245" s="629" t="s">
        <v>3077</v>
      </c>
      <c r="B1245" s="630">
        <v>241</v>
      </c>
      <c r="C1245" s="631" t="str">
        <f t="shared" si="22"/>
        <v>Ô tô tự đổ 10 tấn241</v>
      </c>
      <c r="D1245" s="630"/>
      <c r="E1245" s="630"/>
      <c r="F1245" s="630"/>
      <c r="G1245" s="630"/>
    </row>
    <row r="1246" spans="1:7" ht="18.75" x14ac:dyDescent="0.25">
      <c r="A1246" s="629" t="s">
        <v>3077</v>
      </c>
      <c r="B1246" s="630">
        <v>242</v>
      </c>
      <c r="C1246" s="631" t="str">
        <f t="shared" si="22"/>
        <v>Ô tô tự đổ 10 tấn242</v>
      </c>
      <c r="D1246" s="630"/>
      <c r="E1246" s="630"/>
      <c r="F1246" s="630"/>
      <c r="G1246" s="630"/>
    </row>
    <row r="1247" spans="1:7" ht="18.75" x14ac:dyDescent="0.25">
      <c r="A1247" s="629" t="s">
        <v>3077</v>
      </c>
      <c r="B1247" s="630">
        <v>243</v>
      </c>
      <c r="C1247" s="631" t="str">
        <f t="shared" si="22"/>
        <v>Ô tô tự đổ 10 tấn243</v>
      </c>
      <c r="D1247" s="630"/>
      <c r="E1247" s="630"/>
      <c r="F1247" s="630"/>
      <c r="G1247" s="630"/>
    </row>
    <row r="1248" spans="1:7" ht="18.75" x14ac:dyDescent="0.25">
      <c r="A1248" s="629" t="s">
        <v>3077</v>
      </c>
      <c r="B1248" s="630">
        <v>244</v>
      </c>
      <c r="C1248" s="631" t="str">
        <f t="shared" si="22"/>
        <v>Ô tô tự đổ 10 tấn244</v>
      </c>
      <c r="D1248" s="630"/>
      <c r="E1248" s="630"/>
      <c r="F1248" s="630"/>
      <c r="G1248" s="630"/>
    </row>
    <row r="1249" spans="1:7" ht="18.75" x14ac:dyDescent="0.25">
      <c r="A1249" s="629" t="s">
        <v>3077</v>
      </c>
      <c r="B1249" s="630">
        <v>245</v>
      </c>
      <c r="C1249" s="631" t="str">
        <f t="shared" si="22"/>
        <v>Ô tô tự đổ 10 tấn245</v>
      </c>
      <c r="D1249" s="630"/>
      <c r="E1249" s="630"/>
      <c r="F1249" s="630"/>
      <c r="G1249" s="630"/>
    </row>
    <row r="1250" spans="1:7" ht="18.75" x14ac:dyDescent="0.25">
      <c r="A1250" s="629" t="s">
        <v>3077</v>
      </c>
      <c r="B1250" s="630">
        <v>246</v>
      </c>
      <c r="C1250" s="631" t="str">
        <f t="shared" si="22"/>
        <v>Ô tô tự đổ 10 tấn246</v>
      </c>
      <c r="D1250" s="630"/>
      <c r="E1250" s="630"/>
      <c r="F1250" s="630"/>
      <c r="G1250" s="630"/>
    </row>
    <row r="1251" spans="1:7" ht="18.75" x14ac:dyDescent="0.25">
      <c r="A1251" s="629" t="s">
        <v>3077</v>
      </c>
      <c r="B1251" s="630">
        <v>247</v>
      </c>
      <c r="C1251" s="631" t="str">
        <f t="shared" si="22"/>
        <v>Ô tô tự đổ 10 tấn247</v>
      </c>
      <c r="D1251" s="630"/>
      <c r="E1251" s="630"/>
      <c r="F1251" s="630"/>
      <c r="G1251" s="630"/>
    </row>
    <row r="1252" spans="1:7" ht="18.75" x14ac:dyDescent="0.25">
      <c r="A1252" s="629" t="s">
        <v>3077</v>
      </c>
      <c r="B1252" s="630">
        <v>248</v>
      </c>
      <c r="C1252" s="631" t="str">
        <f t="shared" si="22"/>
        <v>Ô tô tự đổ 10 tấn248</v>
      </c>
      <c r="D1252" s="630"/>
      <c r="E1252" s="630"/>
      <c r="F1252" s="630"/>
      <c r="G1252" s="630"/>
    </row>
    <row r="1253" spans="1:7" ht="18.75" x14ac:dyDescent="0.25">
      <c r="A1253" s="629" t="s">
        <v>3077</v>
      </c>
      <c r="B1253" s="630">
        <v>249</v>
      </c>
      <c r="C1253" s="631" t="str">
        <f t="shared" si="22"/>
        <v>Ô tô tự đổ 10 tấn249</v>
      </c>
      <c r="D1253" s="630"/>
      <c r="E1253" s="630"/>
      <c r="F1253" s="630"/>
      <c r="G1253" s="630"/>
    </row>
    <row r="1254" spans="1:7" ht="18.75" x14ac:dyDescent="0.25">
      <c r="A1254" s="629" t="s">
        <v>3077</v>
      </c>
      <c r="B1254" s="630">
        <v>250</v>
      </c>
      <c r="C1254" s="631" t="str">
        <f t="shared" si="22"/>
        <v>Ô tô tự đổ 10 tấn250</v>
      </c>
      <c r="D1254" s="630"/>
      <c r="E1254" s="630"/>
      <c r="F1254" s="630"/>
      <c r="G1254" s="630"/>
    </row>
    <row r="1255" spans="1:7" ht="18.75" x14ac:dyDescent="0.25">
      <c r="A1255" s="629" t="s">
        <v>3077</v>
      </c>
      <c r="B1255" s="630">
        <v>251</v>
      </c>
      <c r="C1255" s="631" t="str">
        <f t="shared" si="22"/>
        <v>Ô tô tự đổ 10 tấn251</v>
      </c>
      <c r="D1255" s="630"/>
      <c r="E1255" s="630"/>
      <c r="F1255" s="630"/>
      <c r="G1255" s="630"/>
    </row>
    <row r="1256" spans="1:7" ht="18.75" x14ac:dyDescent="0.25">
      <c r="A1256" s="629" t="s">
        <v>3077</v>
      </c>
      <c r="B1256" s="630">
        <v>252</v>
      </c>
      <c r="C1256" s="631" t="str">
        <f t="shared" si="22"/>
        <v>Ô tô tự đổ 10 tấn252</v>
      </c>
      <c r="D1256" s="630"/>
      <c r="E1256" s="630"/>
      <c r="F1256" s="630"/>
      <c r="G1256" s="630"/>
    </row>
    <row r="1257" spans="1:7" ht="18.75" x14ac:dyDescent="0.25">
      <c r="A1257" s="629" t="s">
        <v>3077</v>
      </c>
      <c r="B1257" s="630">
        <v>253</v>
      </c>
      <c r="C1257" s="631" t="str">
        <f t="shared" si="22"/>
        <v>Ô tô tự đổ 10 tấn253</v>
      </c>
      <c r="D1257" s="630"/>
      <c r="E1257" s="630"/>
      <c r="F1257" s="630"/>
      <c r="G1257" s="630"/>
    </row>
    <row r="1258" spans="1:7" ht="18.75" x14ac:dyDescent="0.25">
      <c r="A1258" s="629" t="s">
        <v>3077</v>
      </c>
      <c r="B1258" s="630">
        <v>254</v>
      </c>
      <c r="C1258" s="631" t="str">
        <f t="shared" si="22"/>
        <v>Ô tô tự đổ 10 tấn254</v>
      </c>
      <c r="D1258" s="630"/>
      <c r="E1258" s="630"/>
      <c r="F1258" s="630"/>
      <c r="G1258" s="630"/>
    </row>
    <row r="1259" spans="1:7" ht="18.75" x14ac:dyDescent="0.25">
      <c r="A1259" s="629" t="s">
        <v>3077</v>
      </c>
      <c r="B1259" s="630">
        <v>255</v>
      </c>
      <c r="C1259" s="631" t="str">
        <f t="shared" si="22"/>
        <v>Ô tô tự đổ 10 tấn255</v>
      </c>
      <c r="D1259" s="630"/>
      <c r="E1259" s="630"/>
      <c r="F1259" s="630"/>
      <c r="G1259" s="630"/>
    </row>
    <row r="1260" spans="1:7" ht="18.75" x14ac:dyDescent="0.25">
      <c r="A1260" s="629" t="s">
        <v>3077</v>
      </c>
      <c r="B1260" s="630">
        <v>256</v>
      </c>
      <c r="C1260" s="631" t="str">
        <f t="shared" si="22"/>
        <v>Ô tô tự đổ 10 tấn256</v>
      </c>
      <c r="D1260" s="630"/>
      <c r="E1260" s="630"/>
      <c r="F1260" s="630"/>
      <c r="G1260" s="630"/>
    </row>
    <row r="1261" spans="1:7" ht="18.75" x14ac:dyDescent="0.25">
      <c r="A1261" s="629" t="s">
        <v>3077</v>
      </c>
      <c r="B1261" s="630">
        <v>257</v>
      </c>
      <c r="C1261" s="631" t="str">
        <f t="shared" si="22"/>
        <v>Ô tô tự đổ 10 tấn257</v>
      </c>
      <c r="D1261" s="630"/>
      <c r="E1261" s="630"/>
      <c r="F1261" s="630"/>
      <c r="G1261" s="630"/>
    </row>
    <row r="1262" spans="1:7" ht="18.75" x14ac:dyDescent="0.25">
      <c r="A1262" s="629" t="s">
        <v>3077</v>
      </c>
      <c r="B1262" s="630">
        <v>258</v>
      </c>
      <c r="C1262" s="631" t="str">
        <f t="shared" ref="C1262:C1325" si="23">A1262&amp;B1262</f>
        <v>Ô tô tự đổ 10 tấn258</v>
      </c>
      <c r="D1262" s="630"/>
      <c r="E1262" s="630"/>
      <c r="F1262" s="630"/>
      <c r="G1262" s="630"/>
    </row>
    <row r="1263" spans="1:7" ht="18.75" x14ac:dyDescent="0.25">
      <c r="A1263" s="629" t="s">
        <v>3077</v>
      </c>
      <c r="B1263" s="630">
        <v>259</v>
      </c>
      <c r="C1263" s="631" t="str">
        <f t="shared" si="23"/>
        <v>Ô tô tự đổ 10 tấn259</v>
      </c>
      <c r="D1263" s="630"/>
      <c r="E1263" s="630"/>
      <c r="F1263" s="630"/>
      <c r="G1263" s="630"/>
    </row>
    <row r="1264" spans="1:7" ht="18.75" x14ac:dyDescent="0.25">
      <c r="A1264" s="629" t="s">
        <v>3077</v>
      </c>
      <c r="B1264" s="630">
        <v>260</v>
      </c>
      <c r="C1264" s="631" t="str">
        <f t="shared" si="23"/>
        <v>Ô tô tự đổ 10 tấn260</v>
      </c>
      <c r="D1264" s="630"/>
      <c r="E1264" s="630"/>
      <c r="F1264" s="630"/>
      <c r="G1264" s="630"/>
    </row>
    <row r="1265" spans="1:7" ht="18.75" x14ac:dyDescent="0.25">
      <c r="A1265" s="629" t="s">
        <v>3077</v>
      </c>
      <c r="B1265" s="630">
        <v>261</v>
      </c>
      <c r="C1265" s="631" t="str">
        <f t="shared" si="23"/>
        <v>Ô tô tự đổ 10 tấn261</v>
      </c>
      <c r="D1265" s="630"/>
      <c r="E1265" s="630"/>
      <c r="F1265" s="630"/>
      <c r="G1265" s="630"/>
    </row>
    <row r="1266" spans="1:7" ht="18.75" x14ac:dyDescent="0.25">
      <c r="A1266" s="629" t="s">
        <v>3077</v>
      </c>
      <c r="B1266" s="630">
        <v>262</v>
      </c>
      <c r="C1266" s="631" t="str">
        <f t="shared" si="23"/>
        <v>Ô tô tự đổ 10 tấn262</v>
      </c>
      <c r="D1266" s="630"/>
      <c r="E1266" s="630"/>
      <c r="F1266" s="630"/>
      <c r="G1266" s="630"/>
    </row>
    <row r="1267" spans="1:7" ht="18.75" x14ac:dyDescent="0.25">
      <c r="A1267" s="629" t="s">
        <v>3077</v>
      </c>
      <c r="B1267" s="630">
        <v>263</v>
      </c>
      <c r="C1267" s="631" t="str">
        <f t="shared" si="23"/>
        <v>Ô tô tự đổ 10 tấn263</v>
      </c>
      <c r="D1267" s="630"/>
      <c r="E1267" s="630"/>
      <c r="F1267" s="630"/>
      <c r="G1267" s="630"/>
    </row>
    <row r="1268" spans="1:7" ht="18.75" x14ac:dyDescent="0.25">
      <c r="A1268" s="629" t="s">
        <v>3077</v>
      </c>
      <c r="B1268" s="630">
        <v>264</v>
      </c>
      <c r="C1268" s="631" t="str">
        <f t="shared" si="23"/>
        <v>Ô tô tự đổ 10 tấn264</v>
      </c>
      <c r="D1268" s="630"/>
      <c r="E1268" s="630"/>
      <c r="F1268" s="630"/>
      <c r="G1268" s="630"/>
    </row>
    <row r="1269" spans="1:7" ht="18.75" x14ac:dyDescent="0.25">
      <c r="A1269" s="629" t="s">
        <v>3077</v>
      </c>
      <c r="B1269" s="630">
        <v>265</v>
      </c>
      <c r="C1269" s="631" t="str">
        <f t="shared" si="23"/>
        <v>Ô tô tự đổ 10 tấn265</v>
      </c>
      <c r="D1269" s="630"/>
      <c r="E1269" s="630"/>
      <c r="F1269" s="630"/>
      <c r="G1269" s="630"/>
    </row>
    <row r="1270" spans="1:7" ht="18.75" x14ac:dyDescent="0.25">
      <c r="A1270" s="629" t="s">
        <v>3077</v>
      </c>
      <c r="B1270" s="630">
        <v>266</v>
      </c>
      <c r="C1270" s="631" t="str">
        <f t="shared" si="23"/>
        <v>Ô tô tự đổ 10 tấn266</v>
      </c>
      <c r="D1270" s="630"/>
      <c r="E1270" s="630"/>
      <c r="F1270" s="630"/>
      <c r="G1270" s="630"/>
    </row>
    <row r="1271" spans="1:7" ht="18.75" x14ac:dyDescent="0.25">
      <c r="A1271" s="629" t="s">
        <v>3077</v>
      </c>
      <c r="B1271" s="630">
        <v>267</v>
      </c>
      <c r="C1271" s="631" t="str">
        <f t="shared" si="23"/>
        <v>Ô tô tự đổ 10 tấn267</v>
      </c>
      <c r="D1271" s="630"/>
      <c r="E1271" s="630"/>
      <c r="F1271" s="630"/>
      <c r="G1271" s="630"/>
    </row>
    <row r="1272" spans="1:7" ht="18.75" x14ac:dyDescent="0.25">
      <c r="A1272" s="629" t="s">
        <v>3077</v>
      </c>
      <c r="B1272" s="630">
        <v>268</v>
      </c>
      <c r="C1272" s="631" t="str">
        <f t="shared" si="23"/>
        <v>Ô tô tự đổ 10 tấn268</v>
      </c>
      <c r="D1272" s="630"/>
      <c r="E1272" s="630"/>
      <c r="F1272" s="630"/>
      <c r="G1272" s="630"/>
    </row>
    <row r="1273" spans="1:7" ht="18.75" x14ac:dyDescent="0.25">
      <c r="A1273" s="629" t="s">
        <v>3077</v>
      </c>
      <c r="B1273" s="630">
        <v>269</v>
      </c>
      <c r="C1273" s="631" t="str">
        <f t="shared" si="23"/>
        <v>Ô tô tự đổ 10 tấn269</v>
      </c>
      <c r="D1273" s="630"/>
      <c r="E1273" s="630"/>
      <c r="F1273" s="630"/>
      <c r="G1273" s="630"/>
    </row>
    <row r="1274" spans="1:7" ht="18.75" x14ac:dyDescent="0.25">
      <c r="A1274" s="629" t="s">
        <v>3077</v>
      </c>
      <c r="B1274" s="630">
        <v>270</v>
      </c>
      <c r="C1274" s="631" t="str">
        <f t="shared" si="23"/>
        <v>Ô tô tự đổ 10 tấn270</v>
      </c>
      <c r="D1274" s="630"/>
      <c r="E1274" s="630"/>
      <c r="F1274" s="630"/>
      <c r="G1274" s="630"/>
    </row>
    <row r="1275" spans="1:7" ht="18.75" x14ac:dyDescent="0.25">
      <c r="A1275" s="629" t="s">
        <v>3077</v>
      </c>
      <c r="B1275" s="630">
        <v>271</v>
      </c>
      <c r="C1275" s="631" t="str">
        <f t="shared" si="23"/>
        <v>Ô tô tự đổ 10 tấn271</v>
      </c>
      <c r="D1275" s="630"/>
      <c r="E1275" s="630"/>
      <c r="F1275" s="630"/>
      <c r="G1275" s="630"/>
    </row>
    <row r="1276" spans="1:7" ht="18.75" x14ac:dyDescent="0.25">
      <c r="A1276" s="629" t="s">
        <v>3077</v>
      </c>
      <c r="B1276" s="630">
        <v>272</v>
      </c>
      <c r="C1276" s="631" t="str">
        <f t="shared" si="23"/>
        <v>Ô tô tự đổ 10 tấn272</v>
      </c>
      <c r="D1276" s="630"/>
      <c r="E1276" s="630"/>
      <c r="F1276" s="630"/>
      <c r="G1276" s="630"/>
    </row>
    <row r="1277" spans="1:7" ht="18.75" x14ac:dyDescent="0.25">
      <c r="A1277" s="629" t="s">
        <v>3077</v>
      </c>
      <c r="B1277" s="630">
        <v>273</v>
      </c>
      <c r="C1277" s="631" t="str">
        <f t="shared" si="23"/>
        <v>Ô tô tự đổ 10 tấn273</v>
      </c>
      <c r="D1277" s="630"/>
      <c r="E1277" s="630"/>
      <c r="F1277" s="630"/>
      <c r="G1277" s="630"/>
    </row>
    <row r="1278" spans="1:7" ht="18.75" x14ac:dyDescent="0.25">
      <c r="A1278" s="629" t="s">
        <v>3077</v>
      </c>
      <c r="B1278" s="630">
        <v>274</v>
      </c>
      <c r="C1278" s="631" t="str">
        <f t="shared" si="23"/>
        <v>Ô tô tự đổ 10 tấn274</v>
      </c>
      <c r="D1278" s="630"/>
      <c r="E1278" s="630"/>
      <c r="F1278" s="630"/>
      <c r="G1278" s="630"/>
    </row>
    <row r="1279" spans="1:7" ht="18.75" x14ac:dyDescent="0.25">
      <c r="A1279" s="629" t="s">
        <v>3077</v>
      </c>
      <c r="B1279" s="630">
        <v>275</v>
      </c>
      <c r="C1279" s="631" t="str">
        <f t="shared" si="23"/>
        <v>Ô tô tự đổ 10 tấn275</v>
      </c>
      <c r="D1279" s="630"/>
      <c r="E1279" s="630"/>
      <c r="F1279" s="630"/>
      <c r="G1279" s="630"/>
    </row>
    <row r="1280" spans="1:7" ht="18.75" x14ac:dyDescent="0.25">
      <c r="A1280" s="629" t="s">
        <v>3077</v>
      </c>
      <c r="B1280" s="630">
        <v>276</v>
      </c>
      <c r="C1280" s="631" t="str">
        <f t="shared" si="23"/>
        <v>Ô tô tự đổ 10 tấn276</v>
      </c>
      <c r="D1280" s="630"/>
      <c r="E1280" s="630"/>
      <c r="F1280" s="630"/>
      <c r="G1280" s="630"/>
    </row>
    <row r="1281" spans="1:7" ht="18.75" x14ac:dyDescent="0.25">
      <c r="A1281" s="629" t="s">
        <v>3077</v>
      </c>
      <c r="B1281" s="630">
        <v>277</v>
      </c>
      <c r="C1281" s="631" t="str">
        <f t="shared" si="23"/>
        <v>Ô tô tự đổ 10 tấn277</v>
      </c>
      <c r="D1281" s="630"/>
      <c r="E1281" s="630"/>
      <c r="F1281" s="630"/>
      <c r="G1281" s="630"/>
    </row>
    <row r="1282" spans="1:7" ht="18.75" x14ac:dyDescent="0.25">
      <c r="A1282" s="629" t="s">
        <v>3077</v>
      </c>
      <c r="B1282" s="630">
        <v>278</v>
      </c>
      <c r="C1282" s="631" t="str">
        <f t="shared" si="23"/>
        <v>Ô tô tự đổ 10 tấn278</v>
      </c>
      <c r="D1282" s="630"/>
      <c r="E1282" s="630"/>
      <c r="F1282" s="630"/>
      <c r="G1282" s="630"/>
    </row>
    <row r="1283" spans="1:7" ht="18.75" x14ac:dyDescent="0.25">
      <c r="A1283" s="629" t="s">
        <v>3077</v>
      </c>
      <c r="B1283" s="630">
        <v>279</v>
      </c>
      <c r="C1283" s="631" t="str">
        <f t="shared" si="23"/>
        <v>Ô tô tự đổ 10 tấn279</v>
      </c>
      <c r="D1283" s="630"/>
      <c r="E1283" s="630"/>
      <c r="F1283" s="630"/>
      <c r="G1283" s="630"/>
    </row>
    <row r="1284" spans="1:7" ht="18.75" x14ac:dyDescent="0.25">
      <c r="A1284" s="629" t="s">
        <v>3077</v>
      </c>
      <c r="B1284" s="630">
        <v>280</v>
      </c>
      <c r="C1284" s="631" t="str">
        <f t="shared" si="23"/>
        <v>Ô tô tự đổ 10 tấn280</v>
      </c>
      <c r="D1284" s="630"/>
      <c r="E1284" s="630"/>
      <c r="F1284" s="630"/>
      <c r="G1284" s="630"/>
    </row>
    <row r="1285" spans="1:7" ht="18.75" x14ac:dyDescent="0.25">
      <c r="A1285" s="629" t="s">
        <v>3077</v>
      </c>
      <c r="B1285" s="630">
        <v>281</v>
      </c>
      <c r="C1285" s="631" t="str">
        <f t="shared" si="23"/>
        <v>Ô tô tự đổ 10 tấn281</v>
      </c>
      <c r="D1285" s="630"/>
      <c r="E1285" s="630"/>
      <c r="F1285" s="630"/>
      <c r="G1285" s="630"/>
    </row>
    <row r="1286" spans="1:7" ht="18.75" x14ac:dyDescent="0.25">
      <c r="A1286" s="629" t="s">
        <v>3077</v>
      </c>
      <c r="B1286" s="630">
        <v>282</v>
      </c>
      <c r="C1286" s="631" t="str">
        <f t="shared" si="23"/>
        <v>Ô tô tự đổ 10 tấn282</v>
      </c>
      <c r="D1286" s="630"/>
      <c r="E1286" s="630"/>
      <c r="F1286" s="630"/>
      <c r="G1286" s="630"/>
    </row>
    <row r="1287" spans="1:7" ht="18.75" x14ac:dyDescent="0.25">
      <c r="A1287" s="629" t="s">
        <v>3077</v>
      </c>
      <c r="B1287" s="630">
        <v>283</v>
      </c>
      <c r="C1287" s="631" t="str">
        <f t="shared" si="23"/>
        <v>Ô tô tự đổ 10 tấn283</v>
      </c>
      <c r="D1287" s="630"/>
      <c r="E1287" s="630"/>
      <c r="F1287" s="630"/>
      <c r="G1287" s="630"/>
    </row>
    <row r="1288" spans="1:7" ht="18.75" x14ac:dyDescent="0.25">
      <c r="A1288" s="629" t="s">
        <v>3077</v>
      </c>
      <c r="B1288" s="630">
        <v>284</v>
      </c>
      <c r="C1288" s="631" t="str">
        <f t="shared" si="23"/>
        <v>Ô tô tự đổ 10 tấn284</v>
      </c>
      <c r="D1288" s="630"/>
      <c r="E1288" s="630"/>
      <c r="F1288" s="630"/>
      <c r="G1288" s="630"/>
    </row>
    <row r="1289" spans="1:7" ht="18.75" x14ac:dyDescent="0.25">
      <c r="A1289" s="629" t="s">
        <v>3077</v>
      </c>
      <c r="B1289" s="630">
        <v>285</v>
      </c>
      <c r="C1289" s="631" t="str">
        <f t="shared" si="23"/>
        <v>Ô tô tự đổ 10 tấn285</v>
      </c>
      <c r="D1289" s="630"/>
      <c r="E1289" s="630"/>
      <c r="F1289" s="630"/>
      <c r="G1289" s="630"/>
    </row>
    <row r="1290" spans="1:7" ht="18.75" x14ac:dyDescent="0.25">
      <c r="A1290" s="629" t="s">
        <v>3077</v>
      </c>
      <c r="B1290" s="630">
        <v>286</v>
      </c>
      <c r="C1290" s="631" t="str">
        <f t="shared" si="23"/>
        <v>Ô tô tự đổ 10 tấn286</v>
      </c>
      <c r="D1290" s="630"/>
      <c r="E1290" s="630"/>
      <c r="F1290" s="630"/>
      <c r="G1290" s="630"/>
    </row>
    <row r="1291" spans="1:7" ht="18.75" x14ac:dyDescent="0.25">
      <c r="A1291" s="629" t="s">
        <v>3077</v>
      </c>
      <c r="B1291" s="630">
        <v>287</v>
      </c>
      <c r="C1291" s="631" t="str">
        <f t="shared" si="23"/>
        <v>Ô tô tự đổ 10 tấn287</v>
      </c>
      <c r="D1291" s="630"/>
      <c r="E1291" s="630"/>
      <c r="F1291" s="630"/>
      <c r="G1291" s="630"/>
    </row>
    <row r="1292" spans="1:7" ht="18.75" x14ac:dyDescent="0.25">
      <c r="A1292" s="629" t="s">
        <v>3077</v>
      </c>
      <c r="B1292" s="630">
        <v>288</v>
      </c>
      <c r="C1292" s="631" t="str">
        <f t="shared" si="23"/>
        <v>Ô tô tự đổ 10 tấn288</v>
      </c>
      <c r="D1292" s="630"/>
      <c r="E1292" s="630"/>
      <c r="F1292" s="630"/>
      <c r="G1292" s="630"/>
    </row>
    <row r="1293" spans="1:7" ht="18.75" x14ac:dyDescent="0.25">
      <c r="A1293" s="629" t="s">
        <v>3077</v>
      </c>
      <c r="B1293" s="630">
        <v>289</v>
      </c>
      <c r="C1293" s="631" t="str">
        <f t="shared" si="23"/>
        <v>Ô tô tự đổ 10 tấn289</v>
      </c>
      <c r="D1293" s="630"/>
      <c r="E1293" s="630"/>
      <c r="F1293" s="630"/>
      <c r="G1293" s="630"/>
    </row>
    <row r="1294" spans="1:7" ht="18.75" x14ac:dyDescent="0.25">
      <c r="A1294" s="629" t="s">
        <v>3077</v>
      </c>
      <c r="B1294" s="630">
        <v>290</v>
      </c>
      <c r="C1294" s="631" t="str">
        <f t="shared" si="23"/>
        <v>Ô tô tự đổ 10 tấn290</v>
      </c>
      <c r="D1294" s="630"/>
      <c r="E1294" s="630"/>
      <c r="F1294" s="630"/>
      <c r="G1294" s="630"/>
    </row>
    <row r="1295" spans="1:7" ht="18.75" x14ac:dyDescent="0.25">
      <c r="A1295" s="629" t="s">
        <v>3077</v>
      </c>
      <c r="B1295" s="630">
        <v>291</v>
      </c>
      <c r="C1295" s="631" t="str">
        <f t="shared" si="23"/>
        <v>Ô tô tự đổ 10 tấn291</v>
      </c>
      <c r="D1295" s="630"/>
      <c r="E1295" s="630"/>
      <c r="F1295" s="630"/>
      <c r="G1295" s="630"/>
    </row>
    <row r="1296" spans="1:7" ht="18.75" x14ac:dyDescent="0.25">
      <c r="A1296" s="629" t="s">
        <v>3077</v>
      </c>
      <c r="B1296" s="630">
        <v>292</v>
      </c>
      <c r="C1296" s="631" t="str">
        <f t="shared" si="23"/>
        <v>Ô tô tự đổ 10 tấn292</v>
      </c>
      <c r="D1296" s="630"/>
      <c r="E1296" s="630"/>
      <c r="F1296" s="630"/>
      <c r="G1296" s="630"/>
    </row>
    <row r="1297" spans="1:7" ht="18.75" x14ac:dyDescent="0.25">
      <c r="A1297" s="629" t="s">
        <v>3077</v>
      </c>
      <c r="B1297" s="630">
        <v>293</v>
      </c>
      <c r="C1297" s="631" t="str">
        <f t="shared" si="23"/>
        <v>Ô tô tự đổ 10 tấn293</v>
      </c>
      <c r="D1297" s="630"/>
      <c r="E1297" s="630"/>
      <c r="F1297" s="630"/>
      <c r="G1297" s="630"/>
    </row>
    <row r="1298" spans="1:7" ht="18.75" x14ac:dyDescent="0.25">
      <c r="A1298" s="629" t="s">
        <v>3077</v>
      </c>
      <c r="B1298" s="630">
        <v>294</v>
      </c>
      <c r="C1298" s="631" t="str">
        <f t="shared" si="23"/>
        <v>Ô tô tự đổ 10 tấn294</v>
      </c>
      <c r="D1298" s="630"/>
      <c r="E1298" s="630"/>
      <c r="F1298" s="630"/>
      <c r="G1298" s="630"/>
    </row>
    <row r="1299" spans="1:7" ht="18.75" x14ac:dyDescent="0.25">
      <c r="A1299" s="629" t="s">
        <v>3077</v>
      </c>
      <c r="B1299" s="630">
        <v>295</v>
      </c>
      <c r="C1299" s="631" t="str">
        <f t="shared" si="23"/>
        <v>Ô tô tự đổ 10 tấn295</v>
      </c>
      <c r="D1299" s="630"/>
      <c r="E1299" s="630"/>
      <c r="F1299" s="630"/>
      <c r="G1299" s="630"/>
    </row>
    <row r="1300" spans="1:7" ht="18.75" x14ac:dyDescent="0.25">
      <c r="A1300" s="629" t="s">
        <v>3077</v>
      </c>
      <c r="B1300" s="630">
        <v>296</v>
      </c>
      <c r="C1300" s="631" t="str">
        <f t="shared" si="23"/>
        <v>Ô tô tự đổ 10 tấn296</v>
      </c>
      <c r="D1300" s="630"/>
      <c r="E1300" s="630"/>
      <c r="F1300" s="630"/>
      <c r="G1300" s="630"/>
    </row>
    <row r="1301" spans="1:7" ht="18.75" x14ac:dyDescent="0.25">
      <c r="A1301" s="629" t="s">
        <v>3077</v>
      </c>
      <c r="B1301" s="630">
        <v>297</v>
      </c>
      <c r="C1301" s="631" t="str">
        <f t="shared" si="23"/>
        <v>Ô tô tự đổ 10 tấn297</v>
      </c>
      <c r="D1301" s="630"/>
      <c r="E1301" s="630"/>
      <c r="F1301" s="630"/>
      <c r="G1301" s="630"/>
    </row>
    <row r="1302" spans="1:7" ht="18.75" x14ac:dyDescent="0.25">
      <c r="A1302" s="629" t="s">
        <v>3077</v>
      </c>
      <c r="B1302" s="630">
        <v>298</v>
      </c>
      <c r="C1302" s="631" t="str">
        <f t="shared" si="23"/>
        <v>Ô tô tự đổ 10 tấn298</v>
      </c>
      <c r="D1302" s="630"/>
      <c r="E1302" s="630"/>
      <c r="F1302" s="630"/>
      <c r="G1302" s="630"/>
    </row>
    <row r="1303" spans="1:7" ht="18.75" x14ac:dyDescent="0.25">
      <c r="A1303" s="629" t="s">
        <v>3077</v>
      </c>
      <c r="B1303" s="630">
        <v>299</v>
      </c>
      <c r="C1303" s="631" t="str">
        <f t="shared" si="23"/>
        <v>Ô tô tự đổ 10 tấn299</v>
      </c>
      <c r="D1303" s="630"/>
      <c r="E1303" s="630"/>
      <c r="F1303" s="630"/>
      <c r="G1303" s="630"/>
    </row>
    <row r="1304" spans="1:7" ht="18.75" x14ac:dyDescent="0.25">
      <c r="A1304" s="629" t="s">
        <v>3077</v>
      </c>
      <c r="B1304" s="630">
        <v>300</v>
      </c>
      <c r="C1304" s="631" t="str">
        <f t="shared" si="23"/>
        <v>Ô tô tự đổ 10 tấn300</v>
      </c>
      <c r="D1304" s="630"/>
      <c r="E1304" s="630"/>
      <c r="F1304" s="630"/>
      <c r="G1304" s="630"/>
    </row>
    <row r="1305" spans="1:7" ht="18.75" x14ac:dyDescent="0.25">
      <c r="A1305" s="629" t="s">
        <v>3077</v>
      </c>
      <c r="B1305" s="630">
        <v>301</v>
      </c>
      <c r="C1305" s="631" t="str">
        <f t="shared" si="23"/>
        <v>Ô tô tự đổ 10 tấn301</v>
      </c>
      <c r="D1305" s="630"/>
      <c r="E1305" s="630"/>
      <c r="F1305" s="630"/>
      <c r="G1305" s="630"/>
    </row>
    <row r="1306" spans="1:7" ht="18.75" x14ac:dyDescent="0.25">
      <c r="A1306" s="629" t="s">
        <v>3077</v>
      </c>
      <c r="B1306" s="630">
        <v>302</v>
      </c>
      <c r="C1306" s="631" t="str">
        <f t="shared" si="23"/>
        <v>Ô tô tự đổ 10 tấn302</v>
      </c>
      <c r="D1306" s="630"/>
      <c r="E1306" s="630"/>
      <c r="F1306" s="630"/>
      <c r="G1306" s="630"/>
    </row>
    <row r="1307" spans="1:7" ht="18.75" x14ac:dyDescent="0.25">
      <c r="A1307" s="629" t="s">
        <v>3077</v>
      </c>
      <c r="B1307" s="630">
        <v>303</v>
      </c>
      <c r="C1307" s="631" t="str">
        <f t="shared" si="23"/>
        <v>Ô tô tự đổ 10 tấn303</v>
      </c>
      <c r="D1307" s="630"/>
      <c r="E1307" s="630"/>
      <c r="F1307" s="630"/>
      <c r="G1307" s="630"/>
    </row>
    <row r="1308" spans="1:7" ht="18.75" x14ac:dyDescent="0.25">
      <c r="A1308" s="629" t="s">
        <v>3077</v>
      </c>
      <c r="B1308" s="630">
        <v>304</v>
      </c>
      <c r="C1308" s="631" t="str">
        <f t="shared" si="23"/>
        <v>Ô tô tự đổ 10 tấn304</v>
      </c>
      <c r="D1308" s="630"/>
      <c r="E1308" s="630"/>
      <c r="F1308" s="630"/>
      <c r="G1308" s="630"/>
    </row>
    <row r="1309" spans="1:7" ht="18.75" x14ac:dyDescent="0.25">
      <c r="A1309" s="629" t="s">
        <v>3077</v>
      </c>
      <c r="B1309" s="630">
        <v>305</v>
      </c>
      <c r="C1309" s="631" t="str">
        <f t="shared" si="23"/>
        <v>Ô tô tự đổ 10 tấn305</v>
      </c>
      <c r="D1309" s="630"/>
      <c r="E1309" s="630"/>
      <c r="F1309" s="630"/>
      <c r="G1309" s="630"/>
    </row>
    <row r="1310" spans="1:7" ht="18.75" x14ac:dyDescent="0.25">
      <c r="A1310" s="629" t="s">
        <v>3077</v>
      </c>
      <c r="B1310" s="630">
        <v>306</v>
      </c>
      <c r="C1310" s="631" t="str">
        <f t="shared" si="23"/>
        <v>Ô tô tự đổ 10 tấn306</v>
      </c>
      <c r="D1310" s="630"/>
      <c r="E1310" s="630"/>
      <c r="F1310" s="630"/>
      <c r="G1310" s="630"/>
    </row>
    <row r="1311" spans="1:7" ht="18.75" x14ac:dyDescent="0.25">
      <c r="A1311" s="629" t="s">
        <v>3077</v>
      </c>
      <c r="B1311" s="630">
        <v>307</v>
      </c>
      <c r="C1311" s="631" t="str">
        <f t="shared" si="23"/>
        <v>Ô tô tự đổ 10 tấn307</v>
      </c>
      <c r="D1311" s="630"/>
      <c r="E1311" s="630"/>
      <c r="F1311" s="630"/>
      <c r="G1311" s="630"/>
    </row>
    <row r="1312" spans="1:7" ht="18.75" x14ac:dyDescent="0.25">
      <c r="A1312" s="629" t="s">
        <v>3077</v>
      </c>
      <c r="B1312" s="630">
        <v>308</v>
      </c>
      <c r="C1312" s="631" t="str">
        <f t="shared" si="23"/>
        <v>Ô tô tự đổ 10 tấn308</v>
      </c>
      <c r="D1312" s="630"/>
      <c r="E1312" s="630"/>
      <c r="F1312" s="630"/>
      <c r="G1312" s="630"/>
    </row>
    <row r="1313" spans="1:7" ht="18.75" x14ac:dyDescent="0.25">
      <c r="A1313" s="629" t="s">
        <v>3077</v>
      </c>
      <c r="B1313" s="630">
        <v>309</v>
      </c>
      <c r="C1313" s="631" t="str">
        <f t="shared" si="23"/>
        <v>Ô tô tự đổ 10 tấn309</v>
      </c>
      <c r="D1313" s="630"/>
      <c r="E1313" s="630"/>
      <c r="F1313" s="630"/>
      <c r="G1313" s="630"/>
    </row>
    <row r="1314" spans="1:7" ht="18.75" x14ac:dyDescent="0.25">
      <c r="A1314" s="629" t="s">
        <v>3077</v>
      </c>
      <c r="B1314" s="630">
        <v>310</v>
      </c>
      <c r="C1314" s="631" t="str">
        <f t="shared" si="23"/>
        <v>Ô tô tự đổ 10 tấn310</v>
      </c>
      <c r="D1314" s="630"/>
      <c r="E1314" s="630"/>
      <c r="F1314" s="630"/>
      <c r="G1314" s="630"/>
    </row>
    <row r="1315" spans="1:7" ht="18.75" x14ac:dyDescent="0.25">
      <c r="A1315" s="629" t="s">
        <v>3077</v>
      </c>
      <c r="B1315" s="630">
        <v>311</v>
      </c>
      <c r="C1315" s="631" t="str">
        <f t="shared" si="23"/>
        <v>Ô tô tự đổ 10 tấn311</v>
      </c>
      <c r="D1315" s="630"/>
      <c r="E1315" s="630"/>
      <c r="F1315" s="630"/>
      <c r="G1315" s="630"/>
    </row>
    <row r="1316" spans="1:7" ht="18.75" x14ac:dyDescent="0.25">
      <c r="A1316" s="629" t="s">
        <v>3077</v>
      </c>
      <c r="B1316" s="630">
        <v>312</v>
      </c>
      <c r="C1316" s="631" t="str">
        <f t="shared" si="23"/>
        <v>Ô tô tự đổ 10 tấn312</v>
      </c>
      <c r="D1316" s="630"/>
      <c r="E1316" s="630"/>
      <c r="F1316" s="630"/>
      <c r="G1316" s="630"/>
    </row>
    <row r="1317" spans="1:7" ht="18.75" x14ac:dyDescent="0.25">
      <c r="A1317" s="629" t="s">
        <v>3077</v>
      </c>
      <c r="B1317" s="630">
        <v>313</v>
      </c>
      <c r="C1317" s="631" t="str">
        <f t="shared" si="23"/>
        <v>Ô tô tự đổ 10 tấn313</v>
      </c>
      <c r="D1317" s="630"/>
      <c r="E1317" s="630"/>
      <c r="F1317" s="630"/>
      <c r="G1317" s="630"/>
    </row>
    <row r="1318" spans="1:7" ht="18.75" x14ac:dyDescent="0.25">
      <c r="A1318" s="629" t="s">
        <v>3077</v>
      </c>
      <c r="B1318" s="630">
        <v>314</v>
      </c>
      <c r="C1318" s="631" t="str">
        <f t="shared" si="23"/>
        <v>Ô tô tự đổ 10 tấn314</v>
      </c>
      <c r="D1318" s="630"/>
      <c r="E1318" s="630"/>
      <c r="F1318" s="630"/>
      <c r="G1318" s="630"/>
    </row>
    <row r="1319" spans="1:7" ht="18.75" x14ac:dyDescent="0.25">
      <c r="A1319" s="629" t="s">
        <v>3077</v>
      </c>
      <c r="B1319" s="630">
        <v>315</v>
      </c>
      <c r="C1319" s="631" t="str">
        <f t="shared" si="23"/>
        <v>Ô tô tự đổ 10 tấn315</v>
      </c>
      <c r="D1319" s="630"/>
      <c r="E1319" s="630"/>
      <c r="F1319" s="630"/>
      <c r="G1319" s="630"/>
    </row>
    <row r="1320" spans="1:7" ht="18.75" x14ac:dyDescent="0.25">
      <c r="A1320" s="629" t="s">
        <v>3077</v>
      </c>
      <c r="B1320" s="630">
        <v>316</v>
      </c>
      <c r="C1320" s="631" t="str">
        <f t="shared" si="23"/>
        <v>Ô tô tự đổ 10 tấn316</v>
      </c>
      <c r="D1320" s="630"/>
      <c r="E1320" s="630"/>
      <c r="F1320" s="630"/>
      <c r="G1320" s="630"/>
    </row>
    <row r="1321" spans="1:7" ht="18.75" x14ac:dyDescent="0.25">
      <c r="A1321" s="629" t="s">
        <v>3077</v>
      </c>
      <c r="B1321" s="630">
        <v>317</v>
      </c>
      <c r="C1321" s="631" t="str">
        <f t="shared" si="23"/>
        <v>Ô tô tự đổ 10 tấn317</v>
      </c>
      <c r="D1321" s="630"/>
      <c r="E1321" s="630"/>
      <c r="F1321" s="630"/>
      <c r="G1321" s="630"/>
    </row>
    <row r="1322" spans="1:7" ht="18.75" x14ac:dyDescent="0.25">
      <c r="A1322" s="629" t="s">
        <v>3077</v>
      </c>
      <c r="B1322" s="630">
        <v>318</v>
      </c>
      <c r="C1322" s="631" t="str">
        <f t="shared" si="23"/>
        <v>Ô tô tự đổ 10 tấn318</v>
      </c>
      <c r="D1322" s="630"/>
      <c r="E1322" s="630"/>
      <c r="F1322" s="630"/>
      <c r="G1322" s="630"/>
    </row>
    <row r="1323" spans="1:7" ht="18.75" x14ac:dyDescent="0.25">
      <c r="A1323" s="629" t="s">
        <v>3077</v>
      </c>
      <c r="B1323" s="630">
        <v>319</v>
      </c>
      <c r="C1323" s="631" t="str">
        <f t="shared" si="23"/>
        <v>Ô tô tự đổ 10 tấn319</v>
      </c>
      <c r="D1323" s="630"/>
      <c r="E1323" s="630"/>
      <c r="F1323" s="630"/>
      <c r="G1323" s="630"/>
    </row>
    <row r="1324" spans="1:7" ht="18.75" x14ac:dyDescent="0.25">
      <c r="A1324" s="629" t="s">
        <v>3077</v>
      </c>
      <c r="B1324" s="630">
        <v>320</v>
      </c>
      <c r="C1324" s="631" t="str">
        <f t="shared" si="23"/>
        <v>Ô tô tự đổ 10 tấn320</v>
      </c>
      <c r="D1324" s="630"/>
      <c r="E1324" s="630"/>
      <c r="F1324" s="630"/>
      <c r="G1324" s="630"/>
    </row>
    <row r="1325" spans="1:7" ht="18.75" x14ac:dyDescent="0.25">
      <c r="A1325" s="629" t="s">
        <v>3077</v>
      </c>
      <c r="B1325" s="630">
        <v>321</v>
      </c>
      <c r="C1325" s="631" t="str">
        <f t="shared" si="23"/>
        <v>Ô tô tự đổ 10 tấn321</v>
      </c>
      <c r="D1325" s="630"/>
      <c r="E1325" s="630"/>
      <c r="F1325" s="630"/>
      <c r="G1325" s="630"/>
    </row>
    <row r="1326" spans="1:7" ht="18.75" x14ac:dyDescent="0.25">
      <c r="A1326" s="629" t="s">
        <v>3077</v>
      </c>
      <c r="B1326" s="630">
        <v>322</v>
      </c>
      <c r="C1326" s="631" t="str">
        <f t="shared" ref="C1326:C1389" si="24">A1326&amp;B1326</f>
        <v>Ô tô tự đổ 10 tấn322</v>
      </c>
      <c r="D1326" s="630"/>
      <c r="E1326" s="630"/>
      <c r="F1326" s="630"/>
      <c r="G1326" s="630"/>
    </row>
    <row r="1327" spans="1:7" ht="18.75" x14ac:dyDescent="0.25">
      <c r="A1327" s="629" t="s">
        <v>3077</v>
      </c>
      <c r="B1327" s="630">
        <v>323</v>
      </c>
      <c r="C1327" s="631" t="str">
        <f t="shared" si="24"/>
        <v>Ô tô tự đổ 10 tấn323</v>
      </c>
      <c r="D1327" s="630"/>
      <c r="E1327" s="630"/>
      <c r="F1327" s="630"/>
      <c r="G1327" s="630"/>
    </row>
    <row r="1328" spans="1:7" ht="18.75" x14ac:dyDescent="0.25">
      <c r="A1328" s="629" t="s">
        <v>3077</v>
      </c>
      <c r="B1328" s="630">
        <v>324</v>
      </c>
      <c r="C1328" s="631" t="str">
        <f t="shared" si="24"/>
        <v>Ô tô tự đổ 10 tấn324</v>
      </c>
      <c r="D1328" s="630"/>
      <c r="E1328" s="630"/>
      <c r="F1328" s="630"/>
      <c r="G1328" s="630"/>
    </row>
    <row r="1329" spans="1:7" ht="18.75" x14ac:dyDescent="0.25">
      <c r="A1329" s="629" t="s">
        <v>3077</v>
      </c>
      <c r="B1329" s="630">
        <v>325</v>
      </c>
      <c r="C1329" s="631" t="str">
        <f t="shared" si="24"/>
        <v>Ô tô tự đổ 10 tấn325</v>
      </c>
      <c r="D1329" s="630"/>
      <c r="E1329" s="630"/>
      <c r="F1329" s="630"/>
      <c r="G1329" s="630"/>
    </row>
    <row r="1330" spans="1:7" ht="18.75" x14ac:dyDescent="0.25">
      <c r="A1330" s="629" t="s">
        <v>3077</v>
      </c>
      <c r="B1330" s="630">
        <v>326</v>
      </c>
      <c r="C1330" s="631" t="str">
        <f t="shared" si="24"/>
        <v>Ô tô tự đổ 10 tấn326</v>
      </c>
      <c r="D1330" s="630"/>
      <c r="E1330" s="630"/>
      <c r="F1330" s="630"/>
      <c r="G1330" s="630"/>
    </row>
    <row r="1331" spans="1:7" ht="18.75" x14ac:dyDescent="0.25">
      <c r="A1331" s="629" t="s">
        <v>3077</v>
      </c>
      <c r="B1331" s="630">
        <v>327</v>
      </c>
      <c r="C1331" s="631" t="str">
        <f t="shared" si="24"/>
        <v>Ô tô tự đổ 10 tấn327</v>
      </c>
      <c r="D1331" s="630"/>
      <c r="E1331" s="630"/>
      <c r="F1331" s="630"/>
      <c r="G1331" s="630"/>
    </row>
    <row r="1332" spans="1:7" ht="18.75" x14ac:dyDescent="0.25">
      <c r="A1332" s="629" t="s">
        <v>3077</v>
      </c>
      <c r="B1332" s="630">
        <v>328</v>
      </c>
      <c r="C1332" s="631" t="str">
        <f t="shared" si="24"/>
        <v>Ô tô tự đổ 10 tấn328</v>
      </c>
      <c r="D1332" s="630"/>
      <c r="E1332" s="630"/>
      <c r="F1332" s="630"/>
      <c r="G1332" s="630"/>
    </row>
    <row r="1333" spans="1:7" ht="18.75" x14ac:dyDescent="0.25">
      <c r="A1333" s="629" t="s">
        <v>3077</v>
      </c>
      <c r="B1333" s="630">
        <v>329</v>
      </c>
      <c r="C1333" s="631" t="str">
        <f t="shared" si="24"/>
        <v>Ô tô tự đổ 10 tấn329</v>
      </c>
      <c r="D1333" s="630"/>
      <c r="E1333" s="630"/>
      <c r="F1333" s="630"/>
      <c r="G1333" s="630"/>
    </row>
    <row r="1334" spans="1:7" ht="18.75" x14ac:dyDescent="0.25">
      <c r="A1334" s="629" t="s">
        <v>3077</v>
      </c>
      <c r="B1334" s="630">
        <v>330</v>
      </c>
      <c r="C1334" s="631" t="str">
        <f t="shared" si="24"/>
        <v>Ô tô tự đổ 10 tấn330</v>
      </c>
      <c r="D1334" s="630"/>
      <c r="E1334" s="630"/>
      <c r="F1334" s="630"/>
      <c r="G1334" s="630"/>
    </row>
    <row r="1335" spans="1:7" ht="18.75" x14ac:dyDescent="0.25">
      <c r="A1335" s="629" t="s">
        <v>3077</v>
      </c>
      <c r="B1335" s="630">
        <v>331</v>
      </c>
      <c r="C1335" s="631" t="str">
        <f t="shared" si="24"/>
        <v>Ô tô tự đổ 10 tấn331</v>
      </c>
      <c r="D1335" s="630"/>
      <c r="E1335" s="630"/>
      <c r="F1335" s="630"/>
      <c r="G1335" s="630"/>
    </row>
    <row r="1336" spans="1:7" ht="18.75" x14ac:dyDescent="0.25">
      <c r="A1336" s="629" t="s">
        <v>3077</v>
      </c>
      <c r="B1336" s="630">
        <v>332</v>
      </c>
      <c r="C1336" s="631" t="str">
        <f t="shared" si="24"/>
        <v>Ô tô tự đổ 10 tấn332</v>
      </c>
      <c r="D1336" s="630"/>
      <c r="E1336" s="630"/>
      <c r="F1336" s="630"/>
      <c r="G1336" s="630"/>
    </row>
    <row r="1337" spans="1:7" ht="18.75" x14ac:dyDescent="0.25">
      <c r="A1337" s="629" t="s">
        <v>3077</v>
      </c>
      <c r="B1337" s="630">
        <v>333</v>
      </c>
      <c r="C1337" s="631" t="str">
        <f t="shared" si="24"/>
        <v>Ô tô tự đổ 10 tấn333</v>
      </c>
      <c r="D1337" s="630"/>
      <c r="E1337" s="630"/>
      <c r="F1337" s="630"/>
      <c r="G1337" s="630"/>
    </row>
    <row r="1338" spans="1:7" ht="18.75" x14ac:dyDescent="0.25">
      <c r="A1338" s="629" t="s">
        <v>3077</v>
      </c>
      <c r="B1338" s="630">
        <v>334</v>
      </c>
      <c r="C1338" s="631" t="str">
        <f t="shared" si="24"/>
        <v>Ô tô tự đổ 10 tấn334</v>
      </c>
      <c r="D1338" s="630"/>
      <c r="E1338" s="630"/>
      <c r="F1338" s="630"/>
      <c r="G1338" s="630"/>
    </row>
    <row r="1339" spans="1:7" ht="18.75" x14ac:dyDescent="0.25">
      <c r="A1339" s="629" t="s">
        <v>3077</v>
      </c>
      <c r="B1339" s="630">
        <v>335</v>
      </c>
      <c r="C1339" s="631" t="str">
        <f t="shared" si="24"/>
        <v>Ô tô tự đổ 10 tấn335</v>
      </c>
      <c r="D1339" s="630"/>
      <c r="E1339" s="630"/>
      <c r="F1339" s="630"/>
      <c r="G1339" s="630"/>
    </row>
    <row r="1340" spans="1:7" ht="18.75" x14ac:dyDescent="0.25">
      <c r="A1340" s="629" t="s">
        <v>3077</v>
      </c>
      <c r="B1340" s="630">
        <v>336</v>
      </c>
      <c r="C1340" s="631" t="str">
        <f t="shared" si="24"/>
        <v>Ô tô tự đổ 10 tấn336</v>
      </c>
      <c r="D1340" s="630"/>
      <c r="E1340" s="630"/>
      <c r="F1340" s="630"/>
      <c r="G1340" s="630"/>
    </row>
    <row r="1341" spans="1:7" ht="18.75" x14ac:dyDescent="0.25">
      <c r="A1341" s="629" t="s">
        <v>3077</v>
      </c>
      <c r="B1341" s="630">
        <v>337</v>
      </c>
      <c r="C1341" s="631" t="str">
        <f t="shared" si="24"/>
        <v>Ô tô tự đổ 10 tấn337</v>
      </c>
      <c r="D1341" s="630"/>
      <c r="E1341" s="630"/>
      <c r="F1341" s="630"/>
      <c r="G1341" s="630"/>
    </row>
    <row r="1342" spans="1:7" ht="18.75" x14ac:dyDescent="0.25">
      <c r="A1342" s="629" t="s">
        <v>3077</v>
      </c>
      <c r="B1342" s="630">
        <v>338</v>
      </c>
      <c r="C1342" s="631" t="str">
        <f t="shared" si="24"/>
        <v>Ô tô tự đổ 10 tấn338</v>
      </c>
      <c r="D1342" s="630"/>
      <c r="E1342" s="630"/>
      <c r="F1342" s="630"/>
      <c r="G1342" s="630"/>
    </row>
    <row r="1343" spans="1:7" ht="18.75" x14ac:dyDescent="0.25">
      <c r="A1343" s="629" t="s">
        <v>3077</v>
      </c>
      <c r="B1343" s="630">
        <v>339</v>
      </c>
      <c r="C1343" s="631" t="str">
        <f t="shared" si="24"/>
        <v>Ô tô tự đổ 10 tấn339</v>
      </c>
      <c r="D1343" s="630"/>
      <c r="E1343" s="630"/>
      <c r="F1343" s="630"/>
      <c r="G1343" s="630"/>
    </row>
    <row r="1344" spans="1:7" ht="18.75" x14ac:dyDescent="0.25">
      <c r="A1344" s="629" t="s">
        <v>3077</v>
      </c>
      <c r="B1344" s="630">
        <v>340</v>
      </c>
      <c r="C1344" s="631" t="str">
        <f t="shared" si="24"/>
        <v>Ô tô tự đổ 10 tấn340</v>
      </c>
      <c r="D1344" s="630"/>
      <c r="E1344" s="630"/>
      <c r="F1344" s="630"/>
      <c r="G1344" s="630"/>
    </row>
    <row r="1345" spans="1:7" ht="18.75" x14ac:dyDescent="0.25">
      <c r="A1345" s="629" t="s">
        <v>3077</v>
      </c>
      <c r="B1345" s="630">
        <v>341</v>
      </c>
      <c r="C1345" s="631" t="str">
        <f t="shared" si="24"/>
        <v>Ô tô tự đổ 10 tấn341</v>
      </c>
      <c r="D1345" s="630"/>
      <c r="E1345" s="630"/>
      <c r="F1345" s="630"/>
      <c r="G1345" s="630"/>
    </row>
    <row r="1346" spans="1:7" ht="18.75" x14ac:dyDescent="0.25">
      <c r="A1346" s="629" t="s">
        <v>3077</v>
      </c>
      <c r="B1346" s="630">
        <v>342</v>
      </c>
      <c r="C1346" s="631" t="str">
        <f t="shared" si="24"/>
        <v>Ô tô tự đổ 10 tấn342</v>
      </c>
      <c r="D1346" s="630"/>
      <c r="E1346" s="630"/>
      <c r="F1346" s="630"/>
      <c r="G1346" s="630"/>
    </row>
    <row r="1347" spans="1:7" ht="18.75" x14ac:dyDescent="0.25">
      <c r="A1347" s="629" t="s">
        <v>3077</v>
      </c>
      <c r="B1347" s="630">
        <v>343</v>
      </c>
      <c r="C1347" s="631" t="str">
        <f t="shared" si="24"/>
        <v>Ô tô tự đổ 10 tấn343</v>
      </c>
      <c r="D1347" s="630"/>
      <c r="E1347" s="630"/>
      <c r="F1347" s="630"/>
      <c r="G1347" s="630"/>
    </row>
    <row r="1348" spans="1:7" ht="18.75" x14ac:dyDescent="0.25">
      <c r="A1348" s="629" t="s">
        <v>3077</v>
      </c>
      <c r="B1348" s="630">
        <v>344</v>
      </c>
      <c r="C1348" s="631" t="str">
        <f t="shared" si="24"/>
        <v>Ô tô tự đổ 10 tấn344</v>
      </c>
      <c r="D1348" s="630"/>
      <c r="E1348" s="630"/>
      <c r="F1348" s="630"/>
      <c r="G1348" s="630"/>
    </row>
    <row r="1349" spans="1:7" ht="18.75" x14ac:dyDescent="0.25">
      <c r="A1349" s="629" t="s">
        <v>3077</v>
      </c>
      <c r="B1349" s="630">
        <v>345</v>
      </c>
      <c r="C1349" s="631" t="str">
        <f t="shared" si="24"/>
        <v>Ô tô tự đổ 10 tấn345</v>
      </c>
      <c r="D1349" s="630"/>
      <c r="E1349" s="630"/>
      <c r="F1349" s="630"/>
      <c r="G1349" s="630"/>
    </row>
    <row r="1350" spans="1:7" ht="18.75" x14ac:dyDescent="0.25">
      <c r="A1350" s="629" t="s">
        <v>3077</v>
      </c>
      <c r="B1350" s="630">
        <v>346</v>
      </c>
      <c r="C1350" s="631" t="str">
        <f t="shared" si="24"/>
        <v>Ô tô tự đổ 10 tấn346</v>
      </c>
      <c r="D1350" s="630"/>
      <c r="E1350" s="630"/>
      <c r="F1350" s="630"/>
      <c r="G1350" s="630"/>
    </row>
    <row r="1351" spans="1:7" ht="18.75" x14ac:dyDescent="0.25">
      <c r="A1351" s="629" t="s">
        <v>3077</v>
      </c>
      <c r="B1351" s="630">
        <v>347</v>
      </c>
      <c r="C1351" s="631" t="str">
        <f t="shared" si="24"/>
        <v>Ô tô tự đổ 10 tấn347</v>
      </c>
      <c r="D1351" s="630"/>
      <c r="E1351" s="630"/>
      <c r="F1351" s="630"/>
      <c r="G1351" s="630"/>
    </row>
    <row r="1352" spans="1:7" ht="18.75" x14ac:dyDescent="0.25">
      <c r="A1352" s="629" t="s">
        <v>3077</v>
      </c>
      <c r="B1352" s="630">
        <v>348</v>
      </c>
      <c r="C1352" s="631" t="str">
        <f t="shared" si="24"/>
        <v>Ô tô tự đổ 10 tấn348</v>
      </c>
      <c r="D1352" s="630"/>
      <c r="E1352" s="630"/>
      <c r="F1352" s="630"/>
      <c r="G1352" s="630"/>
    </row>
    <row r="1353" spans="1:7" ht="18.75" x14ac:dyDescent="0.25">
      <c r="A1353" s="629" t="s">
        <v>3077</v>
      </c>
      <c r="B1353" s="630">
        <v>349</v>
      </c>
      <c r="C1353" s="631" t="str">
        <f t="shared" si="24"/>
        <v>Ô tô tự đổ 10 tấn349</v>
      </c>
      <c r="D1353" s="630"/>
      <c r="E1353" s="630"/>
      <c r="F1353" s="630"/>
      <c r="G1353" s="630"/>
    </row>
    <row r="1354" spans="1:7" ht="18.75" x14ac:dyDescent="0.25">
      <c r="A1354" s="629" t="s">
        <v>3077</v>
      </c>
      <c r="B1354" s="630">
        <v>350</v>
      </c>
      <c r="C1354" s="631" t="str">
        <f t="shared" si="24"/>
        <v>Ô tô tự đổ 10 tấn350</v>
      </c>
      <c r="D1354" s="630"/>
      <c r="E1354" s="630"/>
      <c r="F1354" s="630"/>
      <c r="G1354" s="630"/>
    </row>
    <row r="1355" spans="1:7" ht="18.75" x14ac:dyDescent="0.25">
      <c r="A1355" s="629" t="s">
        <v>3077</v>
      </c>
      <c r="B1355" s="630">
        <v>351</v>
      </c>
      <c r="C1355" s="631" t="str">
        <f t="shared" si="24"/>
        <v>Ô tô tự đổ 10 tấn351</v>
      </c>
      <c r="D1355" s="630"/>
      <c r="E1355" s="630"/>
      <c r="F1355" s="630"/>
      <c r="G1355" s="630"/>
    </row>
    <row r="1356" spans="1:7" ht="18.75" x14ac:dyDescent="0.25">
      <c r="A1356" s="629" t="s">
        <v>3077</v>
      </c>
      <c r="B1356" s="630">
        <v>352</v>
      </c>
      <c r="C1356" s="631" t="str">
        <f t="shared" si="24"/>
        <v>Ô tô tự đổ 10 tấn352</v>
      </c>
      <c r="D1356" s="630"/>
      <c r="E1356" s="630"/>
      <c r="F1356" s="630"/>
      <c r="G1356" s="630"/>
    </row>
    <row r="1357" spans="1:7" ht="18.75" x14ac:dyDescent="0.25">
      <c r="A1357" s="629" t="s">
        <v>3077</v>
      </c>
      <c r="B1357" s="630">
        <v>353</v>
      </c>
      <c r="C1357" s="631" t="str">
        <f t="shared" si="24"/>
        <v>Ô tô tự đổ 10 tấn353</v>
      </c>
      <c r="D1357" s="630"/>
      <c r="E1357" s="630"/>
      <c r="F1357" s="630"/>
      <c r="G1357" s="630"/>
    </row>
    <row r="1358" spans="1:7" ht="18.75" x14ac:dyDescent="0.25">
      <c r="A1358" s="629" t="s">
        <v>3077</v>
      </c>
      <c r="B1358" s="630">
        <v>354</v>
      </c>
      <c r="C1358" s="631" t="str">
        <f t="shared" si="24"/>
        <v>Ô tô tự đổ 10 tấn354</v>
      </c>
      <c r="D1358" s="630"/>
      <c r="E1358" s="630"/>
      <c r="F1358" s="630"/>
      <c r="G1358" s="630"/>
    </row>
    <row r="1359" spans="1:7" ht="18.75" x14ac:dyDescent="0.25">
      <c r="A1359" s="629" t="s">
        <v>3077</v>
      </c>
      <c r="B1359" s="630">
        <v>355</v>
      </c>
      <c r="C1359" s="631" t="str">
        <f t="shared" si="24"/>
        <v>Ô tô tự đổ 10 tấn355</v>
      </c>
      <c r="D1359" s="630"/>
      <c r="E1359" s="630"/>
      <c r="F1359" s="630"/>
      <c r="G1359" s="630"/>
    </row>
    <row r="1360" spans="1:7" ht="18.75" x14ac:dyDescent="0.25">
      <c r="A1360" s="629" t="s">
        <v>3077</v>
      </c>
      <c r="B1360" s="630">
        <v>356</v>
      </c>
      <c r="C1360" s="631" t="str">
        <f t="shared" si="24"/>
        <v>Ô tô tự đổ 10 tấn356</v>
      </c>
      <c r="D1360" s="630"/>
      <c r="E1360" s="630"/>
      <c r="F1360" s="630"/>
      <c r="G1360" s="630"/>
    </row>
    <row r="1361" spans="1:7" ht="18.75" x14ac:dyDescent="0.25">
      <c r="A1361" s="629" t="s">
        <v>3077</v>
      </c>
      <c r="B1361" s="630">
        <v>357</v>
      </c>
      <c r="C1361" s="631" t="str">
        <f t="shared" si="24"/>
        <v>Ô tô tự đổ 10 tấn357</v>
      </c>
      <c r="D1361" s="630"/>
      <c r="E1361" s="630"/>
      <c r="F1361" s="630"/>
      <c r="G1361" s="630"/>
    </row>
    <row r="1362" spans="1:7" ht="18.75" x14ac:dyDescent="0.25">
      <c r="A1362" s="629" t="s">
        <v>3077</v>
      </c>
      <c r="B1362" s="630">
        <v>358</v>
      </c>
      <c r="C1362" s="631" t="str">
        <f t="shared" si="24"/>
        <v>Ô tô tự đổ 10 tấn358</v>
      </c>
      <c r="D1362" s="630"/>
      <c r="E1362" s="630"/>
      <c r="F1362" s="630"/>
      <c r="G1362" s="630"/>
    </row>
    <row r="1363" spans="1:7" ht="18.75" x14ac:dyDescent="0.25">
      <c r="A1363" s="629" t="s">
        <v>3077</v>
      </c>
      <c r="B1363" s="630">
        <v>359</v>
      </c>
      <c r="C1363" s="631" t="str">
        <f t="shared" si="24"/>
        <v>Ô tô tự đổ 10 tấn359</v>
      </c>
      <c r="D1363" s="630"/>
      <c r="E1363" s="630"/>
      <c r="F1363" s="630"/>
      <c r="G1363" s="630"/>
    </row>
    <row r="1364" spans="1:7" ht="18.75" x14ac:dyDescent="0.25">
      <c r="A1364" s="629" t="s">
        <v>3077</v>
      </c>
      <c r="B1364" s="630">
        <v>360</v>
      </c>
      <c r="C1364" s="631" t="str">
        <f t="shared" si="24"/>
        <v>Ô tô tự đổ 10 tấn360</v>
      </c>
      <c r="D1364" s="630"/>
      <c r="E1364" s="630"/>
      <c r="F1364" s="630"/>
      <c r="G1364" s="630"/>
    </row>
    <row r="1365" spans="1:7" ht="18.75" x14ac:dyDescent="0.25">
      <c r="A1365" s="629" t="s">
        <v>3077</v>
      </c>
      <c r="B1365" s="630">
        <v>361</v>
      </c>
      <c r="C1365" s="631" t="str">
        <f t="shared" si="24"/>
        <v>Ô tô tự đổ 10 tấn361</v>
      </c>
      <c r="D1365" s="630"/>
      <c r="E1365" s="630"/>
      <c r="F1365" s="630"/>
      <c r="G1365" s="630"/>
    </row>
    <row r="1366" spans="1:7" ht="18.75" x14ac:dyDescent="0.25">
      <c r="A1366" s="629" t="s">
        <v>3077</v>
      </c>
      <c r="B1366" s="630">
        <v>362</v>
      </c>
      <c r="C1366" s="631" t="str">
        <f t="shared" si="24"/>
        <v>Ô tô tự đổ 10 tấn362</v>
      </c>
      <c r="D1366" s="630"/>
      <c r="E1366" s="630"/>
      <c r="F1366" s="630"/>
      <c r="G1366" s="630"/>
    </row>
    <row r="1367" spans="1:7" ht="18.75" x14ac:dyDescent="0.25">
      <c r="A1367" s="629" t="s">
        <v>3077</v>
      </c>
      <c r="B1367" s="630">
        <v>363</v>
      </c>
      <c r="C1367" s="631" t="str">
        <f t="shared" si="24"/>
        <v>Ô tô tự đổ 10 tấn363</v>
      </c>
      <c r="D1367" s="630"/>
      <c r="E1367" s="630"/>
      <c r="F1367" s="630"/>
      <c r="G1367" s="630"/>
    </row>
    <row r="1368" spans="1:7" ht="18.75" x14ac:dyDescent="0.25">
      <c r="A1368" s="629" t="s">
        <v>3077</v>
      </c>
      <c r="B1368" s="630">
        <v>364</v>
      </c>
      <c r="C1368" s="631" t="str">
        <f t="shared" si="24"/>
        <v>Ô tô tự đổ 10 tấn364</v>
      </c>
      <c r="D1368" s="630"/>
      <c r="E1368" s="630"/>
      <c r="F1368" s="630"/>
      <c r="G1368" s="630"/>
    </row>
    <row r="1369" spans="1:7" ht="18.75" x14ac:dyDescent="0.25">
      <c r="A1369" s="629" t="s">
        <v>3077</v>
      </c>
      <c r="B1369" s="630">
        <v>365</v>
      </c>
      <c r="C1369" s="631" t="str">
        <f t="shared" si="24"/>
        <v>Ô tô tự đổ 10 tấn365</v>
      </c>
      <c r="D1369" s="630"/>
      <c r="E1369" s="630"/>
      <c r="F1369" s="630"/>
      <c r="G1369" s="630"/>
    </row>
    <row r="1370" spans="1:7" ht="18.75" x14ac:dyDescent="0.25">
      <c r="A1370" s="629" t="s">
        <v>3077</v>
      </c>
      <c r="B1370" s="630">
        <v>366</v>
      </c>
      <c r="C1370" s="631" t="str">
        <f t="shared" si="24"/>
        <v>Ô tô tự đổ 10 tấn366</v>
      </c>
      <c r="D1370" s="630"/>
      <c r="E1370" s="630"/>
      <c r="F1370" s="630"/>
      <c r="G1370" s="630"/>
    </row>
    <row r="1371" spans="1:7" ht="18.75" x14ac:dyDescent="0.25">
      <c r="A1371" s="629" t="s">
        <v>3077</v>
      </c>
      <c r="B1371" s="630">
        <v>367</v>
      </c>
      <c r="C1371" s="631" t="str">
        <f t="shared" si="24"/>
        <v>Ô tô tự đổ 10 tấn367</v>
      </c>
      <c r="D1371" s="630"/>
      <c r="E1371" s="630"/>
      <c r="F1371" s="630"/>
      <c r="G1371" s="630"/>
    </row>
    <row r="1372" spans="1:7" ht="18.75" x14ac:dyDescent="0.25">
      <c r="A1372" s="629" t="s">
        <v>3077</v>
      </c>
      <c r="B1372" s="630">
        <v>368</v>
      </c>
      <c r="C1372" s="631" t="str">
        <f t="shared" si="24"/>
        <v>Ô tô tự đổ 10 tấn368</v>
      </c>
      <c r="D1372" s="630"/>
      <c r="E1372" s="630"/>
      <c r="F1372" s="630"/>
      <c r="G1372" s="630"/>
    </row>
    <row r="1373" spans="1:7" ht="18.75" x14ac:dyDescent="0.25">
      <c r="A1373" s="629" t="s">
        <v>3077</v>
      </c>
      <c r="B1373" s="630">
        <v>369</v>
      </c>
      <c r="C1373" s="631" t="str">
        <f t="shared" si="24"/>
        <v>Ô tô tự đổ 10 tấn369</v>
      </c>
      <c r="D1373" s="630"/>
      <c r="E1373" s="630"/>
      <c r="F1373" s="630"/>
      <c r="G1373" s="630"/>
    </row>
    <row r="1374" spans="1:7" ht="18.75" x14ac:dyDescent="0.25">
      <c r="A1374" s="629" t="s">
        <v>3077</v>
      </c>
      <c r="B1374" s="630">
        <v>370</v>
      </c>
      <c r="C1374" s="631" t="str">
        <f t="shared" si="24"/>
        <v>Ô tô tự đổ 10 tấn370</v>
      </c>
      <c r="D1374" s="630"/>
      <c r="E1374" s="630"/>
      <c r="F1374" s="630"/>
      <c r="G1374" s="630"/>
    </row>
    <row r="1375" spans="1:7" ht="18.75" x14ac:dyDescent="0.25">
      <c r="A1375" s="629" t="s">
        <v>3077</v>
      </c>
      <c r="B1375" s="630">
        <v>371</v>
      </c>
      <c r="C1375" s="631" t="str">
        <f t="shared" si="24"/>
        <v>Ô tô tự đổ 10 tấn371</v>
      </c>
      <c r="D1375" s="630"/>
      <c r="E1375" s="630"/>
      <c r="F1375" s="630"/>
      <c r="G1375" s="630"/>
    </row>
    <row r="1376" spans="1:7" ht="18.75" x14ac:dyDescent="0.25">
      <c r="A1376" s="629" t="s">
        <v>3077</v>
      </c>
      <c r="B1376" s="630">
        <v>372</v>
      </c>
      <c r="C1376" s="631" t="str">
        <f t="shared" si="24"/>
        <v>Ô tô tự đổ 10 tấn372</v>
      </c>
      <c r="D1376" s="630"/>
      <c r="E1376" s="630"/>
      <c r="F1376" s="630"/>
      <c r="G1376" s="630"/>
    </row>
    <row r="1377" spans="1:7" ht="18.75" x14ac:dyDescent="0.25">
      <c r="A1377" s="629" t="s">
        <v>3077</v>
      </c>
      <c r="B1377" s="630">
        <v>373</v>
      </c>
      <c r="C1377" s="631" t="str">
        <f t="shared" si="24"/>
        <v>Ô tô tự đổ 10 tấn373</v>
      </c>
      <c r="D1377" s="630"/>
      <c r="E1377" s="630"/>
      <c r="F1377" s="630"/>
      <c r="G1377" s="630"/>
    </row>
    <row r="1378" spans="1:7" ht="18.75" x14ac:dyDescent="0.25">
      <c r="A1378" s="629" t="s">
        <v>3077</v>
      </c>
      <c r="B1378" s="630">
        <v>374</v>
      </c>
      <c r="C1378" s="631" t="str">
        <f t="shared" si="24"/>
        <v>Ô tô tự đổ 10 tấn374</v>
      </c>
      <c r="D1378" s="630"/>
      <c r="E1378" s="630"/>
      <c r="F1378" s="630"/>
      <c r="G1378" s="630"/>
    </row>
    <row r="1379" spans="1:7" ht="18.75" x14ac:dyDescent="0.25">
      <c r="A1379" s="629" t="s">
        <v>3077</v>
      </c>
      <c r="B1379" s="630">
        <v>375</v>
      </c>
      <c r="C1379" s="631" t="str">
        <f t="shared" si="24"/>
        <v>Ô tô tự đổ 10 tấn375</v>
      </c>
      <c r="D1379" s="630"/>
      <c r="E1379" s="630"/>
      <c r="F1379" s="630"/>
      <c r="G1379" s="630"/>
    </row>
    <row r="1380" spans="1:7" ht="18.75" x14ac:dyDescent="0.25">
      <c r="A1380" s="629" t="s">
        <v>3077</v>
      </c>
      <c r="B1380" s="630">
        <v>376</v>
      </c>
      <c r="C1380" s="631" t="str">
        <f t="shared" si="24"/>
        <v>Ô tô tự đổ 10 tấn376</v>
      </c>
      <c r="D1380" s="630"/>
      <c r="E1380" s="630"/>
      <c r="F1380" s="630"/>
      <c r="G1380" s="630"/>
    </row>
    <row r="1381" spans="1:7" ht="18.75" x14ac:dyDescent="0.25">
      <c r="A1381" s="629" t="s">
        <v>3077</v>
      </c>
      <c r="B1381" s="630">
        <v>377</v>
      </c>
      <c r="C1381" s="631" t="str">
        <f t="shared" si="24"/>
        <v>Ô tô tự đổ 10 tấn377</v>
      </c>
      <c r="D1381" s="630"/>
      <c r="E1381" s="630"/>
      <c r="F1381" s="630"/>
      <c r="G1381" s="630"/>
    </row>
    <row r="1382" spans="1:7" ht="18.75" x14ac:dyDescent="0.25">
      <c r="A1382" s="629" t="s">
        <v>3077</v>
      </c>
      <c r="B1382" s="630">
        <v>378</v>
      </c>
      <c r="C1382" s="631" t="str">
        <f t="shared" si="24"/>
        <v>Ô tô tự đổ 10 tấn378</v>
      </c>
      <c r="D1382" s="630"/>
      <c r="E1382" s="630"/>
      <c r="F1382" s="630"/>
      <c r="G1382" s="630"/>
    </row>
    <row r="1383" spans="1:7" ht="18.75" x14ac:dyDescent="0.25">
      <c r="A1383" s="629" t="s">
        <v>3077</v>
      </c>
      <c r="B1383" s="630">
        <v>379</v>
      </c>
      <c r="C1383" s="631" t="str">
        <f t="shared" si="24"/>
        <v>Ô tô tự đổ 10 tấn379</v>
      </c>
      <c r="D1383" s="630"/>
      <c r="E1383" s="630"/>
      <c r="F1383" s="630"/>
      <c r="G1383" s="630"/>
    </row>
    <row r="1384" spans="1:7" ht="18.75" x14ac:dyDescent="0.25">
      <c r="A1384" s="629" t="s">
        <v>3077</v>
      </c>
      <c r="B1384" s="630">
        <v>380</v>
      </c>
      <c r="C1384" s="631" t="str">
        <f t="shared" si="24"/>
        <v>Ô tô tự đổ 10 tấn380</v>
      </c>
      <c r="D1384" s="630"/>
      <c r="E1384" s="630"/>
      <c r="F1384" s="630"/>
      <c r="G1384" s="630"/>
    </row>
    <row r="1385" spans="1:7" ht="18.75" x14ac:dyDescent="0.25">
      <c r="A1385" s="629" t="s">
        <v>3077</v>
      </c>
      <c r="B1385" s="630">
        <v>381</v>
      </c>
      <c r="C1385" s="631" t="str">
        <f t="shared" si="24"/>
        <v>Ô tô tự đổ 10 tấn381</v>
      </c>
      <c r="D1385" s="630"/>
      <c r="E1385" s="630"/>
      <c r="F1385" s="630"/>
      <c r="G1385" s="630"/>
    </row>
    <row r="1386" spans="1:7" ht="18.75" x14ac:dyDescent="0.25">
      <c r="A1386" s="629" t="s">
        <v>3077</v>
      </c>
      <c r="B1386" s="630">
        <v>382</v>
      </c>
      <c r="C1386" s="631" t="str">
        <f t="shared" si="24"/>
        <v>Ô tô tự đổ 10 tấn382</v>
      </c>
      <c r="D1386" s="630"/>
      <c r="E1386" s="630"/>
      <c r="F1386" s="630"/>
      <c r="G1386" s="630"/>
    </row>
    <row r="1387" spans="1:7" ht="18.75" x14ac:dyDescent="0.25">
      <c r="A1387" s="629" t="s">
        <v>3077</v>
      </c>
      <c r="B1387" s="630">
        <v>383</v>
      </c>
      <c r="C1387" s="631" t="str">
        <f t="shared" si="24"/>
        <v>Ô tô tự đổ 10 tấn383</v>
      </c>
      <c r="D1387" s="630"/>
      <c r="E1387" s="630"/>
      <c r="F1387" s="630"/>
      <c r="G1387" s="630"/>
    </row>
    <row r="1388" spans="1:7" ht="18.75" x14ac:dyDescent="0.25">
      <c r="A1388" s="629" t="s">
        <v>3077</v>
      </c>
      <c r="B1388" s="630">
        <v>384</v>
      </c>
      <c r="C1388" s="631" t="str">
        <f t="shared" si="24"/>
        <v>Ô tô tự đổ 10 tấn384</v>
      </c>
      <c r="D1388" s="630"/>
      <c r="E1388" s="630"/>
      <c r="F1388" s="630"/>
      <c r="G1388" s="630"/>
    </row>
    <row r="1389" spans="1:7" ht="18.75" x14ac:dyDescent="0.25">
      <c r="A1389" s="629" t="s">
        <v>3077</v>
      </c>
      <c r="B1389" s="630">
        <v>385</v>
      </c>
      <c r="C1389" s="631" t="str">
        <f t="shared" si="24"/>
        <v>Ô tô tự đổ 10 tấn385</v>
      </c>
      <c r="D1389" s="630"/>
      <c r="E1389" s="630"/>
      <c r="F1389" s="630"/>
      <c r="G1389" s="630"/>
    </row>
    <row r="1390" spans="1:7" ht="18.75" x14ac:dyDescent="0.25">
      <c r="A1390" s="629" t="s">
        <v>3077</v>
      </c>
      <c r="B1390" s="630">
        <v>386</v>
      </c>
      <c r="C1390" s="631" t="str">
        <f t="shared" ref="C1390:C1453" si="25">A1390&amp;B1390</f>
        <v>Ô tô tự đổ 10 tấn386</v>
      </c>
      <c r="D1390" s="630"/>
      <c r="E1390" s="630"/>
      <c r="F1390" s="630"/>
      <c r="G1390" s="630"/>
    </row>
    <row r="1391" spans="1:7" ht="18.75" x14ac:dyDescent="0.25">
      <c r="A1391" s="629" t="s">
        <v>3077</v>
      </c>
      <c r="B1391" s="630">
        <v>387</v>
      </c>
      <c r="C1391" s="631" t="str">
        <f t="shared" si="25"/>
        <v>Ô tô tự đổ 10 tấn387</v>
      </c>
      <c r="D1391" s="630"/>
      <c r="E1391" s="630"/>
      <c r="F1391" s="630"/>
      <c r="G1391" s="630"/>
    </row>
    <row r="1392" spans="1:7" ht="18.75" x14ac:dyDescent="0.25">
      <c r="A1392" s="629" t="s">
        <v>3077</v>
      </c>
      <c r="B1392" s="630">
        <v>388</v>
      </c>
      <c r="C1392" s="631" t="str">
        <f t="shared" si="25"/>
        <v>Ô tô tự đổ 10 tấn388</v>
      </c>
      <c r="D1392" s="630"/>
      <c r="E1392" s="630"/>
      <c r="F1392" s="630"/>
      <c r="G1392" s="630"/>
    </row>
    <row r="1393" spans="1:7" ht="18.75" x14ac:dyDescent="0.25">
      <c r="A1393" s="629" t="s">
        <v>3077</v>
      </c>
      <c r="B1393" s="630">
        <v>389</v>
      </c>
      <c r="C1393" s="631" t="str">
        <f t="shared" si="25"/>
        <v>Ô tô tự đổ 10 tấn389</v>
      </c>
      <c r="D1393" s="630"/>
      <c r="E1393" s="630"/>
      <c r="F1393" s="630"/>
      <c r="G1393" s="630"/>
    </row>
    <row r="1394" spans="1:7" ht="18.75" x14ac:dyDescent="0.25">
      <c r="A1394" s="629" t="s">
        <v>3077</v>
      </c>
      <c r="B1394" s="630">
        <v>390</v>
      </c>
      <c r="C1394" s="631" t="str">
        <f t="shared" si="25"/>
        <v>Ô tô tự đổ 10 tấn390</v>
      </c>
      <c r="D1394" s="630"/>
      <c r="E1394" s="630"/>
      <c r="F1394" s="630"/>
      <c r="G1394" s="630"/>
    </row>
    <row r="1395" spans="1:7" ht="18.75" x14ac:dyDescent="0.25">
      <c r="A1395" s="629" t="s">
        <v>3077</v>
      </c>
      <c r="B1395" s="630">
        <v>391</v>
      </c>
      <c r="C1395" s="631" t="str">
        <f t="shared" si="25"/>
        <v>Ô tô tự đổ 10 tấn391</v>
      </c>
      <c r="D1395" s="630"/>
      <c r="E1395" s="630"/>
      <c r="F1395" s="630"/>
      <c r="G1395" s="630"/>
    </row>
    <row r="1396" spans="1:7" ht="18.75" x14ac:dyDescent="0.25">
      <c r="A1396" s="629" t="s">
        <v>3077</v>
      </c>
      <c r="B1396" s="630">
        <v>392</v>
      </c>
      <c r="C1396" s="631" t="str">
        <f t="shared" si="25"/>
        <v>Ô tô tự đổ 10 tấn392</v>
      </c>
      <c r="D1396" s="630"/>
      <c r="E1396" s="630"/>
      <c r="F1396" s="630"/>
      <c r="G1396" s="630"/>
    </row>
    <row r="1397" spans="1:7" ht="18.75" x14ac:dyDescent="0.25">
      <c r="A1397" s="629" t="s">
        <v>3077</v>
      </c>
      <c r="B1397" s="630">
        <v>393</v>
      </c>
      <c r="C1397" s="631" t="str">
        <f t="shared" si="25"/>
        <v>Ô tô tự đổ 10 tấn393</v>
      </c>
      <c r="D1397" s="630"/>
      <c r="E1397" s="630"/>
      <c r="F1397" s="630"/>
      <c r="G1397" s="630"/>
    </row>
    <row r="1398" spans="1:7" ht="18.75" x14ac:dyDescent="0.25">
      <c r="A1398" s="629" t="s">
        <v>3077</v>
      </c>
      <c r="B1398" s="630">
        <v>394</v>
      </c>
      <c r="C1398" s="631" t="str">
        <f t="shared" si="25"/>
        <v>Ô tô tự đổ 10 tấn394</v>
      </c>
      <c r="D1398" s="630"/>
      <c r="E1398" s="630"/>
      <c r="F1398" s="630"/>
      <c r="G1398" s="630"/>
    </row>
    <row r="1399" spans="1:7" ht="18.75" x14ac:dyDescent="0.25">
      <c r="A1399" s="629" t="s">
        <v>3077</v>
      </c>
      <c r="B1399" s="630">
        <v>395</v>
      </c>
      <c r="C1399" s="631" t="str">
        <f t="shared" si="25"/>
        <v>Ô tô tự đổ 10 tấn395</v>
      </c>
      <c r="D1399" s="630"/>
      <c r="E1399" s="630"/>
      <c r="F1399" s="630"/>
      <c r="G1399" s="630"/>
    </row>
    <row r="1400" spans="1:7" ht="18.75" x14ac:dyDescent="0.25">
      <c r="A1400" s="629" t="s">
        <v>3077</v>
      </c>
      <c r="B1400" s="630">
        <v>396</v>
      </c>
      <c r="C1400" s="631" t="str">
        <f t="shared" si="25"/>
        <v>Ô tô tự đổ 10 tấn396</v>
      </c>
      <c r="D1400" s="630"/>
      <c r="E1400" s="630"/>
      <c r="F1400" s="630"/>
      <c r="G1400" s="630"/>
    </row>
    <row r="1401" spans="1:7" ht="18.75" x14ac:dyDescent="0.25">
      <c r="A1401" s="629" t="s">
        <v>3077</v>
      </c>
      <c r="B1401" s="630">
        <v>397</v>
      </c>
      <c r="C1401" s="631" t="str">
        <f t="shared" si="25"/>
        <v>Ô tô tự đổ 10 tấn397</v>
      </c>
      <c r="D1401" s="630"/>
      <c r="E1401" s="630"/>
      <c r="F1401" s="630"/>
      <c r="G1401" s="630"/>
    </row>
    <row r="1402" spans="1:7" ht="18.75" x14ac:dyDescent="0.25">
      <c r="A1402" s="629" t="s">
        <v>3077</v>
      </c>
      <c r="B1402" s="630">
        <v>398</v>
      </c>
      <c r="C1402" s="631" t="str">
        <f t="shared" si="25"/>
        <v>Ô tô tự đổ 10 tấn398</v>
      </c>
      <c r="D1402" s="630"/>
      <c r="E1402" s="630"/>
      <c r="F1402" s="630"/>
      <c r="G1402" s="630"/>
    </row>
    <row r="1403" spans="1:7" ht="18.75" x14ac:dyDescent="0.25">
      <c r="A1403" s="629" t="s">
        <v>3077</v>
      </c>
      <c r="B1403" s="630">
        <v>399</v>
      </c>
      <c r="C1403" s="631" t="str">
        <f t="shared" si="25"/>
        <v>Ô tô tự đổ 10 tấn399</v>
      </c>
      <c r="D1403" s="630"/>
      <c r="E1403" s="630"/>
      <c r="F1403" s="630"/>
      <c r="G1403" s="630"/>
    </row>
    <row r="1404" spans="1:7" ht="18.75" x14ac:dyDescent="0.25">
      <c r="A1404" s="629" t="s">
        <v>3077</v>
      </c>
      <c r="B1404" s="630">
        <v>400</v>
      </c>
      <c r="C1404" s="631" t="str">
        <f t="shared" si="25"/>
        <v>Ô tô tự đổ 10 tấn400</v>
      </c>
      <c r="D1404" s="630"/>
      <c r="E1404" s="630"/>
      <c r="F1404" s="630"/>
      <c r="G1404" s="630"/>
    </row>
    <row r="1405" spans="1:7" ht="18.75" x14ac:dyDescent="0.25">
      <c r="A1405" s="629" t="s">
        <v>3077</v>
      </c>
      <c r="B1405" s="630">
        <v>401</v>
      </c>
      <c r="C1405" s="631" t="str">
        <f t="shared" si="25"/>
        <v>Ô tô tự đổ 10 tấn401</v>
      </c>
      <c r="D1405" s="630"/>
      <c r="E1405" s="630"/>
      <c r="F1405" s="630"/>
      <c r="G1405" s="630"/>
    </row>
    <row r="1406" spans="1:7" ht="18.75" x14ac:dyDescent="0.25">
      <c r="A1406" s="629" t="s">
        <v>3077</v>
      </c>
      <c r="B1406" s="630">
        <v>402</v>
      </c>
      <c r="C1406" s="631" t="str">
        <f t="shared" si="25"/>
        <v>Ô tô tự đổ 10 tấn402</v>
      </c>
      <c r="D1406" s="630"/>
      <c r="E1406" s="630"/>
      <c r="F1406" s="630"/>
      <c r="G1406" s="630"/>
    </row>
    <row r="1407" spans="1:7" ht="18.75" x14ac:dyDescent="0.25">
      <c r="A1407" s="629" t="s">
        <v>3077</v>
      </c>
      <c r="B1407" s="630">
        <v>403</v>
      </c>
      <c r="C1407" s="631" t="str">
        <f t="shared" si="25"/>
        <v>Ô tô tự đổ 10 tấn403</v>
      </c>
      <c r="D1407" s="630"/>
      <c r="E1407" s="630"/>
      <c r="F1407" s="630"/>
      <c r="G1407" s="630"/>
    </row>
    <row r="1408" spans="1:7" ht="18.75" x14ac:dyDescent="0.25">
      <c r="A1408" s="629" t="s">
        <v>3077</v>
      </c>
      <c r="B1408" s="630">
        <v>404</v>
      </c>
      <c r="C1408" s="631" t="str">
        <f t="shared" si="25"/>
        <v>Ô tô tự đổ 10 tấn404</v>
      </c>
      <c r="D1408" s="630"/>
      <c r="E1408" s="630"/>
      <c r="F1408" s="630"/>
      <c r="G1408" s="630"/>
    </row>
    <row r="1409" spans="1:7" ht="18.75" x14ac:dyDescent="0.25">
      <c r="A1409" s="629" t="s">
        <v>3077</v>
      </c>
      <c r="B1409" s="630">
        <v>405</v>
      </c>
      <c r="C1409" s="631" t="str">
        <f t="shared" si="25"/>
        <v>Ô tô tự đổ 10 tấn405</v>
      </c>
      <c r="D1409" s="630"/>
      <c r="E1409" s="630"/>
      <c r="F1409" s="630"/>
      <c r="G1409" s="630"/>
    </row>
    <row r="1410" spans="1:7" ht="18.75" x14ac:dyDescent="0.25">
      <c r="A1410" s="629" t="s">
        <v>3077</v>
      </c>
      <c r="B1410" s="630">
        <v>406</v>
      </c>
      <c r="C1410" s="631" t="str">
        <f t="shared" si="25"/>
        <v>Ô tô tự đổ 10 tấn406</v>
      </c>
      <c r="D1410" s="630"/>
      <c r="E1410" s="630"/>
      <c r="F1410" s="630"/>
      <c r="G1410" s="630"/>
    </row>
    <row r="1411" spans="1:7" ht="18.75" x14ac:dyDescent="0.25">
      <c r="A1411" s="629" t="s">
        <v>3077</v>
      </c>
      <c r="B1411" s="630">
        <v>407</v>
      </c>
      <c r="C1411" s="631" t="str">
        <f t="shared" si="25"/>
        <v>Ô tô tự đổ 10 tấn407</v>
      </c>
      <c r="D1411" s="630"/>
      <c r="E1411" s="630"/>
      <c r="F1411" s="630"/>
      <c r="G1411" s="630"/>
    </row>
    <row r="1412" spans="1:7" ht="18.75" x14ac:dyDescent="0.25">
      <c r="A1412" s="629" t="s">
        <v>3077</v>
      </c>
      <c r="B1412" s="630">
        <v>408</v>
      </c>
      <c r="C1412" s="631" t="str">
        <f t="shared" si="25"/>
        <v>Ô tô tự đổ 10 tấn408</v>
      </c>
      <c r="D1412" s="630"/>
      <c r="E1412" s="630"/>
      <c r="F1412" s="630"/>
      <c r="G1412" s="630"/>
    </row>
    <row r="1413" spans="1:7" ht="18.75" x14ac:dyDescent="0.25">
      <c r="A1413" s="629" t="s">
        <v>3077</v>
      </c>
      <c r="B1413" s="630">
        <v>409</v>
      </c>
      <c r="C1413" s="631" t="str">
        <f t="shared" si="25"/>
        <v>Ô tô tự đổ 10 tấn409</v>
      </c>
      <c r="D1413" s="630"/>
      <c r="E1413" s="630"/>
      <c r="F1413" s="630"/>
      <c r="G1413" s="630"/>
    </row>
    <row r="1414" spans="1:7" ht="18.75" x14ac:dyDescent="0.25">
      <c r="A1414" s="629" t="s">
        <v>3077</v>
      </c>
      <c r="B1414" s="630">
        <v>410</v>
      </c>
      <c r="C1414" s="631" t="str">
        <f t="shared" si="25"/>
        <v>Ô tô tự đổ 10 tấn410</v>
      </c>
      <c r="D1414" s="630"/>
      <c r="E1414" s="630"/>
      <c r="F1414" s="630"/>
      <c r="G1414" s="630"/>
    </row>
    <row r="1415" spans="1:7" ht="18.75" x14ac:dyDescent="0.25">
      <c r="A1415" s="629" t="s">
        <v>3077</v>
      </c>
      <c r="B1415" s="630">
        <v>411</v>
      </c>
      <c r="C1415" s="631" t="str">
        <f t="shared" si="25"/>
        <v>Ô tô tự đổ 10 tấn411</v>
      </c>
      <c r="D1415" s="630"/>
      <c r="E1415" s="630"/>
      <c r="F1415" s="630"/>
      <c r="G1415" s="630"/>
    </row>
    <row r="1416" spans="1:7" ht="18.75" x14ac:dyDescent="0.25">
      <c r="A1416" s="629" t="s">
        <v>3077</v>
      </c>
      <c r="B1416" s="630">
        <v>412</v>
      </c>
      <c r="C1416" s="631" t="str">
        <f t="shared" si="25"/>
        <v>Ô tô tự đổ 10 tấn412</v>
      </c>
      <c r="D1416" s="630"/>
      <c r="E1416" s="630"/>
      <c r="F1416" s="630"/>
      <c r="G1416" s="630"/>
    </row>
    <row r="1417" spans="1:7" ht="18.75" x14ac:dyDescent="0.25">
      <c r="A1417" s="629" t="s">
        <v>3077</v>
      </c>
      <c r="B1417" s="630">
        <v>413</v>
      </c>
      <c r="C1417" s="631" t="str">
        <f t="shared" si="25"/>
        <v>Ô tô tự đổ 10 tấn413</v>
      </c>
      <c r="D1417" s="630"/>
      <c r="E1417" s="630"/>
      <c r="F1417" s="630"/>
      <c r="G1417" s="630"/>
    </row>
    <row r="1418" spans="1:7" ht="18.75" x14ac:dyDescent="0.25">
      <c r="A1418" s="629" t="s">
        <v>3077</v>
      </c>
      <c r="B1418" s="630">
        <v>414</v>
      </c>
      <c r="C1418" s="631" t="str">
        <f t="shared" si="25"/>
        <v>Ô tô tự đổ 10 tấn414</v>
      </c>
      <c r="D1418" s="630"/>
      <c r="E1418" s="630"/>
      <c r="F1418" s="630"/>
      <c r="G1418" s="630"/>
    </row>
    <row r="1419" spans="1:7" ht="18.75" x14ac:dyDescent="0.25">
      <c r="A1419" s="629" t="s">
        <v>3077</v>
      </c>
      <c r="B1419" s="630">
        <v>415</v>
      </c>
      <c r="C1419" s="631" t="str">
        <f t="shared" si="25"/>
        <v>Ô tô tự đổ 10 tấn415</v>
      </c>
      <c r="D1419" s="630"/>
      <c r="E1419" s="630"/>
      <c r="F1419" s="630"/>
      <c r="G1419" s="630"/>
    </row>
    <row r="1420" spans="1:7" ht="18.75" x14ac:dyDescent="0.25">
      <c r="A1420" s="629" t="s">
        <v>3077</v>
      </c>
      <c r="B1420" s="630">
        <v>416</v>
      </c>
      <c r="C1420" s="631" t="str">
        <f t="shared" si="25"/>
        <v>Ô tô tự đổ 10 tấn416</v>
      </c>
      <c r="D1420" s="630"/>
      <c r="E1420" s="630"/>
      <c r="F1420" s="630"/>
      <c r="G1420" s="630"/>
    </row>
    <row r="1421" spans="1:7" ht="18.75" x14ac:dyDescent="0.25">
      <c r="A1421" s="629" t="s">
        <v>3077</v>
      </c>
      <c r="B1421" s="630">
        <v>417</v>
      </c>
      <c r="C1421" s="631" t="str">
        <f t="shared" si="25"/>
        <v>Ô tô tự đổ 10 tấn417</v>
      </c>
      <c r="D1421" s="630"/>
      <c r="E1421" s="630"/>
      <c r="F1421" s="630"/>
      <c r="G1421" s="630"/>
    </row>
    <row r="1422" spans="1:7" ht="18.75" x14ac:dyDescent="0.25">
      <c r="A1422" s="629" t="s">
        <v>3077</v>
      </c>
      <c r="B1422" s="630">
        <v>418</v>
      </c>
      <c r="C1422" s="631" t="str">
        <f t="shared" si="25"/>
        <v>Ô tô tự đổ 10 tấn418</v>
      </c>
      <c r="D1422" s="630"/>
      <c r="E1422" s="630"/>
      <c r="F1422" s="630"/>
      <c r="G1422" s="630"/>
    </row>
    <row r="1423" spans="1:7" ht="18.75" x14ac:dyDescent="0.25">
      <c r="A1423" s="629" t="s">
        <v>3077</v>
      </c>
      <c r="B1423" s="630">
        <v>419</v>
      </c>
      <c r="C1423" s="631" t="str">
        <f t="shared" si="25"/>
        <v>Ô tô tự đổ 10 tấn419</v>
      </c>
      <c r="D1423" s="630"/>
      <c r="E1423" s="630"/>
      <c r="F1423" s="630"/>
      <c r="G1423" s="630"/>
    </row>
    <row r="1424" spans="1:7" ht="18.75" x14ac:dyDescent="0.25">
      <c r="A1424" s="629" t="s">
        <v>3077</v>
      </c>
      <c r="B1424" s="630">
        <v>420</v>
      </c>
      <c r="C1424" s="631" t="str">
        <f t="shared" si="25"/>
        <v>Ô tô tự đổ 10 tấn420</v>
      </c>
      <c r="D1424" s="630"/>
      <c r="E1424" s="630"/>
      <c r="F1424" s="630"/>
      <c r="G1424" s="630"/>
    </row>
    <row r="1425" spans="1:7" ht="18.75" x14ac:dyDescent="0.25">
      <c r="A1425" s="629" t="s">
        <v>3077</v>
      </c>
      <c r="B1425" s="630">
        <v>421</v>
      </c>
      <c r="C1425" s="631" t="str">
        <f t="shared" si="25"/>
        <v>Ô tô tự đổ 10 tấn421</v>
      </c>
      <c r="D1425" s="630"/>
      <c r="E1425" s="630"/>
      <c r="F1425" s="630"/>
      <c r="G1425" s="630"/>
    </row>
    <row r="1426" spans="1:7" ht="18.75" x14ac:dyDescent="0.25">
      <c r="A1426" s="629" t="s">
        <v>3077</v>
      </c>
      <c r="B1426" s="630">
        <v>422</v>
      </c>
      <c r="C1426" s="631" t="str">
        <f t="shared" si="25"/>
        <v>Ô tô tự đổ 10 tấn422</v>
      </c>
      <c r="D1426" s="630"/>
      <c r="E1426" s="630"/>
      <c r="F1426" s="630"/>
      <c r="G1426" s="630"/>
    </row>
    <row r="1427" spans="1:7" ht="18.75" x14ac:dyDescent="0.25">
      <c r="A1427" s="629" t="s">
        <v>3077</v>
      </c>
      <c r="B1427" s="630">
        <v>423</v>
      </c>
      <c r="C1427" s="631" t="str">
        <f t="shared" si="25"/>
        <v>Ô tô tự đổ 10 tấn423</v>
      </c>
      <c r="D1427" s="630"/>
      <c r="E1427" s="630"/>
      <c r="F1427" s="630"/>
      <c r="G1427" s="630"/>
    </row>
    <row r="1428" spans="1:7" ht="18.75" x14ac:dyDescent="0.25">
      <c r="A1428" s="629" t="s">
        <v>3077</v>
      </c>
      <c r="B1428" s="630">
        <v>424</v>
      </c>
      <c r="C1428" s="631" t="str">
        <f t="shared" si="25"/>
        <v>Ô tô tự đổ 10 tấn424</v>
      </c>
      <c r="D1428" s="630"/>
      <c r="E1428" s="630"/>
      <c r="F1428" s="630"/>
      <c r="G1428" s="630"/>
    </row>
    <row r="1429" spans="1:7" ht="18.75" x14ac:dyDescent="0.25">
      <c r="A1429" s="629" t="s">
        <v>3077</v>
      </c>
      <c r="B1429" s="630">
        <v>425</v>
      </c>
      <c r="C1429" s="631" t="str">
        <f t="shared" si="25"/>
        <v>Ô tô tự đổ 10 tấn425</v>
      </c>
      <c r="D1429" s="630"/>
      <c r="E1429" s="630"/>
      <c r="F1429" s="630"/>
      <c r="G1429" s="630"/>
    </row>
    <row r="1430" spans="1:7" ht="18.75" x14ac:dyDescent="0.25">
      <c r="A1430" s="629" t="s">
        <v>3077</v>
      </c>
      <c r="B1430" s="630">
        <v>426</v>
      </c>
      <c r="C1430" s="631" t="str">
        <f t="shared" si="25"/>
        <v>Ô tô tự đổ 10 tấn426</v>
      </c>
      <c r="D1430" s="630"/>
      <c r="E1430" s="630"/>
      <c r="F1430" s="630"/>
      <c r="G1430" s="630"/>
    </row>
    <row r="1431" spans="1:7" ht="18.75" x14ac:dyDescent="0.25">
      <c r="A1431" s="629" t="s">
        <v>3077</v>
      </c>
      <c r="B1431" s="630">
        <v>427</v>
      </c>
      <c r="C1431" s="631" t="str">
        <f t="shared" si="25"/>
        <v>Ô tô tự đổ 10 tấn427</v>
      </c>
      <c r="D1431" s="630"/>
      <c r="E1431" s="630"/>
      <c r="F1431" s="630"/>
      <c r="G1431" s="630"/>
    </row>
    <row r="1432" spans="1:7" ht="18.75" x14ac:dyDescent="0.25">
      <c r="A1432" s="629" t="s">
        <v>3077</v>
      </c>
      <c r="B1432" s="630">
        <v>428</v>
      </c>
      <c r="C1432" s="631" t="str">
        <f t="shared" si="25"/>
        <v>Ô tô tự đổ 10 tấn428</v>
      </c>
      <c r="D1432" s="630"/>
      <c r="E1432" s="630"/>
      <c r="F1432" s="630"/>
      <c r="G1432" s="630"/>
    </row>
    <row r="1433" spans="1:7" ht="18.75" x14ac:dyDescent="0.25">
      <c r="A1433" s="629" t="s">
        <v>3077</v>
      </c>
      <c r="B1433" s="630">
        <v>429</v>
      </c>
      <c r="C1433" s="631" t="str">
        <f t="shared" si="25"/>
        <v>Ô tô tự đổ 10 tấn429</v>
      </c>
      <c r="D1433" s="630"/>
      <c r="E1433" s="630"/>
      <c r="F1433" s="630"/>
      <c r="G1433" s="630"/>
    </row>
    <row r="1434" spans="1:7" ht="18.75" x14ac:dyDescent="0.25">
      <c r="A1434" s="629" t="s">
        <v>3077</v>
      </c>
      <c r="B1434" s="630">
        <v>430</v>
      </c>
      <c r="C1434" s="631" t="str">
        <f t="shared" si="25"/>
        <v>Ô tô tự đổ 10 tấn430</v>
      </c>
      <c r="D1434" s="630"/>
      <c r="E1434" s="630"/>
      <c r="F1434" s="630"/>
      <c r="G1434" s="630"/>
    </row>
    <row r="1435" spans="1:7" ht="18.75" x14ac:dyDescent="0.25">
      <c r="A1435" s="629" t="s">
        <v>3077</v>
      </c>
      <c r="B1435" s="630">
        <v>431</v>
      </c>
      <c r="C1435" s="631" t="str">
        <f t="shared" si="25"/>
        <v>Ô tô tự đổ 10 tấn431</v>
      </c>
      <c r="D1435" s="630"/>
      <c r="E1435" s="630"/>
      <c r="F1435" s="630"/>
      <c r="G1435" s="630"/>
    </row>
    <row r="1436" spans="1:7" ht="18.75" x14ac:dyDescent="0.25">
      <c r="A1436" s="629" t="s">
        <v>3077</v>
      </c>
      <c r="B1436" s="630">
        <v>432</v>
      </c>
      <c r="C1436" s="631" t="str">
        <f t="shared" si="25"/>
        <v>Ô tô tự đổ 10 tấn432</v>
      </c>
      <c r="D1436" s="630"/>
      <c r="E1436" s="630"/>
      <c r="F1436" s="630"/>
      <c r="G1436" s="630"/>
    </row>
    <row r="1437" spans="1:7" ht="18.75" x14ac:dyDescent="0.25">
      <c r="A1437" s="629" t="s">
        <v>3077</v>
      </c>
      <c r="B1437" s="630">
        <v>433</v>
      </c>
      <c r="C1437" s="631" t="str">
        <f t="shared" si="25"/>
        <v>Ô tô tự đổ 10 tấn433</v>
      </c>
      <c r="D1437" s="630"/>
      <c r="E1437" s="630"/>
      <c r="F1437" s="630"/>
      <c r="G1437" s="630"/>
    </row>
    <row r="1438" spans="1:7" ht="18.75" x14ac:dyDescent="0.25">
      <c r="A1438" s="629" t="s">
        <v>3077</v>
      </c>
      <c r="B1438" s="630">
        <v>434</v>
      </c>
      <c r="C1438" s="631" t="str">
        <f t="shared" si="25"/>
        <v>Ô tô tự đổ 10 tấn434</v>
      </c>
      <c r="D1438" s="630"/>
      <c r="E1438" s="630"/>
      <c r="F1438" s="630"/>
      <c r="G1438" s="630"/>
    </row>
    <row r="1439" spans="1:7" ht="18.75" x14ac:dyDescent="0.25">
      <c r="A1439" s="629" t="s">
        <v>3077</v>
      </c>
      <c r="B1439" s="630">
        <v>435</v>
      </c>
      <c r="C1439" s="631" t="str">
        <f t="shared" si="25"/>
        <v>Ô tô tự đổ 10 tấn435</v>
      </c>
      <c r="D1439" s="630"/>
      <c r="E1439" s="630"/>
      <c r="F1439" s="630"/>
      <c r="G1439" s="630"/>
    </row>
    <row r="1440" spans="1:7" ht="18.75" x14ac:dyDescent="0.25">
      <c r="A1440" s="629" t="s">
        <v>3077</v>
      </c>
      <c r="B1440" s="630">
        <v>436</v>
      </c>
      <c r="C1440" s="631" t="str">
        <f t="shared" si="25"/>
        <v>Ô tô tự đổ 10 tấn436</v>
      </c>
      <c r="D1440" s="630"/>
      <c r="E1440" s="630"/>
      <c r="F1440" s="630"/>
      <c r="G1440" s="630"/>
    </row>
    <row r="1441" spans="1:7" ht="18.75" x14ac:dyDescent="0.25">
      <c r="A1441" s="629" t="s">
        <v>3077</v>
      </c>
      <c r="B1441" s="630">
        <v>437</v>
      </c>
      <c r="C1441" s="631" t="str">
        <f t="shared" si="25"/>
        <v>Ô tô tự đổ 10 tấn437</v>
      </c>
      <c r="D1441" s="630"/>
      <c r="E1441" s="630"/>
      <c r="F1441" s="630"/>
      <c r="G1441" s="630"/>
    </row>
    <row r="1442" spans="1:7" ht="18.75" x14ac:dyDescent="0.25">
      <c r="A1442" s="629" t="s">
        <v>3077</v>
      </c>
      <c r="B1442" s="630">
        <v>438</v>
      </c>
      <c r="C1442" s="631" t="str">
        <f t="shared" si="25"/>
        <v>Ô tô tự đổ 10 tấn438</v>
      </c>
      <c r="D1442" s="630"/>
      <c r="E1442" s="630"/>
      <c r="F1442" s="630"/>
      <c r="G1442" s="630"/>
    </row>
    <row r="1443" spans="1:7" ht="18.75" x14ac:dyDescent="0.25">
      <c r="A1443" s="629" t="s">
        <v>3077</v>
      </c>
      <c r="B1443" s="630">
        <v>439</v>
      </c>
      <c r="C1443" s="631" t="str">
        <f t="shared" si="25"/>
        <v>Ô tô tự đổ 10 tấn439</v>
      </c>
      <c r="D1443" s="630"/>
      <c r="E1443" s="630"/>
      <c r="F1443" s="630"/>
      <c r="G1443" s="630"/>
    </row>
    <row r="1444" spans="1:7" ht="18.75" x14ac:dyDescent="0.25">
      <c r="A1444" s="629" t="s">
        <v>3077</v>
      </c>
      <c r="B1444" s="630">
        <v>440</v>
      </c>
      <c r="C1444" s="631" t="str">
        <f t="shared" si="25"/>
        <v>Ô tô tự đổ 10 tấn440</v>
      </c>
      <c r="D1444" s="630"/>
      <c r="E1444" s="630"/>
      <c r="F1444" s="630"/>
      <c r="G1444" s="630"/>
    </row>
    <row r="1445" spans="1:7" ht="18.75" x14ac:dyDescent="0.25">
      <c r="A1445" s="629" t="s">
        <v>3077</v>
      </c>
      <c r="B1445" s="630">
        <v>441</v>
      </c>
      <c r="C1445" s="631" t="str">
        <f t="shared" si="25"/>
        <v>Ô tô tự đổ 10 tấn441</v>
      </c>
      <c r="D1445" s="630"/>
      <c r="E1445" s="630"/>
      <c r="F1445" s="630"/>
      <c r="G1445" s="630"/>
    </row>
    <row r="1446" spans="1:7" ht="18.75" x14ac:dyDescent="0.25">
      <c r="A1446" s="629" t="s">
        <v>3077</v>
      </c>
      <c r="B1446" s="630">
        <v>442</v>
      </c>
      <c r="C1446" s="631" t="str">
        <f t="shared" si="25"/>
        <v>Ô tô tự đổ 10 tấn442</v>
      </c>
      <c r="D1446" s="630"/>
      <c r="E1446" s="630"/>
      <c r="F1446" s="630"/>
      <c r="G1446" s="630"/>
    </row>
    <row r="1447" spans="1:7" ht="18.75" x14ac:dyDescent="0.25">
      <c r="A1447" s="629" t="s">
        <v>3077</v>
      </c>
      <c r="B1447" s="630">
        <v>443</v>
      </c>
      <c r="C1447" s="631" t="str">
        <f t="shared" si="25"/>
        <v>Ô tô tự đổ 10 tấn443</v>
      </c>
      <c r="D1447" s="630"/>
      <c r="E1447" s="630"/>
      <c r="F1447" s="630"/>
      <c r="G1447" s="630"/>
    </row>
    <row r="1448" spans="1:7" ht="18.75" x14ac:dyDescent="0.25">
      <c r="A1448" s="629" t="s">
        <v>3077</v>
      </c>
      <c r="B1448" s="630">
        <v>444</v>
      </c>
      <c r="C1448" s="631" t="str">
        <f t="shared" si="25"/>
        <v>Ô tô tự đổ 10 tấn444</v>
      </c>
      <c r="D1448" s="630"/>
      <c r="E1448" s="630"/>
      <c r="F1448" s="630"/>
      <c r="G1448" s="630"/>
    </row>
    <row r="1449" spans="1:7" ht="18.75" x14ac:dyDescent="0.25">
      <c r="A1449" s="629" t="s">
        <v>3077</v>
      </c>
      <c r="B1449" s="630">
        <v>445</v>
      </c>
      <c r="C1449" s="631" t="str">
        <f t="shared" si="25"/>
        <v>Ô tô tự đổ 10 tấn445</v>
      </c>
      <c r="D1449" s="630"/>
      <c r="E1449" s="630"/>
      <c r="F1449" s="630"/>
      <c r="G1449" s="630"/>
    </row>
    <row r="1450" spans="1:7" ht="18.75" x14ac:dyDescent="0.25">
      <c r="A1450" s="629" t="s">
        <v>3077</v>
      </c>
      <c r="B1450" s="630">
        <v>446</v>
      </c>
      <c r="C1450" s="631" t="str">
        <f t="shared" si="25"/>
        <v>Ô tô tự đổ 10 tấn446</v>
      </c>
      <c r="D1450" s="630"/>
      <c r="E1450" s="630"/>
      <c r="F1450" s="630"/>
      <c r="G1450" s="630"/>
    </row>
    <row r="1451" spans="1:7" ht="18.75" x14ac:dyDescent="0.25">
      <c r="A1451" s="629" t="s">
        <v>3077</v>
      </c>
      <c r="B1451" s="630">
        <v>447</v>
      </c>
      <c r="C1451" s="631" t="str">
        <f t="shared" si="25"/>
        <v>Ô tô tự đổ 10 tấn447</v>
      </c>
      <c r="D1451" s="630"/>
      <c r="E1451" s="630"/>
      <c r="F1451" s="630"/>
      <c r="G1451" s="630"/>
    </row>
    <row r="1452" spans="1:7" ht="18.75" x14ac:dyDescent="0.25">
      <c r="A1452" s="629" t="s">
        <v>3077</v>
      </c>
      <c r="B1452" s="630">
        <v>448</v>
      </c>
      <c r="C1452" s="631" t="str">
        <f t="shared" si="25"/>
        <v>Ô tô tự đổ 10 tấn448</v>
      </c>
      <c r="D1452" s="630"/>
      <c r="E1452" s="630"/>
      <c r="F1452" s="630"/>
      <c r="G1452" s="630"/>
    </row>
    <row r="1453" spans="1:7" ht="18.75" x14ac:dyDescent="0.25">
      <c r="A1453" s="629" t="s">
        <v>3077</v>
      </c>
      <c r="B1453" s="630">
        <v>449</v>
      </c>
      <c r="C1453" s="631" t="str">
        <f t="shared" si="25"/>
        <v>Ô tô tự đổ 10 tấn449</v>
      </c>
      <c r="D1453" s="630"/>
      <c r="E1453" s="630"/>
      <c r="F1453" s="630"/>
      <c r="G1453" s="630"/>
    </row>
    <row r="1454" spans="1:7" ht="18.75" x14ac:dyDescent="0.25">
      <c r="A1454" s="629" t="s">
        <v>3077</v>
      </c>
      <c r="B1454" s="630">
        <v>450</v>
      </c>
      <c r="C1454" s="631" t="str">
        <f t="shared" ref="C1454:C1504" si="26">A1454&amp;B1454</f>
        <v>Ô tô tự đổ 10 tấn450</v>
      </c>
      <c r="D1454" s="630"/>
      <c r="E1454" s="630"/>
      <c r="F1454" s="630"/>
      <c r="G1454" s="630"/>
    </row>
    <row r="1455" spans="1:7" ht="18.75" x14ac:dyDescent="0.25">
      <c r="A1455" s="629" t="s">
        <v>3077</v>
      </c>
      <c r="B1455" s="630">
        <v>451</v>
      </c>
      <c r="C1455" s="631" t="str">
        <f t="shared" si="26"/>
        <v>Ô tô tự đổ 10 tấn451</v>
      </c>
      <c r="D1455" s="630"/>
      <c r="E1455" s="630"/>
      <c r="F1455" s="630"/>
      <c r="G1455" s="630"/>
    </row>
    <row r="1456" spans="1:7" ht="18.75" x14ac:dyDescent="0.25">
      <c r="A1456" s="629" t="s">
        <v>3077</v>
      </c>
      <c r="B1456" s="630">
        <v>452</v>
      </c>
      <c r="C1456" s="631" t="str">
        <f t="shared" si="26"/>
        <v>Ô tô tự đổ 10 tấn452</v>
      </c>
      <c r="D1456" s="630"/>
      <c r="E1456" s="630"/>
      <c r="F1456" s="630"/>
      <c r="G1456" s="630"/>
    </row>
    <row r="1457" spans="1:7" ht="18.75" x14ac:dyDescent="0.25">
      <c r="A1457" s="629" t="s">
        <v>3077</v>
      </c>
      <c r="B1457" s="630">
        <v>453</v>
      </c>
      <c r="C1457" s="631" t="str">
        <f t="shared" si="26"/>
        <v>Ô tô tự đổ 10 tấn453</v>
      </c>
      <c r="D1457" s="630"/>
      <c r="E1457" s="630"/>
      <c r="F1457" s="630"/>
      <c r="G1457" s="630"/>
    </row>
    <row r="1458" spans="1:7" ht="18.75" x14ac:dyDescent="0.25">
      <c r="A1458" s="629" t="s">
        <v>3077</v>
      </c>
      <c r="B1458" s="630">
        <v>454</v>
      </c>
      <c r="C1458" s="631" t="str">
        <f t="shared" si="26"/>
        <v>Ô tô tự đổ 10 tấn454</v>
      </c>
      <c r="D1458" s="630"/>
      <c r="E1458" s="630"/>
      <c r="F1458" s="630"/>
      <c r="G1458" s="630"/>
    </row>
    <row r="1459" spans="1:7" ht="18.75" x14ac:dyDescent="0.25">
      <c r="A1459" s="629" t="s">
        <v>3077</v>
      </c>
      <c r="B1459" s="630">
        <v>455</v>
      </c>
      <c r="C1459" s="631" t="str">
        <f t="shared" si="26"/>
        <v>Ô tô tự đổ 10 tấn455</v>
      </c>
      <c r="D1459" s="630"/>
      <c r="E1459" s="630"/>
      <c r="F1459" s="630"/>
      <c r="G1459" s="630"/>
    </row>
    <row r="1460" spans="1:7" ht="18.75" x14ac:dyDescent="0.25">
      <c r="A1460" s="629" t="s">
        <v>3077</v>
      </c>
      <c r="B1460" s="630">
        <v>456</v>
      </c>
      <c r="C1460" s="631" t="str">
        <f t="shared" si="26"/>
        <v>Ô tô tự đổ 10 tấn456</v>
      </c>
      <c r="D1460" s="630"/>
      <c r="E1460" s="630"/>
      <c r="F1460" s="630"/>
      <c r="G1460" s="630"/>
    </row>
    <row r="1461" spans="1:7" ht="18.75" x14ac:dyDescent="0.25">
      <c r="A1461" s="629" t="s">
        <v>3077</v>
      </c>
      <c r="B1461" s="630">
        <v>457</v>
      </c>
      <c r="C1461" s="631" t="str">
        <f t="shared" si="26"/>
        <v>Ô tô tự đổ 10 tấn457</v>
      </c>
      <c r="D1461" s="630"/>
      <c r="E1461" s="630"/>
      <c r="F1461" s="630"/>
      <c r="G1461" s="630"/>
    </row>
    <row r="1462" spans="1:7" ht="18.75" x14ac:dyDescent="0.25">
      <c r="A1462" s="629" t="s">
        <v>3077</v>
      </c>
      <c r="B1462" s="630">
        <v>458</v>
      </c>
      <c r="C1462" s="631" t="str">
        <f t="shared" si="26"/>
        <v>Ô tô tự đổ 10 tấn458</v>
      </c>
      <c r="D1462" s="630"/>
      <c r="E1462" s="630"/>
      <c r="F1462" s="630"/>
      <c r="G1462" s="630"/>
    </row>
    <row r="1463" spans="1:7" ht="18.75" x14ac:dyDescent="0.25">
      <c r="A1463" s="629" t="s">
        <v>3077</v>
      </c>
      <c r="B1463" s="630">
        <v>459</v>
      </c>
      <c r="C1463" s="631" t="str">
        <f t="shared" si="26"/>
        <v>Ô tô tự đổ 10 tấn459</v>
      </c>
      <c r="D1463" s="630"/>
      <c r="E1463" s="630"/>
      <c r="F1463" s="630"/>
      <c r="G1463" s="630"/>
    </row>
    <row r="1464" spans="1:7" ht="18.75" x14ac:dyDescent="0.25">
      <c r="A1464" s="629" t="s">
        <v>3077</v>
      </c>
      <c r="B1464" s="630">
        <v>460</v>
      </c>
      <c r="C1464" s="631" t="str">
        <f t="shared" si="26"/>
        <v>Ô tô tự đổ 10 tấn460</v>
      </c>
      <c r="D1464" s="630"/>
      <c r="E1464" s="630"/>
      <c r="F1464" s="630"/>
      <c r="G1464" s="630"/>
    </row>
    <row r="1465" spans="1:7" ht="18.75" x14ac:dyDescent="0.25">
      <c r="A1465" s="629" t="s">
        <v>3077</v>
      </c>
      <c r="B1465" s="630">
        <v>461</v>
      </c>
      <c r="C1465" s="631" t="str">
        <f t="shared" si="26"/>
        <v>Ô tô tự đổ 10 tấn461</v>
      </c>
      <c r="D1465" s="630"/>
      <c r="E1465" s="630"/>
      <c r="F1465" s="630"/>
      <c r="G1465" s="630"/>
    </row>
    <row r="1466" spans="1:7" ht="18.75" x14ac:dyDescent="0.25">
      <c r="A1466" s="629" t="s">
        <v>3077</v>
      </c>
      <c r="B1466" s="630">
        <v>462</v>
      </c>
      <c r="C1466" s="631" t="str">
        <f t="shared" si="26"/>
        <v>Ô tô tự đổ 10 tấn462</v>
      </c>
      <c r="D1466" s="630"/>
      <c r="E1466" s="630"/>
      <c r="F1466" s="630"/>
      <c r="G1466" s="630"/>
    </row>
    <row r="1467" spans="1:7" ht="18.75" x14ac:dyDescent="0.25">
      <c r="A1467" s="629" t="s">
        <v>3077</v>
      </c>
      <c r="B1467" s="630">
        <v>463</v>
      </c>
      <c r="C1467" s="631" t="str">
        <f t="shared" si="26"/>
        <v>Ô tô tự đổ 10 tấn463</v>
      </c>
      <c r="D1467" s="630"/>
      <c r="E1467" s="630"/>
      <c r="F1467" s="630"/>
      <c r="G1467" s="630"/>
    </row>
    <row r="1468" spans="1:7" ht="18.75" x14ac:dyDescent="0.25">
      <c r="A1468" s="629" t="s">
        <v>3077</v>
      </c>
      <c r="B1468" s="630">
        <v>464</v>
      </c>
      <c r="C1468" s="631" t="str">
        <f t="shared" si="26"/>
        <v>Ô tô tự đổ 10 tấn464</v>
      </c>
      <c r="D1468" s="630"/>
      <c r="E1468" s="630"/>
      <c r="F1468" s="630"/>
      <c r="G1468" s="630"/>
    </row>
    <row r="1469" spans="1:7" ht="18.75" x14ac:dyDescent="0.25">
      <c r="A1469" s="629" t="s">
        <v>3077</v>
      </c>
      <c r="B1469" s="630">
        <v>465</v>
      </c>
      <c r="C1469" s="631" t="str">
        <f t="shared" si="26"/>
        <v>Ô tô tự đổ 10 tấn465</v>
      </c>
      <c r="D1469" s="630"/>
      <c r="E1469" s="630"/>
      <c r="F1469" s="630"/>
      <c r="G1469" s="630"/>
    </row>
    <row r="1470" spans="1:7" ht="18.75" x14ac:dyDescent="0.25">
      <c r="A1470" s="629" t="s">
        <v>3077</v>
      </c>
      <c r="B1470" s="630">
        <v>466</v>
      </c>
      <c r="C1470" s="631" t="str">
        <f t="shared" si="26"/>
        <v>Ô tô tự đổ 10 tấn466</v>
      </c>
      <c r="D1470" s="630"/>
      <c r="E1470" s="630"/>
      <c r="F1470" s="630"/>
      <c r="G1470" s="630"/>
    </row>
    <row r="1471" spans="1:7" ht="18.75" x14ac:dyDescent="0.25">
      <c r="A1471" s="629" t="s">
        <v>3077</v>
      </c>
      <c r="B1471" s="630">
        <v>467</v>
      </c>
      <c r="C1471" s="631" t="str">
        <f t="shared" si="26"/>
        <v>Ô tô tự đổ 10 tấn467</v>
      </c>
      <c r="D1471" s="630"/>
      <c r="E1471" s="630"/>
      <c r="F1471" s="630"/>
      <c r="G1471" s="630"/>
    </row>
    <row r="1472" spans="1:7" ht="18.75" x14ac:dyDescent="0.25">
      <c r="A1472" s="629" t="s">
        <v>3077</v>
      </c>
      <c r="B1472" s="630">
        <v>468</v>
      </c>
      <c r="C1472" s="631" t="str">
        <f t="shared" si="26"/>
        <v>Ô tô tự đổ 10 tấn468</v>
      </c>
      <c r="D1472" s="630"/>
      <c r="E1472" s="630"/>
      <c r="F1472" s="630"/>
      <c r="G1472" s="630"/>
    </row>
    <row r="1473" spans="1:7" ht="18.75" x14ac:dyDescent="0.25">
      <c r="A1473" s="629" t="s">
        <v>3077</v>
      </c>
      <c r="B1473" s="630">
        <v>469</v>
      </c>
      <c r="C1473" s="631" t="str">
        <f t="shared" si="26"/>
        <v>Ô tô tự đổ 10 tấn469</v>
      </c>
      <c r="D1473" s="630"/>
      <c r="E1473" s="630"/>
      <c r="F1473" s="630"/>
      <c r="G1473" s="630"/>
    </row>
    <row r="1474" spans="1:7" ht="18.75" x14ac:dyDescent="0.25">
      <c r="A1474" s="629" t="s">
        <v>3077</v>
      </c>
      <c r="B1474" s="630">
        <v>470</v>
      </c>
      <c r="C1474" s="631" t="str">
        <f t="shared" si="26"/>
        <v>Ô tô tự đổ 10 tấn470</v>
      </c>
      <c r="D1474" s="630"/>
      <c r="E1474" s="630"/>
      <c r="F1474" s="630"/>
      <c r="G1474" s="630"/>
    </row>
    <row r="1475" spans="1:7" ht="18.75" x14ac:dyDescent="0.25">
      <c r="A1475" s="629" t="s">
        <v>3077</v>
      </c>
      <c r="B1475" s="630">
        <v>471</v>
      </c>
      <c r="C1475" s="631" t="str">
        <f t="shared" si="26"/>
        <v>Ô tô tự đổ 10 tấn471</v>
      </c>
      <c r="D1475" s="630"/>
      <c r="E1475" s="630"/>
      <c r="F1475" s="630"/>
      <c r="G1475" s="630"/>
    </row>
    <row r="1476" spans="1:7" ht="18.75" x14ac:dyDescent="0.25">
      <c r="A1476" s="629" t="s">
        <v>3077</v>
      </c>
      <c r="B1476" s="630">
        <v>472</v>
      </c>
      <c r="C1476" s="631" t="str">
        <f t="shared" si="26"/>
        <v>Ô tô tự đổ 10 tấn472</v>
      </c>
      <c r="D1476" s="630"/>
      <c r="E1476" s="630"/>
      <c r="F1476" s="630"/>
      <c r="G1476" s="630"/>
    </row>
    <row r="1477" spans="1:7" ht="18.75" x14ac:dyDescent="0.25">
      <c r="A1477" s="629" t="s">
        <v>3077</v>
      </c>
      <c r="B1477" s="630">
        <v>473</v>
      </c>
      <c r="C1477" s="631" t="str">
        <f t="shared" si="26"/>
        <v>Ô tô tự đổ 10 tấn473</v>
      </c>
      <c r="D1477" s="630"/>
      <c r="E1477" s="630"/>
      <c r="F1477" s="630"/>
      <c r="G1477" s="630"/>
    </row>
    <row r="1478" spans="1:7" ht="18.75" x14ac:dyDescent="0.25">
      <c r="A1478" s="629" t="s">
        <v>3077</v>
      </c>
      <c r="B1478" s="630">
        <v>474</v>
      </c>
      <c r="C1478" s="631" t="str">
        <f t="shared" si="26"/>
        <v>Ô tô tự đổ 10 tấn474</v>
      </c>
      <c r="D1478" s="630"/>
      <c r="E1478" s="630"/>
      <c r="F1478" s="630"/>
      <c r="G1478" s="630"/>
    </row>
    <row r="1479" spans="1:7" ht="18.75" x14ac:dyDescent="0.25">
      <c r="A1479" s="629" t="s">
        <v>3077</v>
      </c>
      <c r="B1479" s="630">
        <v>475</v>
      </c>
      <c r="C1479" s="631" t="str">
        <f t="shared" si="26"/>
        <v>Ô tô tự đổ 10 tấn475</v>
      </c>
      <c r="D1479" s="630"/>
      <c r="E1479" s="630"/>
      <c r="F1479" s="630"/>
      <c r="G1479" s="630"/>
    </row>
    <row r="1480" spans="1:7" ht="18.75" x14ac:dyDescent="0.25">
      <c r="A1480" s="629" t="s">
        <v>3077</v>
      </c>
      <c r="B1480" s="630">
        <v>476</v>
      </c>
      <c r="C1480" s="631" t="str">
        <f t="shared" si="26"/>
        <v>Ô tô tự đổ 10 tấn476</v>
      </c>
      <c r="D1480" s="630"/>
      <c r="E1480" s="630"/>
      <c r="F1480" s="630"/>
      <c r="G1480" s="630"/>
    </row>
    <row r="1481" spans="1:7" ht="18.75" x14ac:dyDescent="0.25">
      <c r="A1481" s="629" t="s">
        <v>3077</v>
      </c>
      <c r="B1481" s="630">
        <v>477</v>
      </c>
      <c r="C1481" s="631" t="str">
        <f t="shared" si="26"/>
        <v>Ô tô tự đổ 10 tấn477</v>
      </c>
      <c r="D1481" s="630"/>
      <c r="E1481" s="630"/>
      <c r="F1481" s="630"/>
      <c r="G1481" s="630"/>
    </row>
    <row r="1482" spans="1:7" ht="18.75" x14ac:dyDescent="0.25">
      <c r="A1482" s="629" t="s">
        <v>3077</v>
      </c>
      <c r="B1482" s="630">
        <v>478</v>
      </c>
      <c r="C1482" s="631" t="str">
        <f t="shared" si="26"/>
        <v>Ô tô tự đổ 10 tấn478</v>
      </c>
      <c r="D1482" s="630"/>
      <c r="E1482" s="630"/>
      <c r="F1482" s="630"/>
      <c r="G1482" s="630"/>
    </row>
    <row r="1483" spans="1:7" ht="18.75" x14ac:dyDescent="0.25">
      <c r="A1483" s="629" t="s">
        <v>3077</v>
      </c>
      <c r="B1483" s="630">
        <v>479</v>
      </c>
      <c r="C1483" s="631" t="str">
        <f t="shared" si="26"/>
        <v>Ô tô tự đổ 10 tấn479</v>
      </c>
      <c r="D1483" s="630"/>
      <c r="E1483" s="630"/>
      <c r="F1483" s="630"/>
      <c r="G1483" s="630"/>
    </row>
    <row r="1484" spans="1:7" ht="18.75" x14ac:dyDescent="0.25">
      <c r="A1484" s="629" t="s">
        <v>3077</v>
      </c>
      <c r="B1484" s="630">
        <v>480</v>
      </c>
      <c r="C1484" s="631" t="str">
        <f t="shared" si="26"/>
        <v>Ô tô tự đổ 10 tấn480</v>
      </c>
      <c r="D1484" s="630"/>
      <c r="E1484" s="630"/>
      <c r="F1484" s="630"/>
      <c r="G1484" s="630"/>
    </row>
    <row r="1485" spans="1:7" ht="18.75" x14ac:dyDescent="0.25">
      <c r="A1485" s="629" t="s">
        <v>3077</v>
      </c>
      <c r="B1485" s="630">
        <v>481</v>
      </c>
      <c r="C1485" s="631" t="str">
        <f t="shared" si="26"/>
        <v>Ô tô tự đổ 10 tấn481</v>
      </c>
      <c r="D1485" s="630"/>
      <c r="E1485" s="630"/>
      <c r="F1485" s="630"/>
      <c r="G1485" s="630"/>
    </row>
    <row r="1486" spans="1:7" ht="18.75" x14ac:dyDescent="0.25">
      <c r="A1486" s="629" t="s">
        <v>3077</v>
      </c>
      <c r="B1486" s="630">
        <v>482</v>
      </c>
      <c r="C1486" s="631" t="str">
        <f t="shared" si="26"/>
        <v>Ô tô tự đổ 10 tấn482</v>
      </c>
      <c r="D1486" s="630"/>
      <c r="E1486" s="630"/>
      <c r="F1486" s="630"/>
      <c r="G1486" s="630"/>
    </row>
    <row r="1487" spans="1:7" ht="18.75" x14ac:dyDescent="0.25">
      <c r="A1487" s="629" t="s">
        <v>3077</v>
      </c>
      <c r="B1487" s="630">
        <v>483</v>
      </c>
      <c r="C1487" s="631" t="str">
        <f t="shared" si="26"/>
        <v>Ô tô tự đổ 10 tấn483</v>
      </c>
      <c r="D1487" s="630"/>
      <c r="E1487" s="630"/>
      <c r="F1487" s="630"/>
      <c r="G1487" s="630"/>
    </row>
    <row r="1488" spans="1:7" ht="18.75" x14ac:dyDescent="0.25">
      <c r="A1488" s="629" t="s">
        <v>3077</v>
      </c>
      <c r="B1488" s="630">
        <v>484</v>
      </c>
      <c r="C1488" s="631" t="str">
        <f t="shared" si="26"/>
        <v>Ô tô tự đổ 10 tấn484</v>
      </c>
      <c r="D1488" s="630"/>
      <c r="E1488" s="630"/>
      <c r="F1488" s="630"/>
      <c r="G1488" s="630"/>
    </row>
    <row r="1489" spans="1:7" ht="18.75" x14ac:dyDescent="0.25">
      <c r="A1489" s="629" t="s">
        <v>3077</v>
      </c>
      <c r="B1489" s="630">
        <v>485</v>
      </c>
      <c r="C1489" s="631" t="str">
        <f t="shared" si="26"/>
        <v>Ô tô tự đổ 10 tấn485</v>
      </c>
      <c r="D1489" s="630"/>
      <c r="E1489" s="630"/>
      <c r="F1489" s="630"/>
      <c r="G1489" s="630"/>
    </row>
    <row r="1490" spans="1:7" ht="18.75" x14ac:dyDescent="0.25">
      <c r="A1490" s="629" t="s">
        <v>3077</v>
      </c>
      <c r="B1490" s="630">
        <v>486</v>
      </c>
      <c r="C1490" s="631" t="str">
        <f t="shared" si="26"/>
        <v>Ô tô tự đổ 10 tấn486</v>
      </c>
      <c r="D1490" s="630"/>
      <c r="E1490" s="630"/>
      <c r="F1490" s="630"/>
      <c r="G1490" s="630"/>
    </row>
    <row r="1491" spans="1:7" ht="18.75" x14ac:dyDescent="0.25">
      <c r="A1491" s="629" t="s">
        <v>3077</v>
      </c>
      <c r="B1491" s="630">
        <v>487</v>
      </c>
      <c r="C1491" s="631" t="str">
        <f t="shared" si="26"/>
        <v>Ô tô tự đổ 10 tấn487</v>
      </c>
      <c r="D1491" s="630"/>
      <c r="E1491" s="630"/>
      <c r="F1491" s="630"/>
      <c r="G1491" s="630"/>
    </row>
    <row r="1492" spans="1:7" ht="18.75" x14ac:dyDescent="0.25">
      <c r="A1492" s="629" t="s">
        <v>3077</v>
      </c>
      <c r="B1492" s="630">
        <v>488</v>
      </c>
      <c r="C1492" s="631" t="str">
        <f t="shared" si="26"/>
        <v>Ô tô tự đổ 10 tấn488</v>
      </c>
      <c r="D1492" s="630"/>
      <c r="E1492" s="630"/>
      <c r="F1492" s="630"/>
      <c r="G1492" s="630"/>
    </row>
    <row r="1493" spans="1:7" ht="18.75" x14ac:dyDescent="0.25">
      <c r="A1493" s="629" t="s">
        <v>3077</v>
      </c>
      <c r="B1493" s="630">
        <v>489</v>
      </c>
      <c r="C1493" s="631" t="str">
        <f t="shared" si="26"/>
        <v>Ô tô tự đổ 10 tấn489</v>
      </c>
      <c r="D1493" s="630"/>
      <c r="E1493" s="630"/>
      <c r="F1493" s="630"/>
      <c r="G1493" s="630"/>
    </row>
    <row r="1494" spans="1:7" ht="18.75" x14ac:dyDescent="0.25">
      <c r="A1494" s="629" t="s">
        <v>3077</v>
      </c>
      <c r="B1494" s="630">
        <v>490</v>
      </c>
      <c r="C1494" s="631" t="str">
        <f t="shared" si="26"/>
        <v>Ô tô tự đổ 10 tấn490</v>
      </c>
      <c r="D1494" s="630"/>
      <c r="E1494" s="630"/>
      <c r="F1494" s="630"/>
      <c r="G1494" s="630"/>
    </row>
    <row r="1495" spans="1:7" ht="18.75" x14ac:dyDescent="0.25">
      <c r="A1495" s="629" t="s">
        <v>3077</v>
      </c>
      <c r="B1495" s="630">
        <v>491</v>
      </c>
      <c r="C1495" s="631" t="str">
        <f t="shared" si="26"/>
        <v>Ô tô tự đổ 10 tấn491</v>
      </c>
      <c r="D1495" s="630"/>
      <c r="E1495" s="630"/>
      <c r="F1495" s="630"/>
      <c r="G1495" s="630"/>
    </row>
    <row r="1496" spans="1:7" ht="18.75" x14ac:dyDescent="0.25">
      <c r="A1496" s="629" t="s">
        <v>3077</v>
      </c>
      <c r="B1496" s="630">
        <v>492</v>
      </c>
      <c r="C1496" s="631" t="str">
        <f t="shared" si="26"/>
        <v>Ô tô tự đổ 10 tấn492</v>
      </c>
      <c r="D1496" s="630"/>
      <c r="E1496" s="630"/>
      <c r="F1496" s="630"/>
      <c r="G1496" s="630"/>
    </row>
    <row r="1497" spans="1:7" ht="18.75" x14ac:dyDescent="0.25">
      <c r="A1497" s="629" t="s">
        <v>3077</v>
      </c>
      <c r="B1497" s="630">
        <v>493</v>
      </c>
      <c r="C1497" s="631" t="str">
        <f t="shared" si="26"/>
        <v>Ô tô tự đổ 10 tấn493</v>
      </c>
      <c r="D1497" s="630"/>
      <c r="E1497" s="630"/>
      <c r="F1497" s="630"/>
      <c r="G1497" s="630"/>
    </row>
    <row r="1498" spans="1:7" ht="18.75" x14ac:dyDescent="0.25">
      <c r="A1498" s="629" t="s">
        <v>3077</v>
      </c>
      <c r="B1498" s="630">
        <v>494</v>
      </c>
      <c r="C1498" s="631" t="str">
        <f t="shared" si="26"/>
        <v>Ô tô tự đổ 10 tấn494</v>
      </c>
      <c r="D1498" s="630"/>
      <c r="E1498" s="630"/>
      <c r="F1498" s="630"/>
      <c r="G1498" s="630"/>
    </row>
    <row r="1499" spans="1:7" ht="18.75" x14ac:dyDescent="0.25">
      <c r="A1499" s="629" t="s">
        <v>3077</v>
      </c>
      <c r="B1499" s="630">
        <v>495</v>
      </c>
      <c r="C1499" s="631" t="str">
        <f t="shared" si="26"/>
        <v>Ô tô tự đổ 10 tấn495</v>
      </c>
      <c r="D1499" s="630"/>
      <c r="E1499" s="630"/>
      <c r="F1499" s="630"/>
      <c r="G1499" s="630"/>
    </row>
    <row r="1500" spans="1:7" ht="18.75" x14ac:dyDescent="0.25">
      <c r="A1500" s="629" t="s">
        <v>3077</v>
      </c>
      <c r="B1500" s="630">
        <v>496</v>
      </c>
      <c r="C1500" s="631" t="str">
        <f t="shared" si="26"/>
        <v>Ô tô tự đổ 10 tấn496</v>
      </c>
      <c r="D1500" s="630"/>
      <c r="E1500" s="630"/>
      <c r="F1500" s="630"/>
      <c r="G1500" s="630"/>
    </row>
    <row r="1501" spans="1:7" ht="18.75" x14ac:dyDescent="0.25">
      <c r="A1501" s="629" t="s">
        <v>3077</v>
      </c>
      <c r="B1501" s="630">
        <v>497</v>
      </c>
      <c r="C1501" s="631" t="str">
        <f t="shared" si="26"/>
        <v>Ô tô tự đổ 10 tấn497</v>
      </c>
      <c r="D1501" s="630"/>
      <c r="E1501" s="630"/>
      <c r="F1501" s="630"/>
      <c r="G1501" s="630"/>
    </row>
    <row r="1502" spans="1:7" ht="18.75" x14ac:dyDescent="0.25">
      <c r="A1502" s="629" t="s">
        <v>3077</v>
      </c>
      <c r="B1502" s="630">
        <v>498</v>
      </c>
      <c r="C1502" s="631" t="str">
        <f t="shared" si="26"/>
        <v>Ô tô tự đổ 10 tấn498</v>
      </c>
      <c r="D1502" s="630"/>
      <c r="E1502" s="630"/>
      <c r="F1502" s="630"/>
      <c r="G1502" s="630"/>
    </row>
    <row r="1503" spans="1:7" ht="18.75" x14ac:dyDescent="0.25">
      <c r="A1503" s="629" t="s">
        <v>3077</v>
      </c>
      <c r="B1503" s="630">
        <v>499</v>
      </c>
      <c r="C1503" s="631" t="str">
        <f t="shared" si="26"/>
        <v>Ô tô tự đổ 10 tấn499</v>
      </c>
      <c r="D1503" s="630"/>
      <c r="E1503" s="630"/>
      <c r="F1503" s="630"/>
      <c r="G1503" s="630"/>
    </row>
    <row r="1504" spans="1:7" ht="18.75" x14ac:dyDescent="0.25">
      <c r="A1504" s="629" t="s">
        <v>3077</v>
      </c>
      <c r="B1504" s="630">
        <v>500</v>
      </c>
      <c r="C1504" s="631" t="str">
        <f t="shared" si="26"/>
        <v>Ô tô tự đổ 10 tấn500</v>
      </c>
      <c r="D1504" s="630"/>
      <c r="E1504" s="630"/>
      <c r="F1504" s="630"/>
      <c r="G1504" s="630"/>
    </row>
    <row r="1505" spans="1:7" ht="18.75" x14ac:dyDescent="0.25">
      <c r="A1505" s="629" t="s">
        <v>3075</v>
      </c>
      <c r="B1505" s="630">
        <v>1</v>
      </c>
      <c r="C1505" s="631" t="str">
        <f>A1505&amp;B1505</f>
        <v>Ô tô tự đổ 12 tấn1</v>
      </c>
      <c r="D1505" s="633">
        <v>0.56999999999999995</v>
      </c>
      <c r="E1505" s="633">
        <v>0.59</v>
      </c>
      <c r="F1505" s="633"/>
      <c r="G1505" s="633"/>
    </row>
    <row r="1506" spans="1:7" ht="18.75" x14ac:dyDescent="0.25">
      <c r="A1506" s="629" t="s">
        <v>3075</v>
      </c>
      <c r="B1506" s="630">
        <v>2</v>
      </c>
      <c r="C1506" s="631" t="str">
        <f t="shared" ref="C1506:C1569" si="27">A1506&amp;B1506</f>
        <v>Ô tô tự đổ 12 tấn2</v>
      </c>
      <c r="D1506" s="633">
        <v>0.27</v>
      </c>
      <c r="E1506" s="633">
        <v>0.28000000000000003</v>
      </c>
      <c r="F1506" s="633"/>
      <c r="G1506" s="633"/>
    </row>
    <row r="1507" spans="1:7" ht="18.75" x14ac:dyDescent="0.25">
      <c r="A1507" s="629" t="s">
        <v>3075</v>
      </c>
      <c r="B1507" s="630">
        <v>3</v>
      </c>
      <c r="C1507" s="631" t="str">
        <f t="shared" si="27"/>
        <v>Ô tô tự đổ 12 tấn3</v>
      </c>
      <c r="D1507" s="633">
        <v>0.27</v>
      </c>
      <c r="E1507" s="633">
        <v>0.28000000000000003</v>
      </c>
      <c r="F1507" s="633"/>
      <c r="G1507" s="633"/>
    </row>
    <row r="1508" spans="1:7" ht="18.75" x14ac:dyDescent="0.25">
      <c r="A1508" s="629" t="s">
        <v>3075</v>
      </c>
      <c r="B1508" s="630">
        <v>4</v>
      </c>
      <c r="C1508" s="631" t="str">
        <f t="shared" si="27"/>
        <v>Ô tô tự đổ 12 tấn4</v>
      </c>
      <c r="D1508" s="633">
        <v>0.27</v>
      </c>
      <c r="E1508" s="633">
        <v>0.28000000000000003</v>
      </c>
      <c r="F1508" s="633"/>
      <c r="G1508" s="633"/>
    </row>
    <row r="1509" spans="1:7" ht="18.75" x14ac:dyDescent="0.25">
      <c r="A1509" s="629" t="s">
        <v>3075</v>
      </c>
      <c r="B1509" s="630">
        <v>5</v>
      </c>
      <c r="C1509" s="631" t="str">
        <f t="shared" si="27"/>
        <v>Ô tô tự đổ 12 tấn5</v>
      </c>
      <c r="D1509" s="633">
        <v>0.27</v>
      </c>
      <c r="E1509" s="633">
        <v>0.28000000000000003</v>
      </c>
      <c r="F1509" s="633"/>
      <c r="G1509" s="633"/>
    </row>
    <row r="1510" spans="1:7" ht="18.75" x14ac:dyDescent="0.25">
      <c r="A1510" s="629" t="s">
        <v>3075</v>
      </c>
      <c r="B1510" s="630">
        <v>6</v>
      </c>
      <c r="C1510" s="631" t="str">
        <f t="shared" si="27"/>
        <v>Ô tô tự đổ 12 tấn6</v>
      </c>
      <c r="D1510" s="633">
        <v>0.21</v>
      </c>
      <c r="E1510" s="633">
        <v>0.22</v>
      </c>
      <c r="F1510" s="633"/>
      <c r="G1510" s="633"/>
    </row>
    <row r="1511" spans="1:7" ht="18.75" x14ac:dyDescent="0.25">
      <c r="A1511" s="629" t="s">
        <v>3075</v>
      </c>
      <c r="B1511" s="630">
        <v>7</v>
      </c>
      <c r="C1511" s="631" t="str">
        <f t="shared" si="27"/>
        <v>Ô tô tự đổ 12 tấn7</v>
      </c>
      <c r="D1511" s="633">
        <v>0.21</v>
      </c>
      <c r="E1511" s="633">
        <v>0.22</v>
      </c>
      <c r="F1511" s="633"/>
      <c r="G1511" s="633"/>
    </row>
    <row r="1512" spans="1:7" ht="18.75" x14ac:dyDescent="0.25">
      <c r="A1512" s="629" t="s">
        <v>3075</v>
      </c>
      <c r="B1512" s="630">
        <v>8</v>
      </c>
      <c r="C1512" s="631" t="str">
        <f t="shared" si="27"/>
        <v>Ô tô tự đổ 12 tấn8</v>
      </c>
      <c r="D1512" s="633">
        <v>0.21</v>
      </c>
      <c r="E1512" s="633">
        <v>0.22</v>
      </c>
      <c r="F1512" s="633"/>
      <c r="G1512" s="633"/>
    </row>
    <row r="1513" spans="1:7" ht="18.75" x14ac:dyDescent="0.25">
      <c r="A1513" s="629" t="s">
        <v>3075</v>
      </c>
      <c r="B1513" s="630">
        <v>9</v>
      </c>
      <c r="C1513" s="631" t="str">
        <f t="shared" si="27"/>
        <v>Ô tô tự đổ 12 tấn9</v>
      </c>
      <c r="D1513" s="633">
        <v>0.21</v>
      </c>
      <c r="E1513" s="633">
        <v>0.22</v>
      </c>
      <c r="F1513" s="633"/>
      <c r="G1513" s="633"/>
    </row>
    <row r="1514" spans="1:7" ht="18.75" x14ac:dyDescent="0.25">
      <c r="A1514" s="629" t="s">
        <v>3075</v>
      </c>
      <c r="B1514" s="630">
        <v>10</v>
      </c>
      <c r="C1514" s="631" t="str">
        <f t="shared" si="27"/>
        <v>Ô tô tự đổ 12 tấn10</v>
      </c>
      <c r="D1514" s="633">
        <v>0.21</v>
      </c>
      <c r="E1514" s="633">
        <v>0.22</v>
      </c>
      <c r="F1514" s="633"/>
      <c r="G1514" s="633"/>
    </row>
    <row r="1515" spans="1:7" ht="18.75" x14ac:dyDescent="0.25">
      <c r="A1515" s="629" t="s">
        <v>3075</v>
      </c>
      <c r="B1515" s="630">
        <v>11</v>
      </c>
      <c r="C1515" s="631" t="str">
        <f t="shared" si="27"/>
        <v>Ô tô tự đổ 12 tấn11</v>
      </c>
      <c r="D1515" s="633">
        <v>0.18</v>
      </c>
      <c r="E1515" s="633">
        <v>0.19</v>
      </c>
      <c r="F1515" s="633"/>
      <c r="G1515" s="633"/>
    </row>
    <row r="1516" spans="1:7" ht="18.75" x14ac:dyDescent="0.25">
      <c r="A1516" s="629" t="s">
        <v>3075</v>
      </c>
      <c r="B1516" s="630">
        <v>12</v>
      </c>
      <c r="C1516" s="631" t="str">
        <f t="shared" si="27"/>
        <v>Ô tô tự đổ 12 tấn12</v>
      </c>
      <c r="D1516" s="633">
        <v>0.18</v>
      </c>
      <c r="E1516" s="633">
        <v>0.19</v>
      </c>
      <c r="F1516" s="633"/>
      <c r="G1516" s="633"/>
    </row>
    <row r="1517" spans="1:7" ht="18.75" x14ac:dyDescent="0.25">
      <c r="A1517" s="629" t="s">
        <v>3075</v>
      </c>
      <c r="B1517" s="630">
        <v>13</v>
      </c>
      <c r="C1517" s="631" t="str">
        <f t="shared" si="27"/>
        <v>Ô tô tự đổ 12 tấn13</v>
      </c>
      <c r="D1517" s="633">
        <v>0.18</v>
      </c>
      <c r="E1517" s="633">
        <v>0.19</v>
      </c>
      <c r="F1517" s="633"/>
      <c r="G1517" s="633"/>
    </row>
    <row r="1518" spans="1:7" ht="18.75" x14ac:dyDescent="0.25">
      <c r="A1518" s="629" t="s">
        <v>3075</v>
      </c>
      <c r="B1518" s="630">
        <v>14</v>
      </c>
      <c r="C1518" s="631" t="str">
        <f t="shared" si="27"/>
        <v>Ô tô tự đổ 12 tấn14</v>
      </c>
      <c r="D1518" s="633">
        <v>0.18</v>
      </c>
      <c r="E1518" s="633">
        <v>0.19</v>
      </c>
      <c r="F1518" s="633"/>
      <c r="G1518" s="633"/>
    </row>
    <row r="1519" spans="1:7" ht="18.75" x14ac:dyDescent="0.25">
      <c r="A1519" s="629" t="s">
        <v>3075</v>
      </c>
      <c r="B1519" s="630">
        <v>15</v>
      </c>
      <c r="C1519" s="631" t="str">
        <f t="shared" si="27"/>
        <v>Ô tô tự đổ 12 tấn15</v>
      </c>
      <c r="D1519" s="633">
        <v>0.18</v>
      </c>
      <c r="E1519" s="633">
        <v>0.19</v>
      </c>
      <c r="F1519" s="633"/>
      <c r="G1519" s="633"/>
    </row>
    <row r="1520" spans="1:7" ht="18.75" x14ac:dyDescent="0.25">
      <c r="A1520" s="629" t="s">
        <v>3075</v>
      </c>
      <c r="B1520" s="630">
        <v>16</v>
      </c>
      <c r="C1520" s="631" t="str">
        <f t="shared" si="27"/>
        <v>Ô tô tự đổ 12 tấn16</v>
      </c>
      <c r="D1520" s="633">
        <v>0.16</v>
      </c>
      <c r="E1520" s="633">
        <v>0.17</v>
      </c>
      <c r="F1520" s="633"/>
      <c r="G1520" s="633"/>
    </row>
    <row r="1521" spans="1:7" ht="18.75" x14ac:dyDescent="0.25">
      <c r="A1521" s="629" t="s">
        <v>3075</v>
      </c>
      <c r="B1521" s="630">
        <v>17</v>
      </c>
      <c r="C1521" s="631" t="str">
        <f t="shared" si="27"/>
        <v>Ô tô tự đổ 12 tấn17</v>
      </c>
      <c r="D1521" s="633">
        <v>0.16</v>
      </c>
      <c r="E1521" s="633">
        <v>0.17</v>
      </c>
      <c r="F1521" s="633"/>
      <c r="G1521" s="633"/>
    </row>
    <row r="1522" spans="1:7" ht="18.75" x14ac:dyDescent="0.25">
      <c r="A1522" s="629" t="s">
        <v>3075</v>
      </c>
      <c r="B1522" s="630">
        <v>18</v>
      </c>
      <c r="C1522" s="631" t="str">
        <f t="shared" si="27"/>
        <v>Ô tô tự đổ 12 tấn18</v>
      </c>
      <c r="D1522" s="633">
        <v>0.16</v>
      </c>
      <c r="E1522" s="633">
        <v>0.17</v>
      </c>
      <c r="F1522" s="633"/>
      <c r="G1522" s="633"/>
    </row>
    <row r="1523" spans="1:7" ht="18.75" x14ac:dyDescent="0.25">
      <c r="A1523" s="629" t="s">
        <v>3075</v>
      </c>
      <c r="B1523" s="630">
        <v>19</v>
      </c>
      <c r="C1523" s="631" t="str">
        <f t="shared" si="27"/>
        <v>Ô tô tự đổ 12 tấn19</v>
      </c>
      <c r="D1523" s="633">
        <v>0.16</v>
      </c>
      <c r="E1523" s="633">
        <v>0.17</v>
      </c>
      <c r="F1523" s="633"/>
      <c r="G1523" s="633"/>
    </row>
    <row r="1524" spans="1:7" ht="18.75" x14ac:dyDescent="0.25">
      <c r="A1524" s="629" t="s">
        <v>3075</v>
      </c>
      <c r="B1524" s="630">
        <v>20</v>
      </c>
      <c r="C1524" s="631" t="str">
        <f t="shared" si="27"/>
        <v>Ô tô tự đổ 12 tấn20</v>
      </c>
      <c r="D1524" s="633">
        <v>0.16</v>
      </c>
      <c r="E1524" s="633">
        <v>0.17</v>
      </c>
      <c r="F1524" s="633"/>
      <c r="G1524" s="633"/>
    </row>
    <row r="1525" spans="1:7" ht="18.75" x14ac:dyDescent="0.25">
      <c r="A1525" s="629" t="s">
        <v>3075</v>
      </c>
      <c r="B1525" s="630">
        <v>21</v>
      </c>
      <c r="C1525" s="631" t="str">
        <f t="shared" si="27"/>
        <v>Ô tô tự đổ 12 tấn21</v>
      </c>
      <c r="D1525" s="630"/>
      <c r="E1525" s="630"/>
      <c r="F1525" s="630"/>
      <c r="G1525" s="630"/>
    </row>
    <row r="1526" spans="1:7" ht="18.75" x14ac:dyDescent="0.25">
      <c r="A1526" s="629" t="s">
        <v>3075</v>
      </c>
      <c r="B1526" s="630">
        <v>22</v>
      </c>
      <c r="C1526" s="631" t="str">
        <f t="shared" si="27"/>
        <v>Ô tô tự đổ 12 tấn22</v>
      </c>
      <c r="D1526" s="630"/>
      <c r="E1526" s="630"/>
      <c r="F1526" s="630"/>
      <c r="G1526" s="630"/>
    </row>
    <row r="1527" spans="1:7" ht="18.75" x14ac:dyDescent="0.25">
      <c r="A1527" s="629" t="s">
        <v>3075</v>
      </c>
      <c r="B1527" s="630">
        <v>23</v>
      </c>
      <c r="C1527" s="631" t="str">
        <f t="shared" si="27"/>
        <v>Ô tô tự đổ 12 tấn23</v>
      </c>
      <c r="D1527" s="630"/>
      <c r="E1527" s="630"/>
      <c r="F1527" s="630"/>
      <c r="G1527" s="630"/>
    </row>
    <row r="1528" spans="1:7" ht="18.75" x14ac:dyDescent="0.25">
      <c r="A1528" s="629" t="s">
        <v>3075</v>
      </c>
      <c r="B1528" s="630">
        <v>24</v>
      </c>
      <c r="C1528" s="631" t="str">
        <f t="shared" si="27"/>
        <v>Ô tô tự đổ 12 tấn24</v>
      </c>
      <c r="D1528" s="630"/>
      <c r="E1528" s="630"/>
      <c r="F1528" s="630"/>
      <c r="G1528" s="630"/>
    </row>
    <row r="1529" spans="1:7" ht="18.75" x14ac:dyDescent="0.25">
      <c r="A1529" s="629" t="s">
        <v>3075</v>
      </c>
      <c r="B1529" s="630">
        <v>25</v>
      </c>
      <c r="C1529" s="631" t="str">
        <f t="shared" si="27"/>
        <v>Ô tô tự đổ 12 tấn25</v>
      </c>
      <c r="D1529" s="630"/>
      <c r="E1529" s="630"/>
      <c r="F1529" s="630"/>
      <c r="G1529" s="630"/>
    </row>
    <row r="1530" spans="1:7" ht="18.75" x14ac:dyDescent="0.25">
      <c r="A1530" s="629" t="s">
        <v>3075</v>
      </c>
      <c r="B1530" s="630">
        <v>26</v>
      </c>
      <c r="C1530" s="631" t="str">
        <f t="shared" si="27"/>
        <v>Ô tô tự đổ 12 tấn26</v>
      </c>
      <c r="D1530" s="630"/>
      <c r="E1530" s="630"/>
      <c r="F1530" s="630"/>
      <c r="G1530" s="630"/>
    </row>
    <row r="1531" spans="1:7" ht="18.75" x14ac:dyDescent="0.25">
      <c r="A1531" s="629" t="s">
        <v>3075</v>
      </c>
      <c r="B1531" s="630">
        <v>27</v>
      </c>
      <c r="C1531" s="631" t="str">
        <f t="shared" si="27"/>
        <v>Ô tô tự đổ 12 tấn27</v>
      </c>
      <c r="D1531" s="630"/>
      <c r="E1531" s="630"/>
      <c r="F1531" s="630"/>
      <c r="G1531" s="630"/>
    </row>
    <row r="1532" spans="1:7" ht="18.75" x14ac:dyDescent="0.25">
      <c r="A1532" s="629" t="s">
        <v>3075</v>
      </c>
      <c r="B1532" s="630">
        <v>28</v>
      </c>
      <c r="C1532" s="631" t="str">
        <f t="shared" si="27"/>
        <v>Ô tô tự đổ 12 tấn28</v>
      </c>
      <c r="D1532" s="630"/>
      <c r="E1532" s="630"/>
      <c r="F1532" s="630"/>
      <c r="G1532" s="630"/>
    </row>
    <row r="1533" spans="1:7" ht="18.75" x14ac:dyDescent="0.25">
      <c r="A1533" s="629" t="s">
        <v>3075</v>
      </c>
      <c r="B1533" s="630">
        <v>29</v>
      </c>
      <c r="C1533" s="631" t="str">
        <f t="shared" si="27"/>
        <v>Ô tô tự đổ 12 tấn29</v>
      </c>
      <c r="D1533" s="630"/>
      <c r="E1533" s="630"/>
      <c r="F1533" s="630"/>
      <c r="G1533" s="630"/>
    </row>
    <row r="1534" spans="1:7" ht="18.75" x14ac:dyDescent="0.25">
      <c r="A1534" s="629" t="s">
        <v>3075</v>
      </c>
      <c r="B1534" s="630">
        <v>30</v>
      </c>
      <c r="C1534" s="631" t="str">
        <f t="shared" si="27"/>
        <v>Ô tô tự đổ 12 tấn30</v>
      </c>
      <c r="D1534" s="630"/>
      <c r="E1534" s="630"/>
      <c r="F1534" s="630"/>
      <c r="G1534" s="630"/>
    </row>
    <row r="1535" spans="1:7" ht="18.75" x14ac:dyDescent="0.25">
      <c r="A1535" s="629" t="s">
        <v>3075</v>
      </c>
      <c r="B1535" s="630">
        <v>31</v>
      </c>
      <c r="C1535" s="631" t="str">
        <f t="shared" si="27"/>
        <v>Ô tô tự đổ 12 tấn31</v>
      </c>
      <c r="D1535" s="630"/>
      <c r="E1535" s="630"/>
      <c r="F1535" s="630"/>
      <c r="G1535" s="630"/>
    </row>
    <row r="1536" spans="1:7" ht="18.75" x14ac:dyDescent="0.25">
      <c r="A1536" s="629" t="s">
        <v>3075</v>
      </c>
      <c r="B1536" s="630">
        <v>32</v>
      </c>
      <c r="C1536" s="631" t="str">
        <f t="shared" si="27"/>
        <v>Ô tô tự đổ 12 tấn32</v>
      </c>
      <c r="D1536" s="630"/>
      <c r="E1536" s="630"/>
      <c r="F1536" s="630"/>
      <c r="G1536" s="630"/>
    </row>
    <row r="1537" spans="1:7" ht="18.75" x14ac:dyDescent="0.25">
      <c r="A1537" s="629" t="s">
        <v>3075</v>
      </c>
      <c r="B1537" s="630">
        <v>33</v>
      </c>
      <c r="C1537" s="631" t="str">
        <f t="shared" si="27"/>
        <v>Ô tô tự đổ 12 tấn33</v>
      </c>
      <c r="D1537" s="630"/>
      <c r="E1537" s="630"/>
      <c r="F1537" s="630"/>
      <c r="G1537" s="630"/>
    </row>
    <row r="1538" spans="1:7" ht="18.75" x14ac:dyDescent="0.25">
      <c r="A1538" s="629" t="s">
        <v>3075</v>
      </c>
      <c r="B1538" s="630">
        <v>34</v>
      </c>
      <c r="C1538" s="631" t="str">
        <f t="shared" si="27"/>
        <v>Ô tô tự đổ 12 tấn34</v>
      </c>
      <c r="D1538" s="630"/>
      <c r="E1538" s="630"/>
      <c r="F1538" s="630"/>
      <c r="G1538" s="630"/>
    </row>
    <row r="1539" spans="1:7" ht="18.75" x14ac:dyDescent="0.25">
      <c r="A1539" s="629" t="s">
        <v>3075</v>
      </c>
      <c r="B1539" s="630">
        <v>35</v>
      </c>
      <c r="C1539" s="631" t="str">
        <f t="shared" si="27"/>
        <v>Ô tô tự đổ 12 tấn35</v>
      </c>
      <c r="D1539" s="630"/>
      <c r="E1539" s="630"/>
      <c r="F1539" s="630"/>
      <c r="G1539" s="630"/>
    </row>
    <row r="1540" spans="1:7" ht="18.75" x14ac:dyDescent="0.25">
      <c r="A1540" s="629" t="s">
        <v>3075</v>
      </c>
      <c r="B1540" s="630">
        <v>36</v>
      </c>
      <c r="C1540" s="631" t="str">
        <f t="shared" si="27"/>
        <v>Ô tô tự đổ 12 tấn36</v>
      </c>
      <c r="D1540" s="630"/>
      <c r="E1540" s="630"/>
      <c r="F1540" s="630"/>
      <c r="G1540" s="630"/>
    </row>
    <row r="1541" spans="1:7" ht="18.75" x14ac:dyDescent="0.25">
      <c r="A1541" s="629" t="s">
        <v>3075</v>
      </c>
      <c r="B1541" s="630">
        <v>37</v>
      </c>
      <c r="C1541" s="631" t="str">
        <f t="shared" si="27"/>
        <v>Ô tô tự đổ 12 tấn37</v>
      </c>
      <c r="D1541" s="630"/>
      <c r="E1541" s="630"/>
      <c r="F1541" s="630"/>
      <c r="G1541" s="630"/>
    </row>
    <row r="1542" spans="1:7" ht="18.75" x14ac:dyDescent="0.25">
      <c r="A1542" s="629" t="s">
        <v>3075</v>
      </c>
      <c r="B1542" s="630">
        <v>38</v>
      </c>
      <c r="C1542" s="631" t="str">
        <f t="shared" si="27"/>
        <v>Ô tô tự đổ 12 tấn38</v>
      </c>
      <c r="D1542" s="630"/>
      <c r="E1542" s="630"/>
      <c r="F1542" s="630"/>
      <c r="G1542" s="630"/>
    </row>
    <row r="1543" spans="1:7" ht="18.75" x14ac:dyDescent="0.25">
      <c r="A1543" s="629" t="s">
        <v>3075</v>
      </c>
      <c r="B1543" s="630">
        <v>39</v>
      </c>
      <c r="C1543" s="631" t="str">
        <f t="shared" si="27"/>
        <v>Ô tô tự đổ 12 tấn39</v>
      </c>
      <c r="D1543" s="630"/>
      <c r="E1543" s="630"/>
      <c r="F1543" s="630"/>
      <c r="G1543" s="630"/>
    </row>
    <row r="1544" spans="1:7" ht="18.75" x14ac:dyDescent="0.25">
      <c r="A1544" s="629" t="s">
        <v>3075</v>
      </c>
      <c r="B1544" s="630">
        <v>40</v>
      </c>
      <c r="C1544" s="631" t="str">
        <f t="shared" si="27"/>
        <v>Ô tô tự đổ 12 tấn40</v>
      </c>
      <c r="D1544" s="630"/>
      <c r="E1544" s="630"/>
      <c r="F1544" s="630"/>
      <c r="G1544" s="630"/>
    </row>
    <row r="1545" spans="1:7" ht="18.75" x14ac:dyDescent="0.25">
      <c r="A1545" s="629" t="s">
        <v>3075</v>
      </c>
      <c r="B1545" s="630">
        <v>41</v>
      </c>
      <c r="C1545" s="631" t="str">
        <f t="shared" si="27"/>
        <v>Ô tô tự đổ 12 tấn41</v>
      </c>
      <c r="D1545" s="630"/>
      <c r="E1545" s="630"/>
      <c r="F1545" s="630"/>
      <c r="G1545" s="630"/>
    </row>
    <row r="1546" spans="1:7" ht="18.75" x14ac:dyDescent="0.25">
      <c r="A1546" s="629" t="s">
        <v>3075</v>
      </c>
      <c r="B1546" s="630">
        <v>42</v>
      </c>
      <c r="C1546" s="631" t="str">
        <f t="shared" si="27"/>
        <v>Ô tô tự đổ 12 tấn42</v>
      </c>
      <c r="D1546" s="630"/>
      <c r="E1546" s="630"/>
      <c r="F1546" s="630"/>
      <c r="G1546" s="630"/>
    </row>
    <row r="1547" spans="1:7" ht="18.75" x14ac:dyDescent="0.25">
      <c r="A1547" s="629" t="s">
        <v>3075</v>
      </c>
      <c r="B1547" s="630">
        <v>43</v>
      </c>
      <c r="C1547" s="631" t="str">
        <f t="shared" si="27"/>
        <v>Ô tô tự đổ 12 tấn43</v>
      </c>
      <c r="D1547" s="630"/>
      <c r="E1547" s="630"/>
      <c r="F1547" s="630"/>
      <c r="G1547" s="630"/>
    </row>
    <row r="1548" spans="1:7" ht="18.75" x14ac:dyDescent="0.25">
      <c r="A1548" s="629" t="s">
        <v>3075</v>
      </c>
      <c r="B1548" s="630">
        <v>44</v>
      </c>
      <c r="C1548" s="631" t="str">
        <f t="shared" si="27"/>
        <v>Ô tô tự đổ 12 tấn44</v>
      </c>
      <c r="D1548" s="630"/>
      <c r="E1548" s="630"/>
      <c r="F1548" s="630"/>
      <c r="G1548" s="630"/>
    </row>
    <row r="1549" spans="1:7" ht="18.75" x14ac:dyDescent="0.25">
      <c r="A1549" s="629" t="s">
        <v>3075</v>
      </c>
      <c r="B1549" s="630">
        <v>45</v>
      </c>
      <c r="C1549" s="631" t="str">
        <f t="shared" si="27"/>
        <v>Ô tô tự đổ 12 tấn45</v>
      </c>
      <c r="D1549" s="630"/>
      <c r="E1549" s="630"/>
      <c r="F1549" s="630"/>
      <c r="G1549" s="630"/>
    </row>
    <row r="1550" spans="1:7" ht="18.75" x14ac:dyDescent="0.25">
      <c r="A1550" s="629" t="s">
        <v>3075</v>
      </c>
      <c r="B1550" s="630">
        <v>46</v>
      </c>
      <c r="C1550" s="631" t="str">
        <f t="shared" si="27"/>
        <v>Ô tô tự đổ 12 tấn46</v>
      </c>
      <c r="D1550" s="630"/>
      <c r="E1550" s="630"/>
      <c r="F1550" s="630"/>
      <c r="G1550" s="630"/>
    </row>
    <row r="1551" spans="1:7" ht="18.75" x14ac:dyDescent="0.25">
      <c r="A1551" s="629" t="s">
        <v>3075</v>
      </c>
      <c r="B1551" s="630">
        <v>47</v>
      </c>
      <c r="C1551" s="631" t="str">
        <f t="shared" si="27"/>
        <v>Ô tô tự đổ 12 tấn47</v>
      </c>
      <c r="D1551" s="630"/>
      <c r="E1551" s="630"/>
      <c r="F1551" s="630"/>
      <c r="G1551" s="630"/>
    </row>
    <row r="1552" spans="1:7" ht="18.75" x14ac:dyDescent="0.25">
      <c r="A1552" s="629" t="s">
        <v>3075</v>
      </c>
      <c r="B1552" s="630">
        <v>48</v>
      </c>
      <c r="C1552" s="631" t="str">
        <f t="shared" si="27"/>
        <v>Ô tô tự đổ 12 tấn48</v>
      </c>
      <c r="D1552" s="630"/>
      <c r="E1552" s="630"/>
      <c r="F1552" s="630"/>
      <c r="G1552" s="630"/>
    </row>
    <row r="1553" spans="1:7" ht="18.75" x14ac:dyDescent="0.25">
      <c r="A1553" s="629" t="s">
        <v>3075</v>
      </c>
      <c r="B1553" s="630">
        <v>49</v>
      </c>
      <c r="C1553" s="631" t="str">
        <f t="shared" si="27"/>
        <v>Ô tô tự đổ 12 tấn49</v>
      </c>
      <c r="D1553" s="630"/>
      <c r="E1553" s="630"/>
      <c r="F1553" s="630"/>
      <c r="G1553" s="630"/>
    </row>
    <row r="1554" spans="1:7" ht="18.75" x14ac:dyDescent="0.25">
      <c r="A1554" s="629" t="s">
        <v>3075</v>
      </c>
      <c r="B1554" s="630">
        <v>50</v>
      </c>
      <c r="C1554" s="631" t="str">
        <f t="shared" si="27"/>
        <v>Ô tô tự đổ 12 tấn50</v>
      </c>
      <c r="D1554" s="630"/>
      <c r="E1554" s="630"/>
      <c r="F1554" s="630"/>
      <c r="G1554" s="630"/>
    </row>
    <row r="1555" spans="1:7" ht="18.75" x14ac:dyDescent="0.25">
      <c r="A1555" s="629" t="s">
        <v>3075</v>
      </c>
      <c r="B1555" s="630">
        <v>51</v>
      </c>
      <c r="C1555" s="631" t="str">
        <f t="shared" si="27"/>
        <v>Ô tô tự đổ 12 tấn51</v>
      </c>
      <c r="D1555" s="630"/>
      <c r="E1555" s="630"/>
      <c r="F1555" s="630"/>
      <c r="G1555" s="630"/>
    </row>
    <row r="1556" spans="1:7" ht="18.75" x14ac:dyDescent="0.25">
      <c r="A1556" s="629" t="s">
        <v>3075</v>
      </c>
      <c r="B1556" s="630">
        <v>52</v>
      </c>
      <c r="C1556" s="631" t="str">
        <f t="shared" si="27"/>
        <v>Ô tô tự đổ 12 tấn52</v>
      </c>
      <c r="D1556" s="630"/>
      <c r="E1556" s="630"/>
      <c r="F1556" s="630"/>
      <c r="G1556" s="630"/>
    </row>
    <row r="1557" spans="1:7" ht="18.75" x14ac:dyDescent="0.25">
      <c r="A1557" s="629" t="s">
        <v>3075</v>
      </c>
      <c r="B1557" s="630">
        <v>53</v>
      </c>
      <c r="C1557" s="631" t="str">
        <f t="shared" si="27"/>
        <v>Ô tô tự đổ 12 tấn53</v>
      </c>
      <c r="D1557" s="630"/>
      <c r="E1557" s="630"/>
      <c r="F1557" s="630"/>
      <c r="G1557" s="630"/>
    </row>
    <row r="1558" spans="1:7" ht="18.75" x14ac:dyDescent="0.25">
      <c r="A1558" s="629" t="s">
        <v>3075</v>
      </c>
      <c r="B1558" s="630">
        <v>54</v>
      </c>
      <c r="C1558" s="631" t="str">
        <f t="shared" si="27"/>
        <v>Ô tô tự đổ 12 tấn54</v>
      </c>
      <c r="D1558" s="630"/>
      <c r="E1558" s="630"/>
      <c r="F1558" s="630"/>
      <c r="G1558" s="630"/>
    </row>
    <row r="1559" spans="1:7" ht="18.75" x14ac:dyDescent="0.25">
      <c r="A1559" s="629" t="s">
        <v>3075</v>
      </c>
      <c r="B1559" s="630">
        <v>55</v>
      </c>
      <c r="C1559" s="631" t="str">
        <f t="shared" si="27"/>
        <v>Ô tô tự đổ 12 tấn55</v>
      </c>
      <c r="D1559" s="630"/>
      <c r="E1559" s="630"/>
      <c r="F1559" s="630"/>
      <c r="G1559" s="630"/>
    </row>
    <row r="1560" spans="1:7" ht="18.75" x14ac:dyDescent="0.25">
      <c r="A1560" s="629" t="s">
        <v>3075</v>
      </c>
      <c r="B1560" s="630">
        <v>56</v>
      </c>
      <c r="C1560" s="631" t="str">
        <f t="shared" si="27"/>
        <v>Ô tô tự đổ 12 tấn56</v>
      </c>
      <c r="D1560" s="630"/>
      <c r="E1560" s="630"/>
      <c r="F1560" s="630"/>
      <c r="G1560" s="630"/>
    </row>
    <row r="1561" spans="1:7" ht="18.75" x14ac:dyDescent="0.25">
      <c r="A1561" s="629" t="s">
        <v>3075</v>
      </c>
      <c r="B1561" s="630">
        <v>57</v>
      </c>
      <c r="C1561" s="631" t="str">
        <f t="shared" si="27"/>
        <v>Ô tô tự đổ 12 tấn57</v>
      </c>
      <c r="D1561" s="630"/>
      <c r="E1561" s="630"/>
      <c r="F1561" s="630"/>
      <c r="G1561" s="630"/>
    </row>
    <row r="1562" spans="1:7" ht="18.75" x14ac:dyDescent="0.25">
      <c r="A1562" s="629" t="s">
        <v>3075</v>
      </c>
      <c r="B1562" s="630">
        <v>58</v>
      </c>
      <c r="C1562" s="631" t="str">
        <f t="shared" si="27"/>
        <v>Ô tô tự đổ 12 tấn58</v>
      </c>
      <c r="D1562" s="630"/>
      <c r="E1562" s="630"/>
      <c r="F1562" s="630"/>
      <c r="G1562" s="630"/>
    </row>
    <row r="1563" spans="1:7" ht="18.75" x14ac:dyDescent="0.25">
      <c r="A1563" s="629" t="s">
        <v>3075</v>
      </c>
      <c r="B1563" s="630">
        <v>59</v>
      </c>
      <c r="C1563" s="631" t="str">
        <f t="shared" si="27"/>
        <v>Ô tô tự đổ 12 tấn59</v>
      </c>
      <c r="D1563" s="630"/>
      <c r="E1563" s="630"/>
      <c r="F1563" s="630"/>
      <c r="G1563" s="630"/>
    </row>
    <row r="1564" spans="1:7" ht="18.75" x14ac:dyDescent="0.25">
      <c r="A1564" s="629" t="s">
        <v>3075</v>
      </c>
      <c r="B1564" s="630">
        <v>60</v>
      </c>
      <c r="C1564" s="631" t="str">
        <f t="shared" si="27"/>
        <v>Ô tô tự đổ 12 tấn60</v>
      </c>
      <c r="D1564" s="630"/>
      <c r="E1564" s="630"/>
      <c r="F1564" s="630"/>
      <c r="G1564" s="630"/>
    </row>
    <row r="1565" spans="1:7" ht="18.75" x14ac:dyDescent="0.25">
      <c r="A1565" s="629" t="s">
        <v>3075</v>
      </c>
      <c r="B1565" s="630">
        <v>61</v>
      </c>
      <c r="C1565" s="631" t="str">
        <f t="shared" si="27"/>
        <v>Ô tô tự đổ 12 tấn61</v>
      </c>
      <c r="D1565" s="630"/>
      <c r="E1565" s="630"/>
      <c r="F1565" s="630"/>
      <c r="G1565" s="630"/>
    </row>
    <row r="1566" spans="1:7" ht="18.75" x14ac:dyDescent="0.25">
      <c r="A1566" s="629" t="s">
        <v>3075</v>
      </c>
      <c r="B1566" s="630">
        <v>62</v>
      </c>
      <c r="C1566" s="631" t="str">
        <f t="shared" si="27"/>
        <v>Ô tô tự đổ 12 tấn62</v>
      </c>
      <c r="D1566" s="630"/>
      <c r="E1566" s="630"/>
      <c r="F1566" s="630"/>
      <c r="G1566" s="630"/>
    </row>
    <row r="1567" spans="1:7" ht="18.75" x14ac:dyDescent="0.25">
      <c r="A1567" s="629" t="s">
        <v>3075</v>
      </c>
      <c r="B1567" s="630">
        <v>63</v>
      </c>
      <c r="C1567" s="631" t="str">
        <f t="shared" si="27"/>
        <v>Ô tô tự đổ 12 tấn63</v>
      </c>
      <c r="D1567" s="630"/>
      <c r="E1567" s="630"/>
      <c r="F1567" s="630"/>
      <c r="G1567" s="630"/>
    </row>
    <row r="1568" spans="1:7" ht="18.75" x14ac:dyDescent="0.25">
      <c r="A1568" s="629" t="s">
        <v>3075</v>
      </c>
      <c r="B1568" s="630">
        <v>64</v>
      </c>
      <c r="C1568" s="631" t="str">
        <f t="shared" si="27"/>
        <v>Ô tô tự đổ 12 tấn64</v>
      </c>
      <c r="D1568" s="630"/>
      <c r="E1568" s="630"/>
      <c r="F1568" s="630"/>
      <c r="G1568" s="630"/>
    </row>
    <row r="1569" spans="1:7" ht="18.75" x14ac:dyDescent="0.25">
      <c r="A1569" s="629" t="s">
        <v>3075</v>
      </c>
      <c r="B1569" s="630">
        <v>65</v>
      </c>
      <c r="C1569" s="631" t="str">
        <f t="shared" si="27"/>
        <v>Ô tô tự đổ 12 tấn65</v>
      </c>
      <c r="D1569" s="630"/>
      <c r="E1569" s="630"/>
      <c r="F1569" s="630"/>
      <c r="G1569" s="630"/>
    </row>
    <row r="1570" spans="1:7" ht="18.75" x14ac:dyDescent="0.25">
      <c r="A1570" s="629" t="s">
        <v>3075</v>
      </c>
      <c r="B1570" s="630">
        <v>66</v>
      </c>
      <c r="C1570" s="631" t="str">
        <f t="shared" ref="C1570:C1633" si="28">A1570&amp;B1570</f>
        <v>Ô tô tự đổ 12 tấn66</v>
      </c>
      <c r="D1570" s="630"/>
      <c r="E1570" s="630"/>
      <c r="F1570" s="630"/>
      <c r="G1570" s="630"/>
    </row>
    <row r="1571" spans="1:7" ht="18.75" x14ac:dyDescent="0.25">
      <c r="A1571" s="629" t="s">
        <v>3075</v>
      </c>
      <c r="B1571" s="630">
        <v>67</v>
      </c>
      <c r="C1571" s="631" t="str">
        <f t="shared" si="28"/>
        <v>Ô tô tự đổ 12 tấn67</v>
      </c>
      <c r="D1571" s="630"/>
      <c r="E1571" s="630"/>
      <c r="F1571" s="630"/>
      <c r="G1571" s="630"/>
    </row>
    <row r="1572" spans="1:7" ht="18.75" x14ac:dyDescent="0.25">
      <c r="A1572" s="629" t="s">
        <v>3075</v>
      </c>
      <c r="B1572" s="630">
        <v>68</v>
      </c>
      <c r="C1572" s="631" t="str">
        <f t="shared" si="28"/>
        <v>Ô tô tự đổ 12 tấn68</v>
      </c>
      <c r="D1572" s="630"/>
      <c r="E1572" s="630"/>
      <c r="F1572" s="630"/>
      <c r="G1572" s="630"/>
    </row>
    <row r="1573" spans="1:7" ht="18.75" x14ac:dyDescent="0.25">
      <c r="A1573" s="629" t="s">
        <v>3075</v>
      </c>
      <c r="B1573" s="630">
        <v>69</v>
      </c>
      <c r="C1573" s="631" t="str">
        <f t="shared" si="28"/>
        <v>Ô tô tự đổ 12 tấn69</v>
      </c>
      <c r="D1573" s="630"/>
      <c r="E1573" s="630"/>
      <c r="F1573" s="630"/>
      <c r="G1573" s="630"/>
    </row>
    <row r="1574" spans="1:7" ht="18.75" x14ac:dyDescent="0.25">
      <c r="A1574" s="629" t="s">
        <v>3075</v>
      </c>
      <c r="B1574" s="630">
        <v>70</v>
      </c>
      <c r="C1574" s="631" t="str">
        <f t="shared" si="28"/>
        <v>Ô tô tự đổ 12 tấn70</v>
      </c>
      <c r="D1574" s="630"/>
      <c r="E1574" s="630"/>
      <c r="F1574" s="630"/>
      <c r="G1574" s="630"/>
    </row>
    <row r="1575" spans="1:7" ht="18.75" x14ac:dyDescent="0.25">
      <c r="A1575" s="629" t="s">
        <v>3075</v>
      </c>
      <c r="B1575" s="630">
        <v>71</v>
      </c>
      <c r="C1575" s="631" t="str">
        <f t="shared" si="28"/>
        <v>Ô tô tự đổ 12 tấn71</v>
      </c>
      <c r="D1575" s="630"/>
      <c r="E1575" s="630"/>
      <c r="F1575" s="630"/>
      <c r="G1575" s="630"/>
    </row>
    <row r="1576" spans="1:7" ht="18.75" x14ac:dyDescent="0.25">
      <c r="A1576" s="629" t="s">
        <v>3075</v>
      </c>
      <c r="B1576" s="630">
        <v>72</v>
      </c>
      <c r="C1576" s="631" t="str">
        <f t="shared" si="28"/>
        <v>Ô tô tự đổ 12 tấn72</v>
      </c>
      <c r="D1576" s="630"/>
      <c r="E1576" s="630"/>
      <c r="F1576" s="630"/>
      <c r="G1576" s="630"/>
    </row>
    <row r="1577" spans="1:7" ht="18.75" x14ac:dyDescent="0.25">
      <c r="A1577" s="629" t="s">
        <v>3075</v>
      </c>
      <c r="B1577" s="630">
        <v>73</v>
      </c>
      <c r="C1577" s="631" t="str">
        <f t="shared" si="28"/>
        <v>Ô tô tự đổ 12 tấn73</v>
      </c>
      <c r="D1577" s="630"/>
      <c r="E1577" s="630"/>
      <c r="F1577" s="630"/>
      <c r="G1577" s="630"/>
    </row>
    <row r="1578" spans="1:7" ht="18.75" x14ac:dyDescent="0.25">
      <c r="A1578" s="629" t="s">
        <v>3075</v>
      </c>
      <c r="B1578" s="630">
        <v>74</v>
      </c>
      <c r="C1578" s="631" t="str">
        <f t="shared" si="28"/>
        <v>Ô tô tự đổ 12 tấn74</v>
      </c>
      <c r="D1578" s="630"/>
      <c r="E1578" s="630"/>
      <c r="F1578" s="630"/>
      <c r="G1578" s="630"/>
    </row>
    <row r="1579" spans="1:7" ht="18.75" x14ac:dyDescent="0.25">
      <c r="A1579" s="629" t="s">
        <v>3075</v>
      </c>
      <c r="B1579" s="630">
        <v>75</v>
      </c>
      <c r="C1579" s="631" t="str">
        <f t="shared" si="28"/>
        <v>Ô tô tự đổ 12 tấn75</v>
      </c>
      <c r="D1579" s="630"/>
      <c r="E1579" s="630"/>
      <c r="F1579" s="630"/>
      <c r="G1579" s="630"/>
    </row>
    <row r="1580" spans="1:7" ht="18.75" x14ac:dyDescent="0.25">
      <c r="A1580" s="629" t="s">
        <v>3075</v>
      </c>
      <c r="B1580" s="630">
        <v>76</v>
      </c>
      <c r="C1580" s="631" t="str">
        <f t="shared" si="28"/>
        <v>Ô tô tự đổ 12 tấn76</v>
      </c>
      <c r="D1580" s="630"/>
      <c r="E1580" s="630"/>
      <c r="F1580" s="630"/>
      <c r="G1580" s="630"/>
    </row>
    <row r="1581" spans="1:7" ht="18.75" x14ac:dyDescent="0.25">
      <c r="A1581" s="629" t="s">
        <v>3075</v>
      </c>
      <c r="B1581" s="630">
        <v>77</v>
      </c>
      <c r="C1581" s="631" t="str">
        <f t="shared" si="28"/>
        <v>Ô tô tự đổ 12 tấn77</v>
      </c>
      <c r="D1581" s="630"/>
      <c r="E1581" s="630"/>
      <c r="F1581" s="630"/>
      <c r="G1581" s="630"/>
    </row>
    <row r="1582" spans="1:7" ht="18.75" x14ac:dyDescent="0.25">
      <c r="A1582" s="629" t="s">
        <v>3075</v>
      </c>
      <c r="B1582" s="630">
        <v>78</v>
      </c>
      <c r="C1582" s="631" t="str">
        <f t="shared" si="28"/>
        <v>Ô tô tự đổ 12 tấn78</v>
      </c>
      <c r="D1582" s="630"/>
      <c r="E1582" s="630"/>
      <c r="F1582" s="630"/>
      <c r="G1582" s="630"/>
    </row>
    <row r="1583" spans="1:7" ht="18.75" x14ac:dyDescent="0.25">
      <c r="A1583" s="629" t="s">
        <v>3075</v>
      </c>
      <c r="B1583" s="630">
        <v>79</v>
      </c>
      <c r="C1583" s="631" t="str">
        <f t="shared" si="28"/>
        <v>Ô tô tự đổ 12 tấn79</v>
      </c>
      <c r="D1583" s="630"/>
      <c r="E1583" s="630"/>
      <c r="F1583" s="630"/>
      <c r="G1583" s="630"/>
    </row>
    <row r="1584" spans="1:7" ht="18.75" x14ac:dyDescent="0.25">
      <c r="A1584" s="629" t="s">
        <v>3075</v>
      </c>
      <c r="B1584" s="630">
        <v>80</v>
      </c>
      <c r="C1584" s="631" t="str">
        <f t="shared" si="28"/>
        <v>Ô tô tự đổ 12 tấn80</v>
      </c>
      <c r="D1584" s="630"/>
      <c r="E1584" s="630"/>
      <c r="F1584" s="630"/>
      <c r="G1584" s="630"/>
    </row>
    <row r="1585" spans="1:7" ht="18.75" x14ac:dyDescent="0.25">
      <c r="A1585" s="629" t="s">
        <v>3075</v>
      </c>
      <c r="B1585" s="630">
        <v>81</v>
      </c>
      <c r="C1585" s="631" t="str">
        <f t="shared" si="28"/>
        <v>Ô tô tự đổ 12 tấn81</v>
      </c>
      <c r="D1585" s="630"/>
      <c r="E1585" s="630"/>
      <c r="F1585" s="630"/>
      <c r="G1585" s="630"/>
    </row>
    <row r="1586" spans="1:7" ht="18.75" x14ac:dyDescent="0.25">
      <c r="A1586" s="629" t="s">
        <v>3075</v>
      </c>
      <c r="B1586" s="630">
        <v>82</v>
      </c>
      <c r="C1586" s="631" t="str">
        <f t="shared" si="28"/>
        <v>Ô tô tự đổ 12 tấn82</v>
      </c>
      <c r="D1586" s="630"/>
      <c r="E1586" s="630"/>
      <c r="F1586" s="630"/>
      <c r="G1586" s="630"/>
    </row>
    <row r="1587" spans="1:7" ht="18.75" x14ac:dyDescent="0.25">
      <c r="A1587" s="629" t="s">
        <v>3075</v>
      </c>
      <c r="B1587" s="630">
        <v>83</v>
      </c>
      <c r="C1587" s="631" t="str">
        <f t="shared" si="28"/>
        <v>Ô tô tự đổ 12 tấn83</v>
      </c>
      <c r="D1587" s="630"/>
      <c r="E1587" s="630"/>
      <c r="F1587" s="630"/>
      <c r="G1587" s="630"/>
    </row>
    <row r="1588" spans="1:7" ht="18.75" x14ac:dyDescent="0.25">
      <c r="A1588" s="629" t="s">
        <v>3075</v>
      </c>
      <c r="B1588" s="630">
        <v>84</v>
      </c>
      <c r="C1588" s="631" t="str">
        <f t="shared" si="28"/>
        <v>Ô tô tự đổ 12 tấn84</v>
      </c>
      <c r="D1588" s="630"/>
      <c r="E1588" s="630"/>
      <c r="F1588" s="630"/>
      <c r="G1588" s="630"/>
    </row>
    <row r="1589" spans="1:7" ht="18.75" x14ac:dyDescent="0.25">
      <c r="A1589" s="629" t="s">
        <v>3075</v>
      </c>
      <c r="B1589" s="630">
        <v>85</v>
      </c>
      <c r="C1589" s="631" t="str">
        <f t="shared" si="28"/>
        <v>Ô tô tự đổ 12 tấn85</v>
      </c>
      <c r="D1589" s="630"/>
      <c r="E1589" s="630"/>
      <c r="F1589" s="630"/>
      <c r="G1589" s="630"/>
    </row>
    <row r="1590" spans="1:7" ht="18.75" x14ac:dyDescent="0.25">
      <c r="A1590" s="629" t="s">
        <v>3075</v>
      </c>
      <c r="B1590" s="630">
        <v>86</v>
      </c>
      <c r="C1590" s="631" t="str">
        <f t="shared" si="28"/>
        <v>Ô tô tự đổ 12 tấn86</v>
      </c>
      <c r="D1590" s="630"/>
      <c r="E1590" s="630"/>
      <c r="F1590" s="630"/>
      <c r="G1590" s="630"/>
    </row>
    <row r="1591" spans="1:7" ht="18.75" x14ac:dyDescent="0.25">
      <c r="A1591" s="629" t="s">
        <v>3075</v>
      </c>
      <c r="B1591" s="630">
        <v>87</v>
      </c>
      <c r="C1591" s="631" t="str">
        <f t="shared" si="28"/>
        <v>Ô tô tự đổ 12 tấn87</v>
      </c>
      <c r="D1591" s="630"/>
      <c r="E1591" s="630"/>
      <c r="F1591" s="630"/>
      <c r="G1591" s="630"/>
    </row>
    <row r="1592" spans="1:7" ht="18.75" x14ac:dyDescent="0.25">
      <c r="A1592" s="629" t="s">
        <v>3075</v>
      </c>
      <c r="B1592" s="630">
        <v>88</v>
      </c>
      <c r="C1592" s="631" t="str">
        <f t="shared" si="28"/>
        <v>Ô tô tự đổ 12 tấn88</v>
      </c>
      <c r="D1592" s="630"/>
      <c r="E1592" s="630"/>
      <c r="F1592" s="630"/>
      <c r="G1592" s="630"/>
    </row>
    <row r="1593" spans="1:7" ht="18.75" x14ac:dyDescent="0.25">
      <c r="A1593" s="629" t="s">
        <v>3075</v>
      </c>
      <c r="B1593" s="630">
        <v>89</v>
      </c>
      <c r="C1593" s="631" t="str">
        <f t="shared" si="28"/>
        <v>Ô tô tự đổ 12 tấn89</v>
      </c>
      <c r="D1593" s="630"/>
      <c r="E1593" s="630"/>
      <c r="F1593" s="630"/>
      <c r="G1593" s="630"/>
    </row>
    <row r="1594" spans="1:7" ht="18.75" x14ac:dyDescent="0.25">
      <c r="A1594" s="629" t="s">
        <v>3075</v>
      </c>
      <c r="B1594" s="630">
        <v>90</v>
      </c>
      <c r="C1594" s="631" t="str">
        <f t="shared" si="28"/>
        <v>Ô tô tự đổ 12 tấn90</v>
      </c>
      <c r="D1594" s="630"/>
      <c r="E1594" s="630"/>
      <c r="F1594" s="630"/>
      <c r="G1594" s="630"/>
    </row>
    <row r="1595" spans="1:7" ht="18.75" x14ac:dyDescent="0.25">
      <c r="A1595" s="629" t="s">
        <v>3075</v>
      </c>
      <c r="B1595" s="630">
        <v>91</v>
      </c>
      <c r="C1595" s="631" t="str">
        <f t="shared" si="28"/>
        <v>Ô tô tự đổ 12 tấn91</v>
      </c>
      <c r="D1595" s="630"/>
      <c r="E1595" s="630"/>
      <c r="F1595" s="630"/>
      <c r="G1595" s="630"/>
    </row>
    <row r="1596" spans="1:7" ht="18.75" x14ac:dyDescent="0.25">
      <c r="A1596" s="629" t="s">
        <v>3075</v>
      </c>
      <c r="B1596" s="630">
        <v>92</v>
      </c>
      <c r="C1596" s="631" t="str">
        <f t="shared" si="28"/>
        <v>Ô tô tự đổ 12 tấn92</v>
      </c>
      <c r="D1596" s="630"/>
      <c r="E1596" s="630"/>
      <c r="F1596" s="630"/>
      <c r="G1596" s="630"/>
    </row>
    <row r="1597" spans="1:7" ht="18.75" x14ac:dyDescent="0.25">
      <c r="A1597" s="629" t="s">
        <v>3075</v>
      </c>
      <c r="B1597" s="630">
        <v>93</v>
      </c>
      <c r="C1597" s="631" t="str">
        <f t="shared" si="28"/>
        <v>Ô tô tự đổ 12 tấn93</v>
      </c>
      <c r="D1597" s="630"/>
      <c r="E1597" s="630"/>
      <c r="F1597" s="630"/>
      <c r="G1597" s="630"/>
    </row>
    <row r="1598" spans="1:7" ht="18.75" x14ac:dyDescent="0.25">
      <c r="A1598" s="629" t="s">
        <v>3075</v>
      </c>
      <c r="B1598" s="630">
        <v>94</v>
      </c>
      <c r="C1598" s="631" t="str">
        <f t="shared" si="28"/>
        <v>Ô tô tự đổ 12 tấn94</v>
      </c>
      <c r="D1598" s="630"/>
      <c r="E1598" s="630"/>
      <c r="F1598" s="630"/>
      <c r="G1598" s="630"/>
    </row>
    <row r="1599" spans="1:7" ht="18.75" x14ac:dyDescent="0.25">
      <c r="A1599" s="629" t="s">
        <v>3075</v>
      </c>
      <c r="B1599" s="630">
        <v>95</v>
      </c>
      <c r="C1599" s="631" t="str">
        <f t="shared" si="28"/>
        <v>Ô tô tự đổ 12 tấn95</v>
      </c>
      <c r="D1599" s="630"/>
      <c r="E1599" s="630"/>
      <c r="F1599" s="630"/>
      <c r="G1599" s="630"/>
    </row>
    <row r="1600" spans="1:7" ht="18.75" x14ac:dyDescent="0.25">
      <c r="A1600" s="629" t="s">
        <v>3075</v>
      </c>
      <c r="B1600" s="630">
        <v>96</v>
      </c>
      <c r="C1600" s="631" t="str">
        <f t="shared" si="28"/>
        <v>Ô tô tự đổ 12 tấn96</v>
      </c>
      <c r="D1600" s="630"/>
      <c r="E1600" s="630"/>
      <c r="F1600" s="630"/>
      <c r="G1600" s="630"/>
    </row>
    <row r="1601" spans="1:7" ht="18.75" x14ac:dyDescent="0.25">
      <c r="A1601" s="629" t="s">
        <v>3075</v>
      </c>
      <c r="B1601" s="630">
        <v>97</v>
      </c>
      <c r="C1601" s="631" t="str">
        <f t="shared" si="28"/>
        <v>Ô tô tự đổ 12 tấn97</v>
      </c>
      <c r="D1601" s="630"/>
      <c r="E1601" s="630"/>
      <c r="F1601" s="630"/>
      <c r="G1601" s="630"/>
    </row>
    <row r="1602" spans="1:7" ht="18.75" x14ac:dyDescent="0.25">
      <c r="A1602" s="629" t="s">
        <v>3075</v>
      </c>
      <c r="B1602" s="630">
        <v>98</v>
      </c>
      <c r="C1602" s="631" t="str">
        <f t="shared" si="28"/>
        <v>Ô tô tự đổ 12 tấn98</v>
      </c>
      <c r="D1602" s="630"/>
      <c r="E1602" s="630"/>
      <c r="F1602" s="630"/>
      <c r="G1602" s="630"/>
    </row>
    <row r="1603" spans="1:7" ht="18.75" x14ac:dyDescent="0.25">
      <c r="A1603" s="629" t="s">
        <v>3075</v>
      </c>
      <c r="B1603" s="630">
        <v>99</v>
      </c>
      <c r="C1603" s="631" t="str">
        <f t="shared" si="28"/>
        <v>Ô tô tự đổ 12 tấn99</v>
      </c>
      <c r="D1603" s="630"/>
      <c r="E1603" s="630"/>
      <c r="F1603" s="630"/>
      <c r="G1603" s="630"/>
    </row>
    <row r="1604" spans="1:7" ht="18.75" x14ac:dyDescent="0.25">
      <c r="A1604" s="629" t="s">
        <v>3075</v>
      </c>
      <c r="B1604" s="630">
        <v>100</v>
      </c>
      <c r="C1604" s="631" t="str">
        <f t="shared" si="28"/>
        <v>Ô tô tự đổ 12 tấn100</v>
      </c>
      <c r="D1604" s="630"/>
      <c r="E1604" s="630"/>
      <c r="F1604" s="630"/>
      <c r="G1604" s="630"/>
    </row>
    <row r="1605" spans="1:7" ht="18.75" x14ac:dyDescent="0.25">
      <c r="A1605" s="629" t="s">
        <v>3075</v>
      </c>
      <c r="B1605" s="630">
        <v>101</v>
      </c>
      <c r="C1605" s="631" t="str">
        <f t="shared" si="28"/>
        <v>Ô tô tự đổ 12 tấn101</v>
      </c>
      <c r="D1605" s="630"/>
      <c r="E1605" s="630"/>
      <c r="F1605" s="630"/>
      <c r="G1605" s="630"/>
    </row>
    <row r="1606" spans="1:7" ht="18.75" x14ac:dyDescent="0.25">
      <c r="A1606" s="629" t="s">
        <v>3075</v>
      </c>
      <c r="B1606" s="630">
        <v>102</v>
      </c>
      <c r="C1606" s="631" t="str">
        <f t="shared" si="28"/>
        <v>Ô tô tự đổ 12 tấn102</v>
      </c>
      <c r="D1606" s="630"/>
      <c r="E1606" s="630"/>
      <c r="F1606" s="630"/>
      <c r="G1606" s="630"/>
    </row>
    <row r="1607" spans="1:7" ht="18.75" x14ac:dyDescent="0.25">
      <c r="A1607" s="629" t="s">
        <v>3075</v>
      </c>
      <c r="B1607" s="630">
        <v>103</v>
      </c>
      <c r="C1607" s="631" t="str">
        <f t="shared" si="28"/>
        <v>Ô tô tự đổ 12 tấn103</v>
      </c>
      <c r="D1607" s="630"/>
      <c r="E1607" s="630"/>
      <c r="F1607" s="630"/>
      <c r="G1607" s="630"/>
    </row>
    <row r="1608" spans="1:7" ht="18.75" x14ac:dyDescent="0.25">
      <c r="A1608" s="629" t="s">
        <v>3075</v>
      </c>
      <c r="B1608" s="630">
        <v>104</v>
      </c>
      <c r="C1608" s="631" t="str">
        <f t="shared" si="28"/>
        <v>Ô tô tự đổ 12 tấn104</v>
      </c>
      <c r="D1608" s="630"/>
      <c r="E1608" s="630"/>
      <c r="F1608" s="630"/>
      <c r="G1608" s="630"/>
    </row>
    <row r="1609" spans="1:7" ht="18.75" x14ac:dyDescent="0.25">
      <c r="A1609" s="629" t="s">
        <v>3075</v>
      </c>
      <c r="B1609" s="630">
        <v>105</v>
      </c>
      <c r="C1609" s="631" t="str">
        <f t="shared" si="28"/>
        <v>Ô tô tự đổ 12 tấn105</v>
      </c>
      <c r="D1609" s="630"/>
      <c r="E1609" s="630"/>
      <c r="F1609" s="630"/>
      <c r="G1609" s="630"/>
    </row>
    <row r="1610" spans="1:7" ht="18.75" x14ac:dyDescent="0.25">
      <c r="A1610" s="629" t="s">
        <v>3075</v>
      </c>
      <c r="B1610" s="630">
        <v>106</v>
      </c>
      <c r="C1610" s="631" t="str">
        <f t="shared" si="28"/>
        <v>Ô tô tự đổ 12 tấn106</v>
      </c>
      <c r="D1610" s="630"/>
      <c r="E1610" s="630"/>
      <c r="F1610" s="630"/>
      <c r="G1610" s="630"/>
    </row>
    <row r="1611" spans="1:7" ht="18.75" x14ac:dyDescent="0.25">
      <c r="A1611" s="629" t="s">
        <v>3075</v>
      </c>
      <c r="B1611" s="630">
        <v>107</v>
      </c>
      <c r="C1611" s="631" t="str">
        <f t="shared" si="28"/>
        <v>Ô tô tự đổ 12 tấn107</v>
      </c>
      <c r="D1611" s="630"/>
      <c r="E1611" s="630"/>
      <c r="F1611" s="630"/>
      <c r="G1611" s="630"/>
    </row>
    <row r="1612" spans="1:7" ht="18.75" x14ac:dyDescent="0.25">
      <c r="A1612" s="629" t="s">
        <v>3075</v>
      </c>
      <c r="B1612" s="630">
        <v>108</v>
      </c>
      <c r="C1612" s="631" t="str">
        <f t="shared" si="28"/>
        <v>Ô tô tự đổ 12 tấn108</v>
      </c>
      <c r="D1612" s="630"/>
      <c r="E1612" s="630"/>
      <c r="F1612" s="630"/>
      <c r="G1612" s="630"/>
    </row>
    <row r="1613" spans="1:7" ht="18.75" x14ac:dyDescent="0.25">
      <c r="A1613" s="629" t="s">
        <v>3075</v>
      </c>
      <c r="B1613" s="630">
        <v>109</v>
      </c>
      <c r="C1613" s="631" t="str">
        <f t="shared" si="28"/>
        <v>Ô tô tự đổ 12 tấn109</v>
      </c>
      <c r="D1613" s="630"/>
      <c r="E1613" s="630"/>
      <c r="F1613" s="630"/>
      <c r="G1613" s="630"/>
    </row>
    <row r="1614" spans="1:7" ht="18.75" x14ac:dyDescent="0.25">
      <c r="A1614" s="629" t="s">
        <v>3075</v>
      </c>
      <c r="B1614" s="630">
        <v>110</v>
      </c>
      <c r="C1614" s="631" t="str">
        <f t="shared" si="28"/>
        <v>Ô tô tự đổ 12 tấn110</v>
      </c>
      <c r="D1614" s="630"/>
      <c r="E1614" s="630"/>
      <c r="F1614" s="630"/>
      <c r="G1614" s="630"/>
    </row>
    <row r="1615" spans="1:7" ht="18.75" x14ac:dyDescent="0.25">
      <c r="A1615" s="629" t="s">
        <v>3075</v>
      </c>
      <c r="B1615" s="630">
        <v>111</v>
      </c>
      <c r="C1615" s="631" t="str">
        <f t="shared" si="28"/>
        <v>Ô tô tự đổ 12 tấn111</v>
      </c>
      <c r="D1615" s="630"/>
      <c r="E1615" s="630"/>
      <c r="F1615" s="630"/>
      <c r="G1615" s="630"/>
    </row>
    <row r="1616" spans="1:7" ht="18.75" x14ac:dyDescent="0.25">
      <c r="A1616" s="629" t="s">
        <v>3075</v>
      </c>
      <c r="B1616" s="630">
        <v>112</v>
      </c>
      <c r="C1616" s="631" t="str">
        <f t="shared" si="28"/>
        <v>Ô tô tự đổ 12 tấn112</v>
      </c>
      <c r="D1616" s="630"/>
      <c r="E1616" s="630"/>
      <c r="F1616" s="630"/>
      <c r="G1616" s="630"/>
    </row>
    <row r="1617" spans="1:7" ht="18.75" x14ac:dyDescent="0.25">
      <c r="A1617" s="629" t="s">
        <v>3075</v>
      </c>
      <c r="B1617" s="630">
        <v>113</v>
      </c>
      <c r="C1617" s="631" t="str">
        <f t="shared" si="28"/>
        <v>Ô tô tự đổ 12 tấn113</v>
      </c>
      <c r="D1617" s="630"/>
      <c r="E1617" s="630"/>
      <c r="F1617" s="630"/>
      <c r="G1617" s="630"/>
    </row>
    <row r="1618" spans="1:7" ht="18.75" x14ac:dyDescent="0.25">
      <c r="A1618" s="629" t="s">
        <v>3075</v>
      </c>
      <c r="B1618" s="630">
        <v>114</v>
      </c>
      <c r="C1618" s="631" t="str">
        <f t="shared" si="28"/>
        <v>Ô tô tự đổ 12 tấn114</v>
      </c>
      <c r="D1618" s="630"/>
      <c r="E1618" s="630"/>
      <c r="F1618" s="630"/>
      <c r="G1618" s="630"/>
    </row>
    <row r="1619" spans="1:7" ht="18.75" x14ac:dyDescent="0.25">
      <c r="A1619" s="629" t="s">
        <v>3075</v>
      </c>
      <c r="B1619" s="630">
        <v>115</v>
      </c>
      <c r="C1619" s="631" t="str">
        <f t="shared" si="28"/>
        <v>Ô tô tự đổ 12 tấn115</v>
      </c>
      <c r="D1619" s="630"/>
      <c r="E1619" s="630"/>
      <c r="F1619" s="630"/>
      <c r="G1619" s="630"/>
    </row>
    <row r="1620" spans="1:7" ht="18.75" x14ac:dyDescent="0.25">
      <c r="A1620" s="629" t="s">
        <v>3075</v>
      </c>
      <c r="B1620" s="630">
        <v>116</v>
      </c>
      <c r="C1620" s="631" t="str">
        <f t="shared" si="28"/>
        <v>Ô tô tự đổ 12 tấn116</v>
      </c>
      <c r="D1620" s="630"/>
      <c r="E1620" s="630"/>
      <c r="F1620" s="630"/>
      <c r="G1620" s="630"/>
    </row>
    <row r="1621" spans="1:7" ht="18.75" x14ac:dyDescent="0.25">
      <c r="A1621" s="629" t="s">
        <v>3075</v>
      </c>
      <c r="B1621" s="630">
        <v>117</v>
      </c>
      <c r="C1621" s="631" t="str">
        <f t="shared" si="28"/>
        <v>Ô tô tự đổ 12 tấn117</v>
      </c>
      <c r="D1621" s="630"/>
      <c r="E1621" s="630"/>
      <c r="F1621" s="630"/>
      <c r="G1621" s="630"/>
    </row>
    <row r="1622" spans="1:7" ht="18.75" x14ac:dyDescent="0.25">
      <c r="A1622" s="629" t="s">
        <v>3075</v>
      </c>
      <c r="B1622" s="630">
        <v>118</v>
      </c>
      <c r="C1622" s="631" t="str">
        <f t="shared" si="28"/>
        <v>Ô tô tự đổ 12 tấn118</v>
      </c>
      <c r="D1622" s="630"/>
      <c r="E1622" s="630"/>
      <c r="F1622" s="630"/>
      <c r="G1622" s="630"/>
    </row>
    <row r="1623" spans="1:7" ht="18.75" x14ac:dyDescent="0.25">
      <c r="A1623" s="629" t="s">
        <v>3075</v>
      </c>
      <c r="B1623" s="630">
        <v>119</v>
      </c>
      <c r="C1623" s="631" t="str">
        <f t="shared" si="28"/>
        <v>Ô tô tự đổ 12 tấn119</v>
      </c>
      <c r="D1623" s="630"/>
      <c r="E1623" s="630"/>
      <c r="F1623" s="630"/>
      <c r="G1623" s="630"/>
    </row>
    <row r="1624" spans="1:7" ht="18.75" x14ac:dyDescent="0.25">
      <c r="A1624" s="629" t="s">
        <v>3075</v>
      </c>
      <c r="B1624" s="630">
        <v>120</v>
      </c>
      <c r="C1624" s="631" t="str">
        <f t="shared" si="28"/>
        <v>Ô tô tự đổ 12 tấn120</v>
      </c>
      <c r="D1624" s="630"/>
      <c r="E1624" s="630"/>
      <c r="F1624" s="630"/>
      <c r="G1624" s="630"/>
    </row>
    <row r="1625" spans="1:7" ht="18.75" x14ac:dyDescent="0.25">
      <c r="A1625" s="629" t="s">
        <v>3075</v>
      </c>
      <c r="B1625" s="630">
        <v>121</v>
      </c>
      <c r="C1625" s="631" t="str">
        <f t="shared" si="28"/>
        <v>Ô tô tự đổ 12 tấn121</v>
      </c>
      <c r="D1625" s="630"/>
      <c r="E1625" s="630"/>
      <c r="F1625" s="630"/>
      <c r="G1625" s="630"/>
    </row>
    <row r="1626" spans="1:7" ht="18.75" x14ac:dyDescent="0.25">
      <c r="A1626" s="629" t="s">
        <v>3075</v>
      </c>
      <c r="B1626" s="630">
        <v>122</v>
      </c>
      <c r="C1626" s="631" t="str">
        <f t="shared" si="28"/>
        <v>Ô tô tự đổ 12 tấn122</v>
      </c>
      <c r="D1626" s="630"/>
      <c r="E1626" s="630"/>
      <c r="F1626" s="630"/>
      <c r="G1626" s="630"/>
    </row>
    <row r="1627" spans="1:7" ht="18.75" x14ac:dyDescent="0.25">
      <c r="A1627" s="629" t="s">
        <v>3075</v>
      </c>
      <c r="B1627" s="630">
        <v>123</v>
      </c>
      <c r="C1627" s="631" t="str">
        <f t="shared" si="28"/>
        <v>Ô tô tự đổ 12 tấn123</v>
      </c>
      <c r="D1627" s="630"/>
      <c r="E1627" s="630"/>
      <c r="F1627" s="630"/>
      <c r="G1627" s="630"/>
    </row>
    <row r="1628" spans="1:7" ht="18.75" x14ac:dyDescent="0.25">
      <c r="A1628" s="629" t="s">
        <v>3075</v>
      </c>
      <c r="B1628" s="630">
        <v>124</v>
      </c>
      <c r="C1628" s="631" t="str">
        <f t="shared" si="28"/>
        <v>Ô tô tự đổ 12 tấn124</v>
      </c>
      <c r="D1628" s="630"/>
      <c r="E1628" s="630"/>
      <c r="F1628" s="630"/>
      <c r="G1628" s="630"/>
    </row>
    <row r="1629" spans="1:7" ht="18.75" x14ac:dyDescent="0.25">
      <c r="A1629" s="629" t="s">
        <v>3075</v>
      </c>
      <c r="B1629" s="630">
        <v>125</v>
      </c>
      <c r="C1629" s="631" t="str">
        <f t="shared" si="28"/>
        <v>Ô tô tự đổ 12 tấn125</v>
      </c>
      <c r="D1629" s="630"/>
      <c r="E1629" s="630"/>
      <c r="F1629" s="630"/>
      <c r="G1629" s="630"/>
    </row>
    <row r="1630" spans="1:7" ht="18.75" x14ac:dyDescent="0.25">
      <c r="A1630" s="629" t="s">
        <v>3075</v>
      </c>
      <c r="B1630" s="630">
        <v>126</v>
      </c>
      <c r="C1630" s="631" t="str">
        <f t="shared" si="28"/>
        <v>Ô tô tự đổ 12 tấn126</v>
      </c>
      <c r="D1630" s="630"/>
      <c r="E1630" s="630"/>
      <c r="F1630" s="630"/>
      <c r="G1630" s="630"/>
    </row>
    <row r="1631" spans="1:7" ht="18.75" x14ac:dyDescent="0.25">
      <c r="A1631" s="629" t="s">
        <v>3075</v>
      </c>
      <c r="B1631" s="630">
        <v>127</v>
      </c>
      <c r="C1631" s="631" t="str">
        <f t="shared" si="28"/>
        <v>Ô tô tự đổ 12 tấn127</v>
      </c>
      <c r="D1631" s="630"/>
      <c r="E1631" s="630"/>
      <c r="F1631" s="630"/>
      <c r="G1631" s="630"/>
    </row>
    <row r="1632" spans="1:7" ht="18.75" x14ac:dyDescent="0.25">
      <c r="A1632" s="629" t="s">
        <v>3075</v>
      </c>
      <c r="B1632" s="630">
        <v>128</v>
      </c>
      <c r="C1632" s="631" t="str">
        <f t="shared" si="28"/>
        <v>Ô tô tự đổ 12 tấn128</v>
      </c>
      <c r="D1632" s="630"/>
      <c r="E1632" s="630"/>
      <c r="F1632" s="630"/>
      <c r="G1632" s="630"/>
    </row>
    <row r="1633" spans="1:7" ht="18.75" x14ac:dyDescent="0.25">
      <c r="A1633" s="629" t="s">
        <v>3075</v>
      </c>
      <c r="B1633" s="630">
        <v>129</v>
      </c>
      <c r="C1633" s="631" t="str">
        <f t="shared" si="28"/>
        <v>Ô tô tự đổ 12 tấn129</v>
      </c>
      <c r="D1633" s="630"/>
      <c r="E1633" s="630"/>
      <c r="F1633" s="630"/>
      <c r="G1633" s="630"/>
    </row>
    <row r="1634" spans="1:7" ht="18.75" x14ac:dyDescent="0.25">
      <c r="A1634" s="629" t="s">
        <v>3075</v>
      </c>
      <c r="B1634" s="630">
        <v>130</v>
      </c>
      <c r="C1634" s="631" t="str">
        <f t="shared" ref="C1634:C1697" si="29">A1634&amp;B1634</f>
        <v>Ô tô tự đổ 12 tấn130</v>
      </c>
      <c r="D1634" s="630"/>
      <c r="E1634" s="630"/>
      <c r="F1634" s="630"/>
      <c r="G1634" s="630"/>
    </row>
    <row r="1635" spans="1:7" ht="18.75" x14ac:dyDescent="0.25">
      <c r="A1635" s="629" t="s">
        <v>3075</v>
      </c>
      <c r="B1635" s="630">
        <v>131</v>
      </c>
      <c r="C1635" s="631" t="str">
        <f t="shared" si="29"/>
        <v>Ô tô tự đổ 12 tấn131</v>
      </c>
      <c r="D1635" s="630"/>
      <c r="E1635" s="630"/>
      <c r="F1635" s="630"/>
      <c r="G1635" s="630"/>
    </row>
    <row r="1636" spans="1:7" ht="18.75" x14ac:dyDescent="0.25">
      <c r="A1636" s="629" t="s">
        <v>3075</v>
      </c>
      <c r="B1636" s="630">
        <v>132</v>
      </c>
      <c r="C1636" s="631" t="str">
        <f t="shared" si="29"/>
        <v>Ô tô tự đổ 12 tấn132</v>
      </c>
      <c r="D1636" s="630"/>
      <c r="E1636" s="630"/>
      <c r="F1636" s="630"/>
      <c r="G1636" s="630"/>
    </row>
    <row r="1637" spans="1:7" ht="18.75" x14ac:dyDescent="0.25">
      <c r="A1637" s="629" t="s">
        <v>3075</v>
      </c>
      <c r="B1637" s="630">
        <v>133</v>
      </c>
      <c r="C1637" s="631" t="str">
        <f t="shared" si="29"/>
        <v>Ô tô tự đổ 12 tấn133</v>
      </c>
      <c r="D1637" s="630"/>
      <c r="E1637" s="630"/>
      <c r="F1637" s="630"/>
      <c r="G1637" s="630"/>
    </row>
    <row r="1638" spans="1:7" ht="18.75" x14ac:dyDescent="0.25">
      <c r="A1638" s="629" t="s">
        <v>3075</v>
      </c>
      <c r="B1638" s="630">
        <v>134</v>
      </c>
      <c r="C1638" s="631" t="str">
        <f t="shared" si="29"/>
        <v>Ô tô tự đổ 12 tấn134</v>
      </c>
      <c r="D1638" s="630"/>
      <c r="E1638" s="630"/>
      <c r="F1638" s="630"/>
      <c r="G1638" s="630"/>
    </row>
    <row r="1639" spans="1:7" ht="18.75" x14ac:dyDescent="0.25">
      <c r="A1639" s="629" t="s">
        <v>3075</v>
      </c>
      <c r="B1639" s="630">
        <v>135</v>
      </c>
      <c r="C1639" s="631" t="str">
        <f t="shared" si="29"/>
        <v>Ô tô tự đổ 12 tấn135</v>
      </c>
      <c r="D1639" s="630"/>
      <c r="E1639" s="630"/>
      <c r="F1639" s="630"/>
      <c r="G1639" s="630"/>
    </row>
    <row r="1640" spans="1:7" ht="18.75" x14ac:dyDescent="0.25">
      <c r="A1640" s="629" t="s">
        <v>3075</v>
      </c>
      <c r="B1640" s="630">
        <v>136</v>
      </c>
      <c r="C1640" s="631" t="str">
        <f t="shared" si="29"/>
        <v>Ô tô tự đổ 12 tấn136</v>
      </c>
      <c r="D1640" s="630"/>
      <c r="E1640" s="630"/>
      <c r="F1640" s="630"/>
      <c r="G1640" s="630"/>
    </row>
    <row r="1641" spans="1:7" ht="18.75" x14ac:dyDescent="0.25">
      <c r="A1641" s="629" t="s">
        <v>3075</v>
      </c>
      <c r="B1641" s="630">
        <v>137</v>
      </c>
      <c r="C1641" s="631" t="str">
        <f t="shared" si="29"/>
        <v>Ô tô tự đổ 12 tấn137</v>
      </c>
      <c r="D1641" s="630"/>
      <c r="E1641" s="630"/>
      <c r="F1641" s="630"/>
      <c r="G1641" s="630"/>
    </row>
    <row r="1642" spans="1:7" ht="18.75" x14ac:dyDescent="0.25">
      <c r="A1642" s="629" t="s">
        <v>3075</v>
      </c>
      <c r="B1642" s="630">
        <v>138</v>
      </c>
      <c r="C1642" s="631" t="str">
        <f t="shared" si="29"/>
        <v>Ô tô tự đổ 12 tấn138</v>
      </c>
      <c r="D1642" s="630"/>
      <c r="E1642" s="630"/>
      <c r="F1642" s="630"/>
      <c r="G1642" s="630"/>
    </row>
    <row r="1643" spans="1:7" ht="18.75" x14ac:dyDescent="0.25">
      <c r="A1643" s="629" t="s">
        <v>3075</v>
      </c>
      <c r="B1643" s="630">
        <v>139</v>
      </c>
      <c r="C1643" s="631" t="str">
        <f t="shared" si="29"/>
        <v>Ô tô tự đổ 12 tấn139</v>
      </c>
      <c r="D1643" s="630"/>
      <c r="E1643" s="630"/>
      <c r="F1643" s="630"/>
      <c r="G1643" s="630"/>
    </row>
    <row r="1644" spans="1:7" ht="18.75" x14ac:dyDescent="0.25">
      <c r="A1644" s="629" t="s">
        <v>3075</v>
      </c>
      <c r="B1644" s="630">
        <v>140</v>
      </c>
      <c r="C1644" s="631" t="str">
        <f t="shared" si="29"/>
        <v>Ô tô tự đổ 12 tấn140</v>
      </c>
      <c r="D1644" s="630"/>
      <c r="E1644" s="630"/>
      <c r="F1644" s="630"/>
      <c r="G1644" s="630"/>
    </row>
    <row r="1645" spans="1:7" ht="18.75" x14ac:dyDescent="0.25">
      <c r="A1645" s="629" t="s">
        <v>3075</v>
      </c>
      <c r="B1645" s="630">
        <v>141</v>
      </c>
      <c r="C1645" s="631" t="str">
        <f t="shared" si="29"/>
        <v>Ô tô tự đổ 12 tấn141</v>
      </c>
      <c r="D1645" s="630"/>
      <c r="E1645" s="630"/>
      <c r="F1645" s="630"/>
      <c r="G1645" s="630"/>
    </row>
    <row r="1646" spans="1:7" ht="18.75" x14ac:dyDescent="0.25">
      <c r="A1646" s="629" t="s">
        <v>3075</v>
      </c>
      <c r="B1646" s="630">
        <v>142</v>
      </c>
      <c r="C1646" s="631" t="str">
        <f t="shared" si="29"/>
        <v>Ô tô tự đổ 12 tấn142</v>
      </c>
      <c r="D1646" s="630"/>
      <c r="E1646" s="630"/>
      <c r="F1646" s="630"/>
      <c r="G1646" s="630"/>
    </row>
    <row r="1647" spans="1:7" ht="18.75" x14ac:dyDescent="0.25">
      <c r="A1647" s="629" t="s">
        <v>3075</v>
      </c>
      <c r="B1647" s="630">
        <v>143</v>
      </c>
      <c r="C1647" s="631" t="str">
        <f t="shared" si="29"/>
        <v>Ô tô tự đổ 12 tấn143</v>
      </c>
      <c r="D1647" s="630"/>
      <c r="E1647" s="630"/>
      <c r="F1647" s="630"/>
      <c r="G1647" s="630"/>
    </row>
    <row r="1648" spans="1:7" ht="18.75" x14ac:dyDescent="0.25">
      <c r="A1648" s="629" t="s">
        <v>3075</v>
      </c>
      <c r="B1648" s="630">
        <v>144</v>
      </c>
      <c r="C1648" s="631" t="str">
        <f t="shared" si="29"/>
        <v>Ô tô tự đổ 12 tấn144</v>
      </c>
      <c r="D1648" s="630"/>
      <c r="E1648" s="630"/>
      <c r="F1648" s="630"/>
      <c r="G1648" s="630"/>
    </row>
    <row r="1649" spans="1:7" ht="18.75" x14ac:dyDescent="0.25">
      <c r="A1649" s="629" t="s">
        <v>3075</v>
      </c>
      <c r="B1649" s="630">
        <v>145</v>
      </c>
      <c r="C1649" s="631" t="str">
        <f t="shared" si="29"/>
        <v>Ô tô tự đổ 12 tấn145</v>
      </c>
      <c r="D1649" s="630"/>
      <c r="E1649" s="630"/>
      <c r="F1649" s="630"/>
      <c r="G1649" s="630"/>
    </row>
    <row r="1650" spans="1:7" ht="18.75" x14ac:dyDescent="0.25">
      <c r="A1650" s="629" t="s">
        <v>3075</v>
      </c>
      <c r="B1650" s="630">
        <v>146</v>
      </c>
      <c r="C1650" s="631" t="str">
        <f t="shared" si="29"/>
        <v>Ô tô tự đổ 12 tấn146</v>
      </c>
      <c r="D1650" s="630"/>
      <c r="E1650" s="630"/>
      <c r="F1650" s="630"/>
      <c r="G1650" s="630"/>
    </row>
    <row r="1651" spans="1:7" ht="18.75" x14ac:dyDescent="0.25">
      <c r="A1651" s="629" t="s">
        <v>3075</v>
      </c>
      <c r="B1651" s="630">
        <v>147</v>
      </c>
      <c r="C1651" s="631" t="str">
        <f t="shared" si="29"/>
        <v>Ô tô tự đổ 12 tấn147</v>
      </c>
      <c r="D1651" s="630"/>
      <c r="E1651" s="630"/>
      <c r="F1651" s="630"/>
      <c r="G1651" s="630"/>
    </row>
    <row r="1652" spans="1:7" ht="18.75" x14ac:dyDescent="0.25">
      <c r="A1652" s="629" t="s">
        <v>3075</v>
      </c>
      <c r="B1652" s="630">
        <v>148</v>
      </c>
      <c r="C1652" s="631" t="str">
        <f t="shared" si="29"/>
        <v>Ô tô tự đổ 12 tấn148</v>
      </c>
      <c r="D1652" s="630"/>
      <c r="E1652" s="630"/>
      <c r="F1652" s="630"/>
      <c r="G1652" s="630"/>
    </row>
    <row r="1653" spans="1:7" ht="18.75" x14ac:dyDescent="0.25">
      <c r="A1653" s="629" t="s">
        <v>3075</v>
      </c>
      <c r="B1653" s="630">
        <v>149</v>
      </c>
      <c r="C1653" s="631" t="str">
        <f t="shared" si="29"/>
        <v>Ô tô tự đổ 12 tấn149</v>
      </c>
      <c r="D1653" s="630"/>
      <c r="E1653" s="630"/>
      <c r="F1653" s="630"/>
      <c r="G1653" s="630"/>
    </row>
    <row r="1654" spans="1:7" ht="18.75" x14ac:dyDescent="0.25">
      <c r="A1654" s="629" t="s">
        <v>3075</v>
      </c>
      <c r="B1654" s="630">
        <v>150</v>
      </c>
      <c r="C1654" s="631" t="str">
        <f t="shared" si="29"/>
        <v>Ô tô tự đổ 12 tấn150</v>
      </c>
      <c r="D1654" s="630"/>
      <c r="E1654" s="630"/>
      <c r="F1654" s="630"/>
      <c r="G1654" s="630"/>
    </row>
    <row r="1655" spans="1:7" ht="18.75" x14ac:dyDescent="0.25">
      <c r="A1655" s="629" t="s">
        <v>3075</v>
      </c>
      <c r="B1655" s="630">
        <v>151</v>
      </c>
      <c r="C1655" s="631" t="str">
        <f t="shared" si="29"/>
        <v>Ô tô tự đổ 12 tấn151</v>
      </c>
      <c r="D1655" s="630"/>
      <c r="E1655" s="630"/>
      <c r="F1655" s="630"/>
      <c r="G1655" s="630"/>
    </row>
    <row r="1656" spans="1:7" ht="18.75" x14ac:dyDescent="0.25">
      <c r="A1656" s="629" t="s">
        <v>3075</v>
      </c>
      <c r="B1656" s="630">
        <v>152</v>
      </c>
      <c r="C1656" s="631" t="str">
        <f t="shared" si="29"/>
        <v>Ô tô tự đổ 12 tấn152</v>
      </c>
      <c r="D1656" s="630"/>
      <c r="E1656" s="630"/>
      <c r="F1656" s="630"/>
      <c r="G1656" s="630"/>
    </row>
    <row r="1657" spans="1:7" ht="18.75" x14ac:dyDescent="0.25">
      <c r="A1657" s="629" t="s">
        <v>3075</v>
      </c>
      <c r="B1657" s="630">
        <v>153</v>
      </c>
      <c r="C1657" s="631" t="str">
        <f t="shared" si="29"/>
        <v>Ô tô tự đổ 12 tấn153</v>
      </c>
      <c r="D1657" s="630"/>
      <c r="E1657" s="630"/>
      <c r="F1657" s="630"/>
      <c r="G1657" s="630"/>
    </row>
    <row r="1658" spans="1:7" ht="18.75" x14ac:dyDescent="0.25">
      <c r="A1658" s="629" t="s">
        <v>3075</v>
      </c>
      <c r="B1658" s="630">
        <v>154</v>
      </c>
      <c r="C1658" s="631" t="str">
        <f t="shared" si="29"/>
        <v>Ô tô tự đổ 12 tấn154</v>
      </c>
      <c r="D1658" s="630"/>
      <c r="E1658" s="630"/>
      <c r="F1658" s="630"/>
      <c r="G1658" s="630"/>
    </row>
    <row r="1659" spans="1:7" ht="18.75" x14ac:dyDescent="0.25">
      <c r="A1659" s="629" t="s">
        <v>3075</v>
      </c>
      <c r="B1659" s="630">
        <v>155</v>
      </c>
      <c r="C1659" s="631" t="str">
        <f t="shared" si="29"/>
        <v>Ô tô tự đổ 12 tấn155</v>
      </c>
      <c r="D1659" s="630"/>
      <c r="E1659" s="630"/>
      <c r="F1659" s="630"/>
      <c r="G1659" s="630"/>
    </row>
    <row r="1660" spans="1:7" ht="18.75" x14ac:dyDescent="0.25">
      <c r="A1660" s="629" t="s">
        <v>3075</v>
      </c>
      <c r="B1660" s="630">
        <v>156</v>
      </c>
      <c r="C1660" s="631" t="str">
        <f t="shared" si="29"/>
        <v>Ô tô tự đổ 12 tấn156</v>
      </c>
      <c r="D1660" s="630"/>
      <c r="E1660" s="630"/>
      <c r="F1660" s="630"/>
      <c r="G1660" s="630"/>
    </row>
    <row r="1661" spans="1:7" ht="18.75" x14ac:dyDescent="0.25">
      <c r="A1661" s="629" t="s">
        <v>3075</v>
      </c>
      <c r="B1661" s="630">
        <v>157</v>
      </c>
      <c r="C1661" s="631" t="str">
        <f t="shared" si="29"/>
        <v>Ô tô tự đổ 12 tấn157</v>
      </c>
      <c r="D1661" s="630"/>
      <c r="E1661" s="630"/>
      <c r="F1661" s="630"/>
      <c r="G1661" s="630"/>
    </row>
    <row r="1662" spans="1:7" ht="18.75" x14ac:dyDescent="0.25">
      <c r="A1662" s="629" t="s">
        <v>3075</v>
      </c>
      <c r="B1662" s="630">
        <v>158</v>
      </c>
      <c r="C1662" s="631" t="str">
        <f t="shared" si="29"/>
        <v>Ô tô tự đổ 12 tấn158</v>
      </c>
      <c r="D1662" s="630"/>
      <c r="E1662" s="630"/>
      <c r="F1662" s="630"/>
      <c r="G1662" s="630"/>
    </row>
    <row r="1663" spans="1:7" ht="18.75" x14ac:dyDescent="0.25">
      <c r="A1663" s="629" t="s">
        <v>3075</v>
      </c>
      <c r="B1663" s="630">
        <v>159</v>
      </c>
      <c r="C1663" s="631" t="str">
        <f t="shared" si="29"/>
        <v>Ô tô tự đổ 12 tấn159</v>
      </c>
      <c r="D1663" s="630"/>
      <c r="E1663" s="630"/>
      <c r="F1663" s="630"/>
      <c r="G1663" s="630"/>
    </row>
    <row r="1664" spans="1:7" ht="18.75" x14ac:dyDescent="0.25">
      <c r="A1664" s="629" t="s">
        <v>3075</v>
      </c>
      <c r="B1664" s="630">
        <v>160</v>
      </c>
      <c r="C1664" s="631" t="str">
        <f t="shared" si="29"/>
        <v>Ô tô tự đổ 12 tấn160</v>
      </c>
      <c r="D1664" s="630"/>
      <c r="E1664" s="630"/>
      <c r="F1664" s="630"/>
      <c r="G1664" s="630"/>
    </row>
    <row r="1665" spans="1:7" ht="18.75" x14ac:dyDescent="0.25">
      <c r="A1665" s="629" t="s">
        <v>3075</v>
      </c>
      <c r="B1665" s="630">
        <v>161</v>
      </c>
      <c r="C1665" s="631" t="str">
        <f t="shared" si="29"/>
        <v>Ô tô tự đổ 12 tấn161</v>
      </c>
      <c r="D1665" s="630"/>
      <c r="E1665" s="630"/>
      <c r="F1665" s="630"/>
      <c r="G1665" s="630"/>
    </row>
    <row r="1666" spans="1:7" ht="18.75" x14ac:dyDescent="0.25">
      <c r="A1666" s="629" t="s">
        <v>3075</v>
      </c>
      <c r="B1666" s="630">
        <v>162</v>
      </c>
      <c r="C1666" s="631" t="str">
        <f t="shared" si="29"/>
        <v>Ô tô tự đổ 12 tấn162</v>
      </c>
      <c r="D1666" s="630"/>
      <c r="E1666" s="630"/>
      <c r="F1666" s="630"/>
      <c r="G1666" s="630"/>
    </row>
    <row r="1667" spans="1:7" ht="18.75" x14ac:dyDescent="0.25">
      <c r="A1667" s="629" t="s">
        <v>3075</v>
      </c>
      <c r="B1667" s="630">
        <v>163</v>
      </c>
      <c r="C1667" s="631" t="str">
        <f t="shared" si="29"/>
        <v>Ô tô tự đổ 12 tấn163</v>
      </c>
      <c r="D1667" s="630"/>
      <c r="E1667" s="630"/>
      <c r="F1667" s="630"/>
      <c r="G1667" s="630"/>
    </row>
    <row r="1668" spans="1:7" ht="18.75" x14ac:dyDescent="0.25">
      <c r="A1668" s="629" t="s">
        <v>3075</v>
      </c>
      <c r="B1668" s="630">
        <v>164</v>
      </c>
      <c r="C1668" s="631" t="str">
        <f t="shared" si="29"/>
        <v>Ô tô tự đổ 12 tấn164</v>
      </c>
      <c r="D1668" s="630"/>
      <c r="E1668" s="630"/>
      <c r="F1668" s="630"/>
      <c r="G1668" s="630"/>
    </row>
    <row r="1669" spans="1:7" ht="18.75" x14ac:dyDescent="0.25">
      <c r="A1669" s="629" t="s">
        <v>3075</v>
      </c>
      <c r="B1669" s="630">
        <v>165</v>
      </c>
      <c r="C1669" s="631" t="str">
        <f t="shared" si="29"/>
        <v>Ô tô tự đổ 12 tấn165</v>
      </c>
      <c r="D1669" s="630"/>
      <c r="E1669" s="630"/>
      <c r="F1669" s="630"/>
      <c r="G1669" s="630"/>
    </row>
    <row r="1670" spans="1:7" ht="18.75" x14ac:dyDescent="0.25">
      <c r="A1670" s="629" t="s">
        <v>3075</v>
      </c>
      <c r="B1670" s="630">
        <v>166</v>
      </c>
      <c r="C1670" s="631" t="str">
        <f t="shared" si="29"/>
        <v>Ô tô tự đổ 12 tấn166</v>
      </c>
      <c r="D1670" s="630"/>
      <c r="E1670" s="630"/>
      <c r="F1670" s="630"/>
      <c r="G1670" s="630"/>
    </row>
    <row r="1671" spans="1:7" ht="18.75" x14ac:dyDescent="0.25">
      <c r="A1671" s="629" t="s">
        <v>3075</v>
      </c>
      <c r="B1671" s="630">
        <v>167</v>
      </c>
      <c r="C1671" s="631" t="str">
        <f t="shared" si="29"/>
        <v>Ô tô tự đổ 12 tấn167</v>
      </c>
      <c r="D1671" s="630"/>
      <c r="E1671" s="630"/>
      <c r="F1671" s="630"/>
      <c r="G1671" s="630"/>
    </row>
    <row r="1672" spans="1:7" ht="18.75" x14ac:dyDescent="0.25">
      <c r="A1672" s="629" t="s">
        <v>3075</v>
      </c>
      <c r="B1672" s="630">
        <v>168</v>
      </c>
      <c r="C1672" s="631" t="str">
        <f t="shared" si="29"/>
        <v>Ô tô tự đổ 12 tấn168</v>
      </c>
      <c r="D1672" s="630"/>
      <c r="E1672" s="630"/>
      <c r="F1672" s="630"/>
      <c r="G1672" s="630"/>
    </row>
    <row r="1673" spans="1:7" ht="18.75" x14ac:dyDescent="0.25">
      <c r="A1673" s="629" t="s">
        <v>3075</v>
      </c>
      <c r="B1673" s="630">
        <v>169</v>
      </c>
      <c r="C1673" s="631" t="str">
        <f t="shared" si="29"/>
        <v>Ô tô tự đổ 12 tấn169</v>
      </c>
      <c r="D1673" s="630"/>
      <c r="E1673" s="630"/>
      <c r="F1673" s="630"/>
      <c r="G1673" s="630"/>
    </row>
    <row r="1674" spans="1:7" ht="18.75" x14ac:dyDescent="0.25">
      <c r="A1674" s="629" t="s">
        <v>3075</v>
      </c>
      <c r="B1674" s="630">
        <v>170</v>
      </c>
      <c r="C1674" s="631" t="str">
        <f t="shared" si="29"/>
        <v>Ô tô tự đổ 12 tấn170</v>
      </c>
      <c r="D1674" s="630"/>
      <c r="E1674" s="630"/>
      <c r="F1674" s="630"/>
      <c r="G1674" s="630"/>
    </row>
    <row r="1675" spans="1:7" ht="18.75" x14ac:dyDescent="0.25">
      <c r="A1675" s="629" t="s">
        <v>3075</v>
      </c>
      <c r="B1675" s="630">
        <v>171</v>
      </c>
      <c r="C1675" s="631" t="str">
        <f t="shared" si="29"/>
        <v>Ô tô tự đổ 12 tấn171</v>
      </c>
      <c r="D1675" s="630"/>
      <c r="E1675" s="630"/>
      <c r="F1675" s="630"/>
      <c r="G1675" s="630"/>
    </row>
    <row r="1676" spans="1:7" ht="18.75" x14ac:dyDescent="0.25">
      <c r="A1676" s="629" t="s">
        <v>3075</v>
      </c>
      <c r="B1676" s="630">
        <v>172</v>
      </c>
      <c r="C1676" s="631" t="str">
        <f t="shared" si="29"/>
        <v>Ô tô tự đổ 12 tấn172</v>
      </c>
      <c r="D1676" s="630"/>
      <c r="E1676" s="630"/>
      <c r="F1676" s="630"/>
      <c r="G1676" s="630"/>
    </row>
    <row r="1677" spans="1:7" ht="18.75" x14ac:dyDescent="0.25">
      <c r="A1677" s="629" t="s">
        <v>3075</v>
      </c>
      <c r="B1677" s="630">
        <v>173</v>
      </c>
      <c r="C1677" s="631" t="str">
        <f t="shared" si="29"/>
        <v>Ô tô tự đổ 12 tấn173</v>
      </c>
      <c r="D1677" s="630"/>
      <c r="E1677" s="630"/>
      <c r="F1677" s="630"/>
      <c r="G1677" s="630"/>
    </row>
    <row r="1678" spans="1:7" ht="18.75" x14ac:dyDescent="0.25">
      <c r="A1678" s="629" t="s">
        <v>3075</v>
      </c>
      <c r="B1678" s="630">
        <v>174</v>
      </c>
      <c r="C1678" s="631" t="str">
        <f t="shared" si="29"/>
        <v>Ô tô tự đổ 12 tấn174</v>
      </c>
      <c r="D1678" s="630"/>
      <c r="E1678" s="630"/>
      <c r="F1678" s="630"/>
      <c r="G1678" s="630"/>
    </row>
    <row r="1679" spans="1:7" ht="18.75" x14ac:dyDescent="0.25">
      <c r="A1679" s="629" t="s">
        <v>3075</v>
      </c>
      <c r="B1679" s="630">
        <v>175</v>
      </c>
      <c r="C1679" s="631" t="str">
        <f t="shared" si="29"/>
        <v>Ô tô tự đổ 12 tấn175</v>
      </c>
      <c r="D1679" s="630"/>
      <c r="E1679" s="630"/>
      <c r="F1679" s="630"/>
      <c r="G1679" s="630"/>
    </row>
    <row r="1680" spans="1:7" ht="18.75" x14ac:dyDescent="0.25">
      <c r="A1680" s="629" t="s">
        <v>3075</v>
      </c>
      <c r="B1680" s="630">
        <v>176</v>
      </c>
      <c r="C1680" s="631" t="str">
        <f t="shared" si="29"/>
        <v>Ô tô tự đổ 12 tấn176</v>
      </c>
      <c r="D1680" s="630"/>
      <c r="E1680" s="630"/>
      <c r="F1680" s="630"/>
      <c r="G1680" s="630"/>
    </row>
    <row r="1681" spans="1:7" ht="18.75" x14ac:dyDescent="0.25">
      <c r="A1681" s="629" t="s">
        <v>3075</v>
      </c>
      <c r="B1681" s="630">
        <v>177</v>
      </c>
      <c r="C1681" s="631" t="str">
        <f t="shared" si="29"/>
        <v>Ô tô tự đổ 12 tấn177</v>
      </c>
      <c r="D1681" s="630"/>
      <c r="E1681" s="630"/>
      <c r="F1681" s="630"/>
      <c r="G1681" s="630"/>
    </row>
    <row r="1682" spans="1:7" ht="18.75" x14ac:dyDescent="0.25">
      <c r="A1682" s="629" t="s">
        <v>3075</v>
      </c>
      <c r="B1682" s="630">
        <v>178</v>
      </c>
      <c r="C1682" s="631" t="str">
        <f t="shared" si="29"/>
        <v>Ô tô tự đổ 12 tấn178</v>
      </c>
      <c r="D1682" s="630"/>
      <c r="E1682" s="630"/>
      <c r="F1682" s="630"/>
      <c r="G1682" s="630"/>
    </row>
    <row r="1683" spans="1:7" ht="18.75" x14ac:dyDescent="0.25">
      <c r="A1683" s="629" t="s">
        <v>3075</v>
      </c>
      <c r="B1683" s="630">
        <v>179</v>
      </c>
      <c r="C1683" s="631" t="str">
        <f t="shared" si="29"/>
        <v>Ô tô tự đổ 12 tấn179</v>
      </c>
      <c r="D1683" s="630"/>
      <c r="E1683" s="630"/>
      <c r="F1683" s="630"/>
      <c r="G1683" s="630"/>
    </row>
    <row r="1684" spans="1:7" ht="18.75" x14ac:dyDescent="0.25">
      <c r="A1684" s="629" t="s">
        <v>3075</v>
      </c>
      <c r="B1684" s="630">
        <v>180</v>
      </c>
      <c r="C1684" s="631" t="str">
        <f t="shared" si="29"/>
        <v>Ô tô tự đổ 12 tấn180</v>
      </c>
      <c r="D1684" s="630"/>
      <c r="E1684" s="630"/>
      <c r="F1684" s="630"/>
      <c r="G1684" s="630"/>
    </row>
    <row r="1685" spans="1:7" ht="18.75" x14ac:dyDescent="0.25">
      <c r="A1685" s="629" t="s">
        <v>3075</v>
      </c>
      <c r="B1685" s="630">
        <v>181</v>
      </c>
      <c r="C1685" s="631" t="str">
        <f t="shared" si="29"/>
        <v>Ô tô tự đổ 12 tấn181</v>
      </c>
      <c r="D1685" s="630"/>
      <c r="E1685" s="630"/>
      <c r="F1685" s="630"/>
      <c r="G1685" s="630"/>
    </row>
    <row r="1686" spans="1:7" ht="18.75" x14ac:dyDescent="0.25">
      <c r="A1686" s="629" t="s">
        <v>3075</v>
      </c>
      <c r="B1686" s="630">
        <v>182</v>
      </c>
      <c r="C1686" s="631" t="str">
        <f t="shared" si="29"/>
        <v>Ô tô tự đổ 12 tấn182</v>
      </c>
      <c r="D1686" s="630"/>
      <c r="E1686" s="630"/>
      <c r="F1686" s="630"/>
      <c r="G1686" s="630"/>
    </row>
    <row r="1687" spans="1:7" ht="18.75" x14ac:dyDescent="0.25">
      <c r="A1687" s="629" t="s">
        <v>3075</v>
      </c>
      <c r="B1687" s="630">
        <v>183</v>
      </c>
      <c r="C1687" s="631" t="str">
        <f t="shared" si="29"/>
        <v>Ô tô tự đổ 12 tấn183</v>
      </c>
      <c r="D1687" s="630"/>
      <c r="E1687" s="630"/>
      <c r="F1687" s="630"/>
      <c r="G1687" s="630"/>
    </row>
    <row r="1688" spans="1:7" ht="18.75" x14ac:dyDescent="0.25">
      <c r="A1688" s="629" t="s">
        <v>3075</v>
      </c>
      <c r="B1688" s="630">
        <v>184</v>
      </c>
      <c r="C1688" s="631" t="str">
        <f t="shared" si="29"/>
        <v>Ô tô tự đổ 12 tấn184</v>
      </c>
      <c r="D1688" s="630"/>
      <c r="E1688" s="630"/>
      <c r="F1688" s="630"/>
      <c r="G1688" s="630"/>
    </row>
    <row r="1689" spans="1:7" ht="18.75" x14ac:dyDescent="0.25">
      <c r="A1689" s="629" t="s">
        <v>3075</v>
      </c>
      <c r="B1689" s="630">
        <v>185</v>
      </c>
      <c r="C1689" s="631" t="str">
        <f t="shared" si="29"/>
        <v>Ô tô tự đổ 12 tấn185</v>
      </c>
      <c r="D1689" s="630"/>
      <c r="E1689" s="630"/>
      <c r="F1689" s="630"/>
      <c r="G1689" s="630"/>
    </row>
    <row r="1690" spans="1:7" ht="18.75" x14ac:dyDescent="0.25">
      <c r="A1690" s="629" t="s">
        <v>3075</v>
      </c>
      <c r="B1690" s="630">
        <v>186</v>
      </c>
      <c r="C1690" s="631" t="str">
        <f t="shared" si="29"/>
        <v>Ô tô tự đổ 12 tấn186</v>
      </c>
      <c r="D1690" s="630"/>
      <c r="E1690" s="630"/>
      <c r="F1690" s="630"/>
      <c r="G1690" s="630"/>
    </row>
    <row r="1691" spans="1:7" ht="18.75" x14ac:dyDescent="0.25">
      <c r="A1691" s="629" t="s">
        <v>3075</v>
      </c>
      <c r="B1691" s="630">
        <v>187</v>
      </c>
      <c r="C1691" s="631" t="str">
        <f t="shared" si="29"/>
        <v>Ô tô tự đổ 12 tấn187</v>
      </c>
      <c r="D1691" s="630"/>
      <c r="E1691" s="630"/>
      <c r="F1691" s="630"/>
      <c r="G1691" s="630"/>
    </row>
    <row r="1692" spans="1:7" ht="18.75" x14ac:dyDescent="0.25">
      <c r="A1692" s="629" t="s">
        <v>3075</v>
      </c>
      <c r="B1692" s="630">
        <v>188</v>
      </c>
      <c r="C1692" s="631" t="str">
        <f t="shared" si="29"/>
        <v>Ô tô tự đổ 12 tấn188</v>
      </c>
      <c r="D1692" s="630"/>
      <c r="E1692" s="630"/>
      <c r="F1692" s="630"/>
      <c r="G1692" s="630"/>
    </row>
    <row r="1693" spans="1:7" ht="18.75" x14ac:dyDescent="0.25">
      <c r="A1693" s="629" t="s">
        <v>3075</v>
      </c>
      <c r="B1693" s="630">
        <v>189</v>
      </c>
      <c r="C1693" s="631" t="str">
        <f t="shared" si="29"/>
        <v>Ô tô tự đổ 12 tấn189</v>
      </c>
      <c r="D1693" s="630"/>
      <c r="E1693" s="630"/>
      <c r="F1693" s="630"/>
      <c r="G1693" s="630"/>
    </row>
    <row r="1694" spans="1:7" ht="18.75" x14ac:dyDescent="0.25">
      <c r="A1694" s="629" t="s">
        <v>3075</v>
      </c>
      <c r="B1694" s="630">
        <v>190</v>
      </c>
      <c r="C1694" s="631" t="str">
        <f t="shared" si="29"/>
        <v>Ô tô tự đổ 12 tấn190</v>
      </c>
      <c r="D1694" s="630"/>
      <c r="E1694" s="630"/>
      <c r="F1694" s="630"/>
      <c r="G1694" s="630"/>
    </row>
    <row r="1695" spans="1:7" ht="18.75" x14ac:dyDescent="0.25">
      <c r="A1695" s="629" t="s">
        <v>3075</v>
      </c>
      <c r="B1695" s="630">
        <v>191</v>
      </c>
      <c r="C1695" s="631" t="str">
        <f t="shared" si="29"/>
        <v>Ô tô tự đổ 12 tấn191</v>
      </c>
      <c r="D1695" s="630"/>
      <c r="E1695" s="630"/>
      <c r="F1695" s="630"/>
      <c r="G1695" s="630"/>
    </row>
    <row r="1696" spans="1:7" ht="18.75" x14ac:dyDescent="0.25">
      <c r="A1696" s="629" t="s">
        <v>3075</v>
      </c>
      <c r="B1696" s="630">
        <v>192</v>
      </c>
      <c r="C1696" s="631" t="str">
        <f t="shared" si="29"/>
        <v>Ô tô tự đổ 12 tấn192</v>
      </c>
      <c r="D1696" s="630"/>
      <c r="E1696" s="630"/>
      <c r="F1696" s="630"/>
      <c r="G1696" s="630"/>
    </row>
    <row r="1697" spans="1:7" ht="18.75" x14ac:dyDescent="0.25">
      <c r="A1697" s="629" t="s">
        <v>3075</v>
      </c>
      <c r="B1697" s="630">
        <v>193</v>
      </c>
      <c r="C1697" s="631" t="str">
        <f t="shared" si="29"/>
        <v>Ô tô tự đổ 12 tấn193</v>
      </c>
      <c r="D1697" s="630"/>
      <c r="E1697" s="630"/>
      <c r="F1697" s="630"/>
      <c r="G1697" s="630"/>
    </row>
    <row r="1698" spans="1:7" ht="18.75" x14ac:dyDescent="0.25">
      <c r="A1698" s="629" t="s">
        <v>3075</v>
      </c>
      <c r="B1698" s="630">
        <v>194</v>
      </c>
      <c r="C1698" s="631" t="str">
        <f t="shared" ref="C1698:C1761" si="30">A1698&amp;B1698</f>
        <v>Ô tô tự đổ 12 tấn194</v>
      </c>
      <c r="D1698" s="630"/>
      <c r="E1698" s="630"/>
      <c r="F1698" s="630"/>
      <c r="G1698" s="630"/>
    </row>
    <row r="1699" spans="1:7" ht="18.75" x14ac:dyDescent="0.25">
      <c r="A1699" s="629" t="s">
        <v>3075</v>
      </c>
      <c r="B1699" s="630">
        <v>195</v>
      </c>
      <c r="C1699" s="631" t="str">
        <f t="shared" si="30"/>
        <v>Ô tô tự đổ 12 tấn195</v>
      </c>
      <c r="D1699" s="630"/>
      <c r="E1699" s="630"/>
      <c r="F1699" s="630"/>
      <c r="G1699" s="630"/>
    </row>
    <row r="1700" spans="1:7" ht="18.75" x14ac:dyDescent="0.25">
      <c r="A1700" s="629" t="s">
        <v>3075</v>
      </c>
      <c r="B1700" s="630">
        <v>196</v>
      </c>
      <c r="C1700" s="631" t="str">
        <f t="shared" si="30"/>
        <v>Ô tô tự đổ 12 tấn196</v>
      </c>
      <c r="D1700" s="630"/>
      <c r="E1700" s="630"/>
      <c r="F1700" s="630"/>
      <c r="G1700" s="630"/>
    </row>
    <row r="1701" spans="1:7" ht="18.75" x14ac:dyDescent="0.25">
      <c r="A1701" s="629" t="s">
        <v>3075</v>
      </c>
      <c r="B1701" s="630">
        <v>197</v>
      </c>
      <c r="C1701" s="631" t="str">
        <f t="shared" si="30"/>
        <v>Ô tô tự đổ 12 tấn197</v>
      </c>
      <c r="D1701" s="630"/>
      <c r="E1701" s="630"/>
      <c r="F1701" s="630"/>
      <c r="G1701" s="630"/>
    </row>
    <row r="1702" spans="1:7" ht="18.75" x14ac:dyDescent="0.25">
      <c r="A1702" s="629" t="s">
        <v>3075</v>
      </c>
      <c r="B1702" s="630">
        <v>198</v>
      </c>
      <c r="C1702" s="631" t="str">
        <f t="shared" si="30"/>
        <v>Ô tô tự đổ 12 tấn198</v>
      </c>
      <c r="D1702" s="630"/>
      <c r="E1702" s="630"/>
      <c r="F1702" s="630"/>
      <c r="G1702" s="630"/>
    </row>
    <row r="1703" spans="1:7" ht="18.75" x14ac:dyDescent="0.25">
      <c r="A1703" s="629" t="s">
        <v>3075</v>
      </c>
      <c r="B1703" s="630">
        <v>199</v>
      </c>
      <c r="C1703" s="631" t="str">
        <f t="shared" si="30"/>
        <v>Ô tô tự đổ 12 tấn199</v>
      </c>
      <c r="D1703" s="630"/>
      <c r="E1703" s="630"/>
      <c r="F1703" s="630"/>
      <c r="G1703" s="630"/>
    </row>
    <row r="1704" spans="1:7" ht="18.75" x14ac:dyDescent="0.25">
      <c r="A1704" s="629" t="s">
        <v>3075</v>
      </c>
      <c r="B1704" s="630">
        <v>200</v>
      </c>
      <c r="C1704" s="631" t="str">
        <f t="shared" si="30"/>
        <v>Ô tô tự đổ 12 tấn200</v>
      </c>
      <c r="D1704" s="630"/>
      <c r="E1704" s="630"/>
      <c r="F1704" s="630"/>
      <c r="G1704" s="630"/>
    </row>
    <row r="1705" spans="1:7" ht="18.75" x14ac:dyDescent="0.25">
      <c r="A1705" s="629" t="s">
        <v>3075</v>
      </c>
      <c r="B1705" s="630">
        <v>201</v>
      </c>
      <c r="C1705" s="631" t="str">
        <f t="shared" si="30"/>
        <v>Ô tô tự đổ 12 tấn201</v>
      </c>
      <c r="D1705" s="630"/>
      <c r="E1705" s="630"/>
      <c r="F1705" s="630"/>
      <c r="G1705" s="630"/>
    </row>
    <row r="1706" spans="1:7" ht="18.75" x14ac:dyDescent="0.25">
      <c r="A1706" s="629" t="s">
        <v>3075</v>
      </c>
      <c r="B1706" s="630">
        <v>202</v>
      </c>
      <c r="C1706" s="631" t="str">
        <f t="shared" si="30"/>
        <v>Ô tô tự đổ 12 tấn202</v>
      </c>
      <c r="D1706" s="630"/>
      <c r="E1706" s="630"/>
      <c r="F1706" s="630"/>
      <c r="G1706" s="630"/>
    </row>
    <row r="1707" spans="1:7" ht="18.75" x14ac:dyDescent="0.25">
      <c r="A1707" s="629" t="s">
        <v>3075</v>
      </c>
      <c r="B1707" s="630">
        <v>203</v>
      </c>
      <c r="C1707" s="631" t="str">
        <f t="shared" si="30"/>
        <v>Ô tô tự đổ 12 tấn203</v>
      </c>
      <c r="D1707" s="630"/>
      <c r="E1707" s="630"/>
      <c r="F1707" s="630"/>
      <c r="G1707" s="630"/>
    </row>
    <row r="1708" spans="1:7" ht="18.75" x14ac:dyDescent="0.25">
      <c r="A1708" s="629" t="s">
        <v>3075</v>
      </c>
      <c r="B1708" s="630">
        <v>204</v>
      </c>
      <c r="C1708" s="631" t="str">
        <f t="shared" si="30"/>
        <v>Ô tô tự đổ 12 tấn204</v>
      </c>
      <c r="D1708" s="630"/>
      <c r="E1708" s="630"/>
      <c r="F1708" s="630"/>
      <c r="G1708" s="630"/>
    </row>
    <row r="1709" spans="1:7" ht="18.75" x14ac:dyDescent="0.25">
      <c r="A1709" s="629" t="s">
        <v>3075</v>
      </c>
      <c r="B1709" s="630">
        <v>205</v>
      </c>
      <c r="C1709" s="631" t="str">
        <f t="shared" si="30"/>
        <v>Ô tô tự đổ 12 tấn205</v>
      </c>
      <c r="D1709" s="630"/>
      <c r="E1709" s="630"/>
      <c r="F1709" s="630"/>
      <c r="G1709" s="630"/>
    </row>
    <row r="1710" spans="1:7" ht="18.75" x14ac:dyDescent="0.25">
      <c r="A1710" s="629" t="s">
        <v>3075</v>
      </c>
      <c r="B1710" s="630">
        <v>206</v>
      </c>
      <c r="C1710" s="631" t="str">
        <f t="shared" si="30"/>
        <v>Ô tô tự đổ 12 tấn206</v>
      </c>
      <c r="D1710" s="630"/>
      <c r="E1710" s="630"/>
      <c r="F1710" s="630"/>
      <c r="G1710" s="630"/>
    </row>
    <row r="1711" spans="1:7" ht="18.75" x14ac:dyDescent="0.25">
      <c r="A1711" s="629" t="s">
        <v>3075</v>
      </c>
      <c r="B1711" s="630">
        <v>207</v>
      </c>
      <c r="C1711" s="631" t="str">
        <f t="shared" si="30"/>
        <v>Ô tô tự đổ 12 tấn207</v>
      </c>
      <c r="D1711" s="630"/>
      <c r="E1711" s="630"/>
      <c r="F1711" s="630"/>
      <c r="G1711" s="630"/>
    </row>
    <row r="1712" spans="1:7" ht="18.75" x14ac:dyDescent="0.25">
      <c r="A1712" s="629" t="s">
        <v>3075</v>
      </c>
      <c r="B1712" s="630">
        <v>208</v>
      </c>
      <c r="C1712" s="631" t="str">
        <f t="shared" si="30"/>
        <v>Ô tô tự đổ 12 tấn208</v>
      </c>
      <c r="D1712" s="630"/>
      <c r="E1712" s="630"/>
      <c r="F1712" s="630"/>
      <c r="G1712" s="630"/>
    </row>
    <row r="1713" spans="1:7" ht="18.75" x14ac:dyDescent="0.25">
      <c r="A1713" s="629" t="s">
        <v>3075</v>
      </c>
      <c r="B1713" s="630">
        <v>209</v>
      </c>
      <c r="C1713" s="631" t="str">
        <f t="shared" si="30"/>
        <v>Ô tô tự đổ 12 tấn209</v>
      </c>
      <c r="D1713" s="630"/>
      <c r="E1713" s="630"/>
      <c r="F1713" s="630"/>
      <c r="G1713" s="630"/>
    </row>
    <row r="1714" spans="1:7" ht="18.75" x14ac:dyDescent="0.25">
      <c r="A1714" s="629" t="s">
        <v>3075</v>
      </c>
      <c r="B1714" s="630">
        <v>210</v>
      </c>
      <c r="C1714" s="631" t="str">
        <f t="shared" si="30"/>
        <v>Ô tô tự đổ 12 tấn210</v>
      </c>
      <c r="D1714" s="630"/>
      <c r="E1714" s="630"/>
      <c r="F1714" s="630"/>
      <c r="G1714" s="630"/>
    </row>
    <row r="1715" spans="1:7" ht="18.75" x14ac:dyDescent="0.25">
      <c r="A1715" s="629" t="s">
        <v>3075</v>
      </c>
      <c r="B1715" s="630">
        <v>211</v>
      </c>
      <c r="C1715" s="631" t="str">
        <f t="shared" si="30"/>
        <v>Ô tô tự đổ 12 tấn211</v>
      </c>
      <c r="D1715" s="630"/>
      <c r="E1715" s="630"/>
      <c r="F1715" s="630"/>
      <c r="G1715" s="630"/>
    </row>
    <row r="1716" spans="1:7" ht="18.75" x14ac:dyDescent="0.25">
      <c r="A1716" s="629" t="s">
        <v>3075</v>
      </c>
      <c r="B1716" s="630">
        <v>212</v>
      </c>
      <c r="C1716" s="631" t="str">
        <f t="shared" si="30"/>
        <v>Ô tô tự đổ 12 tấn212</v>
      </c>
      <c r="D1716" s="630"/>
      <c r="E1716" s="630"/>
      <c r="F1716" s="630"/>
      <c r="G1716" s="630"/>
    </row>
    <row r="1717" spans="1:7" ht="18.75" x14ac:dyDescent="0.25">
      <c r="A1717" s="629" t="s">
        <v>3075</v>
      </c>
      <c r="B1717" s="630">
        <v>213</v>
      </c>
      <c r="C1717" s="631" t="str">
        <f t="shared" si="30"/>
        <v>Ô tô tự đổ 12 tấn213</v>
      </c>
      <c r="D1717" s="630"/>
      <c r="E1717" s="630"/>
      <c r="F1717" s="630"/>
      <c r="G1717" s="630"/>
    </row>
    <row r="1718" spans="1:7" ht="18.75" x14ac:dyDescent="0.25">
      <c r="A1718" s="629" t="s">
        <v>3075</v>
      </c>
      <c r="B1718" s="630">
        <v>214</v>
      </c>
      <c r="C1718" s="631" t="str">
        <f t="shared" si="30"/>
        <v>Ô tô tự đổ 12 tấn214</v>
      </c>
      <c r="D1718" s="630"/>
      <c r="E1718" s="630"/>
      <c r="F1718" s="630"/>
      <c r="G1718" s="630"/>
    </row>
    <row r="1719" spans="1:7" ht="18.75" x14ac:dyDescent="0.25">
      <c r="A1719" s="629" t="s">
        <v>3075</v>
      </c>
      <c r="B1719" s="630">
        <v>215</v>
      </c>
      <c r="C1719" s="631" t="str">
        <f t="shared" si="30"/>
        <v>Ô tô tự đổ 12 tấn215</v>
      </c>
      <c r="D1719" s="630"/>
      <c r="E1719" s="630"/>
      <c r="F1719" s="630"/>
      <c r="G1719" s="630"/>
    </row>
    <row r="1720" spans="1:7" ht="18.75" x14ac:dyDescent="0.25">
      <c r="A1720" s="629" t="s">
        <v>3075</v>
      </c>
      <c r="B1720" s="630">
        <v>216</v>
      </c>
      <c r="C1720" s="631" t="str">
        <f t="shared" si="30"/>
        <v>Ô tô tự đổ 12 tấn216</v>
      </c>
      <c r="D1720" s="630"/>
      <c r="E1720" s="630"/>
      <c r="F1720" s="630"/>
      <c r="G1720" s="630"/>
    </row>
    <row r="1721" spans="1:7" ht="18.75" x14ac:dyDescent="0.25">
      <c r="A1721" s="629" t="s">
        <v>3075</v>
      </c>
      <c r="B1721" s="630">
        <v>217</v>
      </c>
      <c r="C1721" s="631" t="str">
        <f t="shared" si="30"/>
        <v>Ô tô tự đổ 12 tấn217</v>
      </c>
      <c r="D1721" s="630"/>
      <c r="E1721" s="630"/>
      <c r="F1721" s="630"/>
      <c r="G1721" s="630"/>
    </row>
    <row r="1722" spans="1:7" ht="18.75" x14ac:dyDescent="0.25">
      <c r="A1722" s="629" t="s">
        <v>3075</v>
      </c>
      <c r="B1722" s="630">
        <v>218</v>
      </c>
      <c r="C1722" s="631" t="str">
        <f t="shared" si="30"/>
        <v>Ô tô tự đổ 12 tấn218</v>
      </c>
      <c r="D1722" s="630"/>
      <c r="E1722" s="630"/>
      <c r="F1722" s="630"/>
      <c r="G1722" s="630"/>
    </row>
    <row r="1723" spans="1:7" ht="18.75" x14ac:dyDescent="0.25">
      <c r="A1723" s="629" t="s">
        <v>3075</v>
      </c>
      <c r="B1723" s="630">
        <v>219</v>
      </c>
      <c r="C1723" s="631" t="str">
        <f t="shared" si="30"/>
        <v>Ô tô tự đổ 12 tấn219</v>
      </c>
      <c r="D1723" s="630"/>
      <c r="E1723" s="630"/>
      <c r="F1723" s="630"/>
      <c r="G1723" s="630"/>
    </row>
    <row r="1724" spans="1:7" ht="18.75" x14ac:dyDescent="0.25">
      <c r="A1724" s="629" t="s">
        <v>3075</v>
      </c>
      <c r="B1724" s="630">
        <v>220</v>
      </c>
      <c r="C1724" s="631" t="str">
        <f t="shared" si="30"/>
        <v>Ô tô tự đổ 12 tấn220</v>
      </c>
      <c r="D1724" s="630"/>
      <c r="E1724" s="630"/>
      <c r="F1724" s="630"/>
      <c r="G1724" s="630"/>
    </row>
    <row r="1725" spans="1:7" ht="18.75" x14ac:dyDescent="0.25">
      <c r="A1725" s="629" t="s">
        <v>3075</v>
      </c>
      <c r="B1725" s="630">
        <v>221</v>
      </c>
      <c r="C1725" s="631" t="str">
        <f t="shared" si="30"/>
        <v>Ô tô tự đổ 12 tấn221</v>
      </c>
      <c r="D1725" s="630"/>
      <c r="E1725" s="630"/>
      <c r="F1725" s="630"/>
      <c r="G1725" s="630"/>
    </row>
    <row r="1726" spans="1:7" ht="18.75" x14ac:dyDescent="0.25">
      <c r="A1726" s="629" t="s">
        <v>3075</v>
      </c>
      <c r="B1726" s="630">
        <v>222</v>
      </c>
      <c r="C1726" s="631" t="str">
        <f t="shared" si="30"/>
        <v>Ô tô tự đổ 12 tấn222</v>
      </c>
      <c r="D1726" s="630"/>
      <c r="E1726" s="630"/>
      <c r="F1726" s="630"/>
      <c r="G1726" s="630"/>
    </row>
    <row r="1727" spans="1:7" ht="18.75" x14ac:dyDescent="0.25">
      <c r="A1727" s="629" t="s">
        <v>3075</v>
      </c>
      <c r="B1727" s="630">
        <v>223</v>
      </c>
      <c r="C1727" s="631" t="str">
        <f t="shared" si="30"/>
        <v>Ô tô tự đổ 12 tấn223</v>
      </c>
      <c r="D1727" s="630"/>
      <c r="E1727" s="630"/>
      <c r="F1727" s="630"/>
      <c r="G1727" s="630"/>
    </row>
    <row r="1728" spans="1:7" ht="18.75" x14ac:dyDescent="0.25">
      <c r="A1728" s="629" t="s">
        <v>3075</v>
      </c>
      <c r="B1728" s="630">
        <v>224</v>
      </c>
      <c r="C1728" s="631" t="str">
        <f t="shared" si="30"/>
        <v>Ô tô tự đổ 12 tấn224</v>
      </c>
      <c r="D1728" s="630"/>
      <c r="E1728" s="630"/>
      <c r="F1728" s="630"/>
      <c r="G1728" s="630"/>
    </row>
    <row r="1729" spans="1:7" ht="18.75" x14ac:dyDescent="0.25">
      <c r="A1729" s="629" t="s">
        <v>3075</v>
      </c>
      <c r="B1729" s="630">
        <v>225</v>
      </c>
      <c r="C1729" s="631" t="str">
        <f t="shared" si="30"/>
        <v>Ô tô tự đổ 12 tấn225</v>
      </c>
      <c r="D1729" s="630"/>
      <c r="E1729" s="630"/>
      <c r="F1729" s="630"/>
      <c r="G1729" s="630"/>
    </row>
    <row r="1730" spans="1:7" ht="18.75" x14ac:dyDescent="0.25">
      <c r="A1730" s="629" t="s">
        <v>3075</v>
      </c>
      <c r="B1730" s="630">
        <v>226</v>
      </c>
      <c r="C1730" s="631" t="str">
        <f t="shared" si="30"/>
        <v>Ô tô tự đổ 12 tấn226</v>
      </c>
      <c r="D1730" s="630"/>
      <c r="E1730" s="630"/>
      <c r="F1730" s="630"/>
      <c r="G1730" s="630"/>
    </row>
    <row r="1731" spans="1:7" ht="18.75" x14ac:dyDescent="0.25">
      <c r="A1731" s="629" t="s">
        <v>3075</v>
      </c>
      <c r="B1731" s="630">
        <v>227</v>
      </c>
      <c r="C1731" s="631" t="str">
        <f t="shared" si="30"/>
        <v>Ô tô tự đổ 12 tấn227</v>
      </c>
      <c r="D1731" s="630"/>
      <c r="E1731" s="630"/>
      <c r="F1731" s="630"/>
      <c r="G1731" s="630"/>
    </row>
    <row r="1732" spans="1:7" ht="18.75" x14ac:dyDescent="0.25">
      <c r="A1732" s="629" t="s">
        <v>3075</v>
      </c>
      <c r="B1732" s="630">
        <v>228</v>
      </c>
      <c r="C1732" s="631" t="str">
        <f t="shared" si="30"/>
        <v>Ô tô tự đổ 12 tấn228</v>
      </c>
      <c r="D1732" s="630"/>
      <c r="E1732" s="630"/>
      <c r="F1732" s="630"/>
      <c r="G1732" s="630"/>
    </row>
    <row r="1733" spans="1:7" ht="18.75" x14ac:dyDescent="0.25">
      <c r="A1733" s="629" t="s">
        <v>3075</v>
      </c>
      <c r="B1733" s="630">
        <v>229</v>
      </c>
      <c r="C1733" s="631" t="str">
        <f t="shared" si="30"/>
        <v>Ô tô tự đổ 12 tấn229</v>
      </c>
      <c r="D1733" s="630"/>
      <c r="E1733" s="630"/>
      <c r="F1733" s="630"/>
      <c r="G1733" s="630"/>
    </row>
    <row r="1734" spans="1:7" ht="18.75" x14ac:dyDescent="0.25">
      <c r="A1734" s="629" t="s">
        <v>3075</v>
      </c>
      <c r="B1734" s="630">
        <v>230</v>
      </c>
      <c r="C1734" s="631" t="str">
        <f t="shared" si="30"/>
        <v>Ô tô tự đổ 12 tấn230</v>
      </c>
      <c r="D1734" s="630"/>
      <c r="E1734" s="630"/>
      <c r="F1734" s="630"/>
      <c r="G1734" s="630"/>
    </row>
    <row r="1735" spans="1:7" ht="18.75" x14ac:dyDescent="0.25">
      <c r="A1735" s="629" t="s">
        <v>3075</v>
      </c>
      <c r="B1735" s="630">
        <v>231</v>
      </c>
      <c r="C1735" s="631" t="str">
        <f t="shared" si="30"/>
        <v>Ô tô tự đổ 12 tấn231</v>
      </c>
      <c r="D1735" s="630"/>
      <c r="E1735" s="630"/>
      <c r="F1735" s="630"/>
      <c r="G1735" s="630"/>
    </row>
    <row r="1736" spans="1:7" ht="18.75" x14ac:dyDescent="0.25">
      <c r="A1736" s="629" t="s">
        <v>3075</v>
      </c>
      <c r="B1736" s="630">
        <v>232</v>
      </c>
      <c r="C1736" s="631" t="str">
        <f t="shared" si="30"/>
        <v>Ô tô tự đổ 12 tấn232</v>
      </c>
      <c r="D1736" s="630"/>
      <c r="E1736" s="630"/>
      <c r="F1736" s="630"/>
      <c r="G1736" s="630"/>
    </row>
    <row r="1737" spans="1:7" ht="18.75" x14ac:dyDescent="0.25">
      <c r="A1737" s="629" t="s">
        <v>3075</v>
      </c>
      <c r="B1737" s="630">
        <v>233</v>
      </c>
      <c r="C1737" s="631" t="str">
        <f t="shared" si="30"/>
        <v>Ô tô tự đổ 12 tấn233</v>
      </c>
      <c r="D1737" s="630"/>
      <c r="E1737" s="630"/>
      <c r="F1737" s="630"/>
      <c r="G1737" s="630"/>
    </row>
    <row r="1738" spans="1:7" ht="18.75" x14ac:dyDescent="0.25">
      <c r="A1738" s="629" t="s">
        <v>3075</v>
      </c>
      <c r="B1738" s="630">
        <v>234</v>
      </c>
      <c r="C1738" s="631" t="str">
        <f t="shared" si="30"/>
        <v>Ô tô tự đổ 12 tấn234</v>
      </c>
      <c r="D1738" s="630"/>
      <c r="E1738" s="630"/>
      <c r="F1738" s="630"/>
      <c r="G1738" s="630"/>
    </row>
    <row r="1739" spans="1:7" ht="18.75" x14ac:dyDescent="0.25">
      <c r="A1739" s="629" t="s">
        <v>3075</v>
      </c>
      <c r="B1739" s="630">
        <v>235</v>
      </c>
      <c r="C1739" s="631" t="str">
        <f t="shared" si="30"/>
        <v>Ô tô tự đổ 12 tấn235</v>
      </c>
      <c r="D1739" s="630"/>
      <c r="E1739" s="630"/>
      <c r="F1739" s="630"/>
      <c r="G1739" s="630"/>
    </row>
    <row r="1740" spans="1:7" ht="18.75" x14ac:dyDescent="0.25">
      <c r="A1740" s="629" t="s">
        <v>3075</v>
      </c>
      <c r="B1740" s="630">
        <v>236</v>
      </c>
      <c r="C1740" s="631" t="str">
        <f t="shared" si="30"/>
        <v>Ô tô tự đổ 12 tấn236</v>
      </c>
      <c r="D1740" s="630"/>
      <c r="E1740" s="630"/>
      <c r="F1740" s="630"/>
      <c r="G1740" s="630"/>
    </row>
    <row r="1741" spans="1:7" ht="18.75" x14ac:dyDescent="0.25">
      <c r="A1741" s="629" t="s">
        <v>3075</v>
      </c>
      <c r="B1741" s="630">
        <v>237</v>
      </c>
      <c r="C1741" s="631" t="str">
        <f t="shared" si="30"/>
        <v>Ô tô tự đổ 12 tấn237</v>
      </c>
      <c r="D1741" s="630"/>
      <c r="E1741" s="630"/>
      <c r="F1741" s="630"/>
      <c r="G1741" s="630"/>
    </row>
    <row r="1742" spans="1:7" ht="18.75" x14ac:dyDescent="0.25">
      <c r="A1742" s="629" t="s">
        <v>3075</v>
      </c>
      <c r="B1742" s="630">
        <v>238</v>
      </c>
      <c r="C1742" s="631" t="str">
        <f t="shared" si="30"/>
        <v>Ô tô tự đổ 12 tấn238</v>
      </c>
      <c r="D1742" s="630"/>
      <c r="E1742" s="630"/>
      <c r="F1742" s="630"/>
      <c r="G1742" s="630"/>
    </row>
    <row r="1743" spans="1:7" ht="18.75" x14ac:dyDescent="0.25">
      <c r="A1743" s="629" t="s">
        <v>3075</v>
      </c>
      <c r="B1743" s="630">
        <v>239</v>
      </c>
      <c r="C1743" s="631" t="str">
        <f t="shared" si="30"/>
        <v>Ô tô tự đổ 12 tấn239</v>
      </c>
      <c r="D1743" s="630"/>
      <c r="E1743" s="630"/>
      <c r="F1743" s="630"/>
      <c r="G1743" s="630"/>
    </row>
    <row r="1744" spans="1:7" ht="18.75" x14ac:dyDescent="0.25">
      <c r="A1744" s="629" t="s">
        <v>3075</v>
      </c>
      <c r="B1744" s="630">
        <v>240</v>
      </c>
      <c r="C1744" s="631" t="str">
        <f t="shared" si="30"/>
        <v>Ô tô tự đổ 12 tấn240</v>
      </c>
      <c r="D1744" s="630"/>
      <c r="E1744" s="630"/>
      <c r="F1744" s="630"/>
      <c r="G1744" s="630"/>
    </row>
    <row r="1745" spans="1:7" ht="18.75" x14ac:dyDescent="0.25">
      <c r="A1745" s="629" t="s">
        <v>3075</v>
      </c>
      <c r="B1745" s="630">
        <v>241</v>
      </c>
      <c r="C1745" s="631" t="str">
        <f t="shared" si="30"/>
        <v>Ô tô tự đổ 12 tấn241</v>
      </c>
      <c r="D1745" s="630"/>
      <c r="E1745" s="630"/>
      <c r="F1745" s="630"/>
      <c r="G1745" s="630"/>
    </row>
    <row r="1746" spans="1:7" ht="18.75" x14ac:dyDescent="0.25">
      <c r="A1746" s="629" t="s">
        <v>3075</v>
      </c>
      <c r="B1746" s="630">
        <v>242</v>
      </c>
      <c r="C1746" s="631" t="str">
        <f t="shared" si="30"/>
        <v>Ô tô tự đổ 12 tấn242</v>
      </c>
      <c r="D1746" s="630"/>
      <c r="E1746" s="630"/>
      <c r="F1746" s="630"/>
      <c r="G1746" s="630"/>
    </row>
    <row r="1747" spans="1:7" ht="18.75" x14ac:dyDescent="0.25">
      <c r="A1747" s="629" t="s">
        <v>3075</v>
      </c>
      <c r="B1747" s="630">
        <v>243</v>
      </c>
      <c r="C1747" s="631" t="str">
        <f t="shared" si="30"/>
        <v>Ô tô tự đổ 12 tấn243</v>
      </c>
      <c r="D1747" s="630"/>
      <c r="E1747" s="630"/>
      <c r="F1747" s="630"/>
      <c r="G1747" s="630"/>
    </row>
    <row r="1748" spans="1:7" ht="18.75" x14ac:dyDescent="0.25">
      <c r="A1748" s="629" t="s">
        <v>3075</v>
      </c>
      <c r="B1748" s="630">
        <v>244</v>
      </c>
      <c r="C1748" s="631" t="str">
        <f t="shared" si="30"/>
        <v>Ô tô tự đổ 12 tấn244</v>
      </c>
      <c r="D1748" s="630"/>
      <c r="E1748" s="630"/>
      <c r="F1748" s="630"/>
      <c r="G1748" s="630"/>
    </row>
    <row r="1749" spans="1:7" ht="18.75" x14ac:dyDescent="0.25">
      <c r="A1749" s="629" t="s">
        <v>3075</v>
      </c>
      <c r="B1749" s="630">
        <v>245</v>
      </c>
      <c r="C1749" s="631" t="str">
        <f t="shared" si="30"/>
        <v>Ô tô tự đổ 12 tấn245</v>
      </c>
      <c r="D1749" s="630"/>
      <c r="E1749" s="630"/>
      <c r="F1749" s="630"/>
      <c r="G1749" s="630"/>
    </row>
    <row r="1750" spans="1:7" ht="18.75" x14ac:dyDescent="0.25">
      <c r="A1750" s="629" t="s">
        <v>3075</v>
      </c>
      <c r="B1750" s="630">
        <v>246</v>
      </c>
      <c r="C1750" s="631" t="str">
        <f t="shared" si="30"/>
        <v>Ô tô tự đổ 12 tấn246</v>
      </c>
      <c r="D1750" s="630"/>
      <c r="E1750" s="630"/>
      <c r="F1750" s="630"/>
      <c r="G1750" s="630"/>
    </row>
    <row r="1751" spans="1:7" ht="18.75" x14ac:dyDescent="0.25">
      <c r="A1751" s="629" t="s">
        <v>3075</v>
      </c>
      <c r="B1751" s="630">
        <v>247</v>
      </c>
      <c r="C1751" s="631" t="str">
        <f t="shared" si="30"/>
        <v>Ô tô tự đổ 12 tấn247</v>
      </c>
      <c r="D1751" s="630"/>
      <c r="E1751" s="630"/>
      <c r="F1751" s="630"/>
      <c r="G1751" s="630"/>
    </row>
    <row r="1752" spans="1:7" ht="18.75" x14ac:dyDescent="0.25">
      <c r="A1752" s="629" t="s">
        <v>3075</v>
      </c>
      <c r="B1752" s="630">
        <v>248</v>
      </c>
      <c r="C1752" s="631" t="str">
        <f t="shared" si="30"/>
        <v>Ô tô tự đổ 12 tấn248</v>
      </c>
      <c r="D1752" s="630"/>
      <c r="E1752" s="630"/>
      <c r="F1752" s="630"/>
      <c r="G1752" s="630"/>
    </row>
    <row r="1753" spans="1:7" ht="18.75" x14ac:dyDescent="0.25">
      <c r="A1753" s="629" t="s">
        <v>3075</v>
      </c>
      <c r="B1753" s="630">
        <v>249</v>
      </c>
      <c r="C1753" s="631" t="str">
        <f t="shared" si="30"/>
        <v>Ô tô tự đổ 12 tấn249</v>
      </c>
      <c r="D1753" s="630"/>
      <c r="E1753" s="630"/>
      <c r="F1753" s="630"/>
      <c r="G1753" s="630"/>
    </row>
    <row r="1754" spans="1:7" ht="18.75" x14ac:dyDescent="0.25">
      <c r="A1754" s="629" t="s">
        <v>3075</v>
      </c>
      <c r="B1754" s="630">
        <v>250</v>
      </c>
      <c r="C1754" s="631" t="str">
        <f t="shared" si="30"/>
        <v>Ô tô tự đổ 12 tấn250</v>
      </c>
      <c r="D1754" s="630"/>
      <c r="E1754" s="630"/>
      <c r="F1754" s="630"/>
      <c r="G1754" s="630"/>
    </row>
    <row r="1755" spans="1:7" ht="18.75" x14ac:dyDescent="0.25">
      <c r="A1755" s="629" t="s">
        <v>3075</v>
      </c>
      <c r="B1755" s="630">
        <v>251</v>
      </c>
      <c r="C1755" s="631" t="str">
        <f t="shared" si="30"/>
        <v>Ô tô tự đổ 12 tấn251</v>
      </c>
      <c r="D1755" s="630"/>
      <c r="E1755" s="630"/>
      <c r="F1755" s="630"/>
      <c r="G1755" s="630"/>
    </row>
    <row r="1756" spans="1:7" ht="18.75" x14ac:dyDescent="0.25">
      <c r="A1756" s="629" t="s">
        <v>3075</v>
      </c>
      <c r="B1756" s="630">
        <v>252</v>
      </c>
      <c r="C1756" s="631" t="str">
        <f t="shared" si="30"/>
        <v>Ô tô tự đổ 12 tấn252</v>
      </c>
      <c r="D1756" s="630"/>
      <c r="E1756" s="630"/>
      <c r="F1756" s="630"/>
      <c r="G1756" s="630"/>
    </row>
    <row r="1757" spans="1:7" ht="18.75" x14ac:dyDescent="0.25">
      <c r="A1757" s="629" t="s">
        <v>3075</v>
      </c>
      <c r="B1757" s="630">
        <v>253</v>
      </c>
      <c r="C1757" s="631" t="str">
        <f t="shared" si="30"/>
        <v>Ô tô tự đổ 12 tấn253</v>
      </c>
      <c r="D1757" s="630"/>
      <c r="E1757" s="630"/>
      <c r="F1757" s="630"/>
      <c r="G1757" s="630"/>
    </row>
    <row r="1758" spans="1:7" ht="18.75" x14ac:dyDescent="0.25">
      <c r="A1758" s="629" t="s">
        <v>3075</v>
      </c>
      <c r="B1758" s="630">
        <v>254</v>
      </c>
      <c r="C1758" s="631" t="str">
        <f t="shared" si="30"/>
        <v>Ô tô tự đổ 12 tấn254</v>
      </c>
      <c r="D1758" s="630"/>
      <c r="E1758" s="630"/>
      <c r="F1758" s="630"/>
      <c r="G1758" s="630"/>
    </row>
    <row r="1759" spans="1:7" ht="18.75" x14ac:dyDescent="0.25">
      <c r="A1759" s="629" t="s">
        <v>3075</v>
      </c>
      <c r="B1759" s="630">
        <v>255</v>
      </c>
      <c r="C1759" s="631" t="str">
        <f t="shared" si="30"/>
        <v>Ô tô tự đổ 12 tấn255</v>
      </c>
      <c r="D1759" s="630"/>
      <c r="E1759" s="630"/>
      <c r="F1759" s="630"/>
      <c r="G1759" s="630"/>
    </row>
    <row r="1760" spans="1:7" ht="18.75" x14ac:dyDescent="0.25">
      <c r="A1760" s="629" t="s">
        <v>3075</v>
      </c>
      <c r="B1760" s="630">
        <v>256</v>
      </c>
      <c r="C1760" s="631" t="str">
        <f t="shared" si="30"/>
        <v>Ô tô tự đổ 12 tấn256</v>
      </c>
      <c r="D1760" s="630"/>
      <c r="E1760" s="630"/>
      <c r="F1760" s="630"/>
      <c r="G1760" s="630"/>
    </row>
    <row r="1761" spans="1:7" ht="18.75" x14ac:dyDescent="0.25">
      <c r="A1761" s="629" t="s">
        <v>3075</v>
      </c>
      <c r="B1761" s="630">
        <v>257</v>
      </c>
      <c r="C1761" s="631" t="str">
        <f t="shared" si="30"/>
        <v>Ô tô tự đổ 12 tấn257</v>
      </c>
      <c r="D1761" s="630"/>
      <c r="E1761" s="630"/>
      <c r="F1761" s="630"/>
      <c r="G1761" s="630"/>
    </row>
    <row r="1762" spans="1:7" ht="18.75" x14ac:dyDescent="0.25">
      <c r="A1762" s="629" t="s">
        <v>3075</v>
      </c>
      <c r="B1762" s="630">
        <v>258</v>
      </c>
      <c r="C1762" s="631" t="str">
        <f t="shared" ref="C1762:C1825" si="31">A1762&amp;B1762</f>
        <v>Ô tô tự đổ 12 tấn258</v>
      </c>
      <c r="D1762" s="630"/>
      <c r="E1762" s="630"/>
      <c r="F1762" s="630"/>
      <c r="G1762" s="630"/>
    </row>
    <row r="1763" spans="1:7" ht="18.75" x14ac:dyDescent="0.25">
      <c r="A1763" s="629" t="s">
        <v>3075</v>
      </c>
      <c r="B1763" s="630">
        <v>259</v>
      </c>
      <c r="C1763" s="631" t="str">
        <f t="shared" si="31"/>
        <v>Ô tô tự đổ 12 tấn259</v>
      </c>
      <c r="D1763" s="630"/>
      <c r="E1763" s="630"/>
      <c r="F1763" s="630"/>
      <c r="G1763" s="630"/>
    </row>
    <row r="1764" spans="1:7" ht="18.75" x14ac:dyDescent="0.25">
      <c r="A1764" s="629" t="s">
        <v>3075</v>
      </c>
      <c r="B1764" s="630">
        <v>260</v>
      </c>
      <c r="C1764" s="631" t="str">
        <f t="shared" si="31"/>
        <v>Ô tô tự đổ 12 tấn260</v>
      </c>
      <c r="D1764" s="630"/>
      <c r="E1764" s="630"/>
      <c r="F1764" s="630"/>
      <c r="G1764" s="630"/>
    </row>
    <row r="1765" spans="1:7" ht="18.75" x14ac:dyDescent="0.25">
      <c r="A1765" s="629" t="s">
        <v>3075</v>
      </c>
      <c r="B1765" s="630">
        <v>261</v>
      </c>
      <c r="C1765" s="631" t="str">
        <f t="shared" si="31"/>
        <v>Ô tô tự đổ 12 tấn261</v>
      </c>
      <c r="D1765" s="630"/>
      <c r="E1765" s="630"/>
      <c r="F1765" s="630"/>
      <c r="G1765" s="630"/>
    </row>
    <row r="1766" spans="1:7" ht="18.75" x14ac:dyDescent="0.25">
      <c r="A1766" s="629" t="s">
        <v>3075</v>
      </c>
      <c r="B1766" s="630">
        <v>262</v>
      </c>
      <c r="C1766" s="631" t="str">
        <f t="shared" si="31"/>
        <v>Ô tô tự đổ 12 tấn262</v>
      </c>
      <c r="D1766" s="630"/>
      <c r="E1766" s="630"/>
      <c r="F1766" s="630"/>
      <c r="G1766" s="630"/>
    </row>
    <row r="1767" spans="1:7" ht="18.75" x14ac:dyDescent="0.25">
      <c r="A1767" s="629" t="s">
        <v>3075</v>
      </c>
      <c r="B1767" s="630">
        <v>263</v>
      </c>
      <c r="C1767" s="631" t="str">
        <f t="shared" si="31"/>
        <v>Ô tô tự đổ 12 tấn263</v>
      </c>
      <c r="D1767" s="630"/>
      <c r="E1767" s="630"/>
      <c r="F1767" s="630"/>
      <c r="G1767" s="630"/>
    </row>
    <row r="1768" spans="1:7" ht="18.75" x14ac:dyDescent="0.25">
      <c r="A1768" s="629" t="s">
        <v>3075</v>
      </c>
      <c r="B1768" s="630">
        <v>264</v>
      </c>
      <c r="C1768" s="631" t="str">
        <f t="shared" si="31"/>
        <v>Ô tô tự đổ 12 tấn264</v>
      </c>
      <c r="D1768" s="630"/>
      <c r="E1768" s="630"/>
      <c r="F1768" s="630"/>
      <c r="G1768" s="630"/>
    </row>
    <row r="1769" spans="1:7" ht="18.75" x14ac:dyDescent="0.25">
      <c r="A1769" s="629" t="s">
        <v>3075</v>
      </c>
      <c r="B1769" s="630">
        <v>265</v>
      </c>
      <c r="C1769" s="631" t="str">
        <f t="shared" si="31"/>
        <v>Ô tô tự đổ 12 tấn265</v>
      </c>
      <c r="D1769" s="630"/>
      <c r="E1769" s="630"/>
      <c r="F1769" s="630"/>
      <c r="G1769" s="630"/>
    </row>
    <row r="1770" spans="1:7" ht="18.75" x14ac:dyDescent="0.25">
      <c r="A1770" s="629" t="s">
        <v>3075</v>
      </c>
      <c r="B1770" s="630">
        <v>266</v>
      </c>
      <c r="C1770" s="631" t="str">
        <f t="shared" si="31"/>
        <v>Ô tô tự đổ 12 tấn266</v>
      </c>
      <c r="D1770" s="630"/>
      <c r="E1770" s="630"/>
      <c r="F1770" s="630"/>
      <c r="G1770" s="630"/>
    </row>
    <row r="1771" spans="1:7" ht="18.75" x14ac:dyDescent="0.25">
      <c r="A1771" s="629" t="s">
        <v>3075</v>
      </c>
      <c r="B1771" s="630">
        <v>267</v>
      </c>
      <c r="C1771" s="631" t="str">
        <f t="shared" si="31"/>
        <v>Ô tô tự đổ 12 tấn267</v>
      </c>
      <c r="D1771" s="630"/>
      <c r="E1771" s="630"/>
      <c r="F1771" s="630"/>
      <c r="G1771" s="630"/>
    </row>
    <row r="1772" spans="1:7" ht="18.75" x14ac:dyDescent="0.25">
      <c r="A1772" s="629" t="s">
        <v>3075</v>
      </c>
      <c r="B1772" s="630">
        <v>268</v>
      </c>
      <c r="C1772" s="631" t="str">
        <f t="shared" si="31"/>
        <v>Ô tô tự đổ 12 tấn268</v>
      </c>
      <c r="D1772" s="630"/>
      <c r="E1772" s="630"/>
      <c r="F1772" s="630"/>
      <c r="G1772" s="630"/>
    </row>
    <row r="1773" spans="1:7" ht="18.75" x14ac:dyDescent="0.25">
      <c r="A1773" s="629" t="s">
        <v>3075</v>
      </c>
      <c r="B1773" s="630">
        <v>269</v>
      </c>
      <c r="C1773" s="631" t="str">
        <f t="shared" si="31"/>
        <v>Ô tô tự đổ 12 tấn269</v>
      </c>
      <c r="D1773" s="630"/>
      <c r="E1773" s="630"/>
      <c r="F1773" s="630"/>
      <c r="G1773" s="630"/>
    </row>
    <row r="1774" spans="1:7" ht="18.75" x14ac:dyDescent="0.25">
      <c r="A1774" s="629" t="s">
        <v>3075</v>
      </c>
      <c r="B1774" s="630">
        <v>270</v>
      </c>
      <c r="C1774" s="631" t="str">
        <f t="shared" si="31"/>
        <v>Ô tô tự đổ 12 tấn270</v>
      </c>
      <c r="D1774" s="630"/>
      <c r="E1774" s="630"/>
      <c r="F1774" s="630"/>
      <c r="G1774" s="630"/>
    </row>
    <row r="1775" spans="1:7" ht="18.75" x14ac:dyDescent="0.25">
      <c r="A1775" s="629" t="s">
        <v>3075</v>
      </c>
      <c r="B1775" s="630">
        <v>271</v>
      </c>
      <c r="C1775" s="631" t="str">
        <f t="shared" si="31"/>
        <v>Ô tô tự đổ 12 tấn271</v>
      </c>
      <c r="D1775" s="630"/>
      <c r="E1775" s="630"/>
      <c r="F1775" s="630"/>
      <c r="G1775" s="630"/>
    </row>
    <row r="1776" spans="1:7" ht="18.75" x14ac:dyDescent="0.25">
      <c r="A1776" s="629" t="s">
        <v>3075</v>
      </c>
      <c r="B1776" s="630">
        <v>272</v>
      </c>
      <c r="C1776" s="631" t="str">
        <f t="shared" si="31"/>
        <v>Ô tô tự đổ 12 tấn272</v>
      </c>
      <c r="D1776" s="630"/>
      <c r="E1776" s="630"/>
      <c r="F1776" s="630"/>
      <c r="G1776" s="630"/>
    </row>
    <row r="1777" spans="1:7" ht="18.75" x14ac:dyDescent="0.25">
      <c r="A1777" s="629" t="s">
        <v>3075</v>
      </c>
      <c r="B1777" s="630">
        <v>273</v>
      </c>
      <c r="C1777" s="631" t="str">
        <f t="shared" si="31"/>
        <v>Ô tô tự đổ 12 tấn273</v>
      </c>
      <c r="D1777" s="630"/>
      <c r="E1777" s="630"/>
      <c r="F1777" s="630"/>
      <c r="G1777" s="630"/>
    </row>
    <row r="1778" spans="1:7" ht="18.75" x14ac:dyDescent="0.25">
      <c r="A1778" s="629" t="s">
        <v>3075</v>
      </c>
      <c r="B1778" s="630">
        <v>274</v>
      </c>
      <c r="C1778" s="631" t="str">
        <f t="shared" si="31"/>
        <v>Ô tô tự đổ 12 tấn274</v>
      </c>
      <c r="D1778" s="630"/>
      <c r="E1778" s="630"/>
      <c r="F1778" s="630"/>
      <c r="G1778" s="630"/>
    </row>
    <row r="1779" spans="1:7" ht="18.75" x14ac:dyDescent="0.25">
      <c r="A1779" s="629" t="s">
        <v>3075</v>
      </c>
      <c r="B1779" s="630">
        <v>275</v>
      </c>
      <c r="C1779" s="631" t="str">
        <f t="shared" si="31"/>
        <v>Ô tô tự đổ 12 tấn275</v>
      </c>
      <c r="D1779" s="630"/>
      <c r="E1779" s="630"/>
      <c r="F1779" s="630"/>
      <c r="G1779" s="630"/>
    </row>
    <row r="1780" spans="1:7" ht="18.75" x14ac:dyDescent="0.25">
      <c r="A1780" s="629" t="s">
        <v>3075</v>
      </c>
      <c r="B1780" s="630">
        <v>276</v>
      </c>
      <c r="C1780" s="631" t="str">
        <f t="shared" si="31"/>
        <v>Ô tô tự đổ 12 tấn276</v>
      </c>
      <c r="D1780" s="630"/>
      <c r="E1780" s="630"/>
      <c r="F1780" s="630"/>
      <c r="G1780" s="630"/>
    </row>
    <row r="1781" spans="1:7" ht="18.75" x14ac:dyDescent="0.25">
      <c r="A1781" s="629" t="s">
        <v>3075</v>
      </c>
      <c r="B1781" s="630">
        <v>277</v>
      </c>
      <c r="C1781" s="631" t="str">
        <f t="shared" si="31"/>
        <v>Ô tô tự đổ 12 tấn277</v>
      </c>
      <c r="D1781" s="630"/>
      <c r="E1781" s="630"/>
      <c r="F1781" s="630"/>
      <c r="G1781" s="630"/>
    </row>
    <row r="1782" spans="1:7" ht="18.75" x14ac:dyDescent="0.25">
      <c r="A1782" s="629" t="s">
        <v>3075</v>
      </c>
      <c r="B1782" s="630">
        <v>278</v>
      </c>
      <c r="C1782" s="631" t="str">
        <f t="shared" si="31"/>
        <v>Ô tô tự đổ 12 tấn278</v>
      </c>
      <c r="D1782" s="630"/>
      <c r="E1782" s="630"/>
      <c r="F1782" s="630"/>
      <c r="G1782" s="630"/>
    </row>
    <row r="1783" spans="1:7" ht="18.75" x14ac:dyDescent="0.25">
      <c r="A1783" s="629" t="s">
        <v>3075</v>
      </c>
      <c r="B1783" s="630">
        <v>279</v>
      </c>
      <c r="C1783" s="631" t="str">
        <f t="shared" si="31"/>
        <v>Ô tô tự đổ 12 tấn279</v>
      </c>
      <c r="D1783" s="630"/>
      <c r="E1783" s="630"/>
      <c r="F1783" s="630"/>
      <c r="G1783" s="630"/>
    </row>
    <row r="1784" spans="1:7" ht="18.75" x14ac:dyDescent="0.25">
      <c r="A1784" s="629" t="s">
        <v>3075</v>
      </c>
      <c r="B1784" s="630">
        <v>280</v>
      </c>
      <c r="C1784" s="631" t="str">
        <f t="shared" si="31"/>
        <v>Ô tô tự đổ 12 tấn280</v>
      </c>
      <c r="D1784" s="630"/>
      <c r="E1784" s="630"/>
      <c r="F1784" s="630"/>
      <c r="G1784" s="630"/>
    </row>
    <row r="1785" spans="1:7" ht="18.75" x14ac:dyDescent="0.25">
      <c r="A1785" s="629" t="s">
        <v>3075</v>
      </c>
      <c r="B1785" s="630">
        <v>281</v>
      </c>
      <c r="C1785" s="631" t="str">
        <f t="shared" si="31"/>
        <v>Ô tô tự đổ 12 tấn281</v>
      </c>
      <c r="D1785" s="630"/>
      <c r="E1785" s="630"/>
      <c r="F1785" s="630"/>
      <c r="G1785" s="630"/>
    </row>
    <row r="1786" spans="1:7" ht="18.75" x14ac:dyDescent="0.25">
      <c r="A1786" s="629" t="s">
        <v>3075</v>
      </c>
      <c r="B1786" s="630">
        <v>282</v>
      </c>
      <c r="C1786" s="631" t="str">
        <f t="shared" si="31"/>
        <v>Ô tô tự đổ 12 tấn282</v>
      </c>
      <c r="D1786" s="630"/>
      <c r="E1786" s="630"/>
      <c r="F1786" s="630"/>
      <c r="G1786" s="630"/>
    </row>
    <row r="1787" spans="1:7" ht="18.75" x14ac:dyDescent="0.25">
      <c r="A1787" s="629" t="s">
        <v>3075</v>
      </c>
      <c r="B1787" s="630">
        <v>283</v>
      </c>
      <c r="C1787" s="631" t="str">
        <f t="shared" si="31"/>
        <v>Ô tô tự đổ 12 tấn283</v>
      </c>
      <c r="D1787" s="630"/>
      <c r="E1787" s="630"/>
      <c r="F1787" s="630"/>
      <c r="G1787" s="630"/>
    </row>
    <row r="1788" spans="1:7" ht="18.75" x14ac:dyDescent="0.25">
      <c r="A1788" s="629" t="s">
        <v>3075</v>
      </c>
      <c r="B1788" s="630">
        <v>284</v>
      </c>
      <c r="C1788" s="631" t="str">
        <f t="shared" si="31"/>
        <v>Ô tô tự đổ 12 tấn284</v>
      </c>
      <c r="D1788" s="630"/>
      <c r="E1788" s="630"/>
      <c r="F1788" s="630"/>
      <c r="G1788" s="630"/>
    </row>
    <row r="1789" spans="1:7" ht="18.75" x14ac:dyDescent="0.25">
      <c r="A1789" s="629" t="s">
        <v>3075</v>
      </c>
      <c r="B1789" s="630">
        <v>285</v>
      </c>
      <c r="C1789" s="631" t="str">
        <f t="shared" si="31"/>
        <v>Ô tô tự đổ 12 tấn285</v>
      </c>
      <c r="D1789" s="630"/>
      <c r="E1789" s="630"/>
      <c r="F1789" s="630"/>
      <c r="G1789" s="630"/>
    </row>
    <row r="1790" spans="1:7" ht="18.75" x14ac:dyDescent="0.25">
      <c r="A1790" s="629" t="s">
        <v>3075</v>
      </c>
      <c r="B1790" s="630">
        <v>286</v>
      </c>
      <c r="C1790" s="631" t="str">
        <f t="shared" si="31"/>
        <v>Ô tô tự đổ 12 tấn286</v>
      </c>
      <c r="D1790" s="630"/>
      <c r="E1790" s="630"/>
      <c r="F1790" s="630"/>
      <c r="G1790" s="630"/>
    </row>
    <row r="1791" spans="1:7" ht="18.75" x14ac:dyDescent="0.25">
      <c r="A1791" s="629" t="s">
        <v>3075</v>
      </c>
      <c r="B1791" s="630">
        <v>287</v>
      </c>
      <c r="C1791" s="631" t="str">
        <f t="shared" si="31"/>
        <v>Ô tô tự đổ 12 tấn287</v>
      </c>
      <c r="D1791" s="630"/>
      <c r="E1791" s="630"/>
      <c r="F1791" s="630"/>
      <c r="G1791" s="630"/>
    </row>
    <row r="1792" spans="1:7" ht="18.75" x14ac:dyDescent="0.25">
      <c r="A1792" s="629" t="s">
        <v>3075</v>
      </c>
      <c r="B1792" s="630">
        <v>288</v>
      </c>
      <c r="C1792" s="631" t="str">
        <f t="shared" si="31"/>
        <v>Ô tô tự đổ 12 tấn288</v>
      </c>
      <c r="D1792" s="630"/>
      <c r="E1792" s="630"/>
      <c r="F1792" s="630"/>
      <c r="G1792" s="630"/>
    </row>
    <row r="1793" spans="1:7" ht="18.75" x14ac:dyDescent="0.25">
      <c r="A1793" s="629" t="s">
        <v>3075</v>
      </c>
      <c r="B1793" s="630">
        <v>289</v>
      </c>
      <c r="C1793" s="631" t="str">
        <f t="shared" si="31"/>
        <v>Ô tô tự đổ 12 tấn289</v>
      </c>
      <c r="D1793" s="630"/>
      <c r="E1793" s="630"/>
      <c r="F1793" s="630"/>
      <c r="G1793" s="630"/>
    </row>
    <row r="1794" spans="1:7" ht="18.75" x14ac:dyDescent="0.25">
      <c r="A1794" s="629" t="s">
        <v>3075</v>
      </c>
      <c r="B1794" s="630">
        <v>290</v>
      </c>
      <c r="C1794" s="631" t="str">
        <f t="shared" si="31"/>
        <v>Ô tô tự đổ 12 tấn290</v>
      </c>
      <c r="D1794" s="630"/>
      <c r="E1794" s="630"/>
      <c r="F1794" s="630"/>
      <c r="G1794" s="630"/>
    </row>
    <row r="1795" spans="1:7" ht="18.75" x14ac:dyDescent="0.25">
      <c r="A1795" s="629" t="s">
        <v>3075</v>
      </c>
      <c r="B1795" s="630">
        <v>291</v>
      </c>
      <c r="C1795" s="631" t="str">
        <f t="shared" si="31"/>
        <v>Ô tô tự đổ 12 tấn291</v>
      </c>
      <c r="D1795" s="630"/>
      <c r="E1795" s="630"/>
      <c r="F1795" s="630"/>
      <c r="G1795" s="630"/>
    </row>
    <row r="1796" spans="1:7" ht="18.75" x14ac:dyDescent="0.25">
      <c r="A1796" s="629" t="s">
        <v>3075</v>
      </c>
      <c r="B1796" s="630">
        <v>292</v>
      </c>
      <c r="C1796" s="631" t="str">
        <f t="shared" si="31"/>
        <v>Ô tô tự đổ 12 tấn292</v>
      </c>
      <c r="D1796" s="630"/>
      <c r="E1796" s="630"/>
      <c r="F1796" s="630"/>
      <c r="G1796" s="630"/>
    </row>
    <row r="1797" spans="1:7" ht="18.75" x14ac:dyDescent="0.25">
      <c r="A1797" s="629" t="s">
        <v>3075</v>
      </c>
      <c r="B1797" s="630">
        <v>293</v>
      </c>
      <c r="C1797" s="631" t="str">
        <f t="shared" si="31"/>
        <v>Ô tô tự đổ 12 tấn293</v>
      </c>
      <c r="D1797" s="630"/>
      <c r="E1797" s="630"/>
      <c r="F1797" s="630"/>
      <c r="G1797" s="630"/>
    </row>
    <row r="1798" spans="1:7" ht="18.75" x14ac:dyDescent="0.25">
      <c r="A1798" s="629" t="s">
        <v>3075</v>
      </c>
      <c r="B1798" s="630">
        <v>294</v>
      </c>
      <c r="C1798" s="631" t="str">
        <f t="shared" si="31"/>
        <v>Ô tô tự đổ 12 tấn294</v>
      </c>
      <c r="D1798" s="630"/>
      <c r="E1798" s="630"/>
      <c r="F1798" s="630"/>
      <c r="G1798" s="630"/>
    </row>
    <row r="1799" spans="1:7" ht="18.75" x14ac:dyDescent="0.25">
      <c r="A1799" s="629" t="s">
        <v>3075</v>
      </c>
      <c r="B1799" s="630">
        <v>295</v>
      </c>
      <c r="C1799" s="631" t="str">
        <f t="shared" si="31"/>
        <v>Ô tô tự đổ 12 tấn295</v>
      </c>
      <c r="D1799" s="630"/>
      <c r="E1799" s="630"/>
      <c r="F1799" s="630"/>
      <c r="G1799" s="630"/>
    </row>
    <row r="1800" spans="1:7" ht="18.75" x14ac:dyDescent="0.25">
      <c r="A1800" s="629" t="s">
        <v>3075</v>
      </c>
      <c r="B1800" s="630">
        <v>296</v>
      </c>
      <c r="C1800" s="631" t="str">
        <f t="shared" si="31"/>
        <v>Ô tô tự đổ 12 tấn296</v>
      </c>
      <c r="D1800" s="630"/>
      <c r="E1800" s="630"/>
      <c r="F1800" s="630"/>
      <c r="G1800" s="630"/>
    </row>
    <row r="1801" spans="1:7" ht="18.75" x14ac:dyDescent="0.25">
      <c r="A1801" s="629" t="s">
        <v>3075</v>
      </c>
      <c r="B1801" s="630">
        <v>297</v>
      </c>
      <c r="C1801" s="631" t="str">
        <f t="shared" si="31"/>
        <v>Ô tô tự đổ 12 tấn297</v>
      </c>
      <c r="D1801" s="630"/>
      <c r="E1801" s="630"/>
      <c r="F1801" s="630"/>
      <c r="G1801" s="630"/>
    </row>
    <row r="1802" spans="1:7" ht="18.75" x14ac:dyDescent="0.25">
      <c r="A1802" s="629" t="s">
        <v>3075</v>
      </c>
      <c r="B1802" s="630">
        <v>298</v>
      </c>
      <c r="C1802" s="631" t="str">
        <f t="shared" si="31"/>
        <v>Ô tô tự đổ 12 tấn298</v>
      </c>
      <c r="D1802" s="630"/>
      <c r="E1802" s="630"/>
      <c r="F1802" s="630"/>
      <c r="G1802" s="630"/>
    </row>
    <row r="1803" spans="1:7" ht="18.75" x14ac:dyDescent="0.25">
      <c r="A1803" s="629" t="s">
        <v>3075</v>
      </c>
      <c r="B1803" s="630">
        <v>299</v>
      </c>
      <c r="C1803" s="631" t="str">
        <f t="shared" si="31"/>
        <v>Ô tô tự đổ 12 tấn299</v>
      </c>
      <c r="D1803" s="630"/>
      <c r="E1803" s="630"/>
      <c r="F1803" s="630"/>
      <c r="G1803" s="630"/>
    </row>
    <row r="1804" spans="1:7" ht="18.75" x14ac:dyDescent="0.25">
      <c r="A1804" s="629" t="s">
        <v>3075</v>
      </c>
      <c r="B1804" s="630">
        <v>300</v>
      </c>
      <c r="C1804" s="631" t="str">
        <f t="shared" si="31"/>
        <v>Ô tô tự đổ 12 tấn300</v>
      </c>
      <c r="D1804" s="630"/>
      <c r="E1804" s="630"/>
      <c r="F1804" s="630"/>
      <c r="G1804" s="630"/>
    </row>
    <row r="1805" spans="1:7" ht="18.75" x14ac:dyDescent="0.25">
      <c r="A1805" s="629" t="s">
        <v>3075</v>
      </c>
      <c r="B1805" s="630">
        <v>301</v>
      </c>
      <c r="C1805" s="631" t="str">
        <f t="shared" si="31"/>
        <v>Ô tô tự đổ 12 tấn301</v>
      </c>
      <c r="D1805" s="630"/>
      <c r="E1805" s="630"/>
      <c r="F1805" s="630"/>
      <c r="G1805" s="630"/>
    </row>
    <row r="1806" spans="1:7" ht="18.75" x14ac:dyDescent="0.25">
      <c r="A1806" s="629" t="s">
        <v>3075</v>
      </c>
      <c r="B1806" s="630">
        <v>302</v>
      </c>
      <c r="C1806" s="631" t="str">
        <f t="shared" si="31"/>
        <v>Ô tô tự đổ 12 tấn302</v>
      </c>
      <c r="D1806" s="630"/>
      <c r="E1806" s="630"/>
      <c r="F1806" s="630"/>
      <c r="G1806" s="630"/>
    </row>
    <row r="1807" spans="1:7" ht="18.75" x14ac:dyDescent="0.25">
      <c r="A1807" s="629" t="s">
        <v>3075</v>
      </c>
      <c r="B1807" s="630">
        <v>303</v>
      </c>
      <c r="C1807" s="631" t="str">
        <f t="shared" si="31"/>
        <v>Ô tô tự đổ 12 tấn303</v>
      </c>
      <c r="D1807" s="630"/>
      <c r="E1807" s="630"/>
      <c r="F1807" s="630"/>
      <c r="G1807" s="630"/>
    </row>
    <row r="1808" spans="1:7" ht="18.75" x14ac:dyDescent="0.25">
      <c r="A1808" s="629" t="s">
        <v>3075</v>
      </c>
      <c r="B1808" s="630">
        <v>304</v>
      </c>
      <c r="C1808" s="631" t="str">
        <f t="shared" si="31"/>
        <v>Ô tô tự đổ 12 tấn304</v>
      </c>
      <c r="D1808" s="630"/>
      <c r="E1808" s="630"/>
      <c r="F1808" s="630"/>
      <c r="G1808" s="630"/>
    </row>
    <row r="1809" spans="1:7" ht="18.75" x14ac:dyDescent="0.25">
      <c r="A1809" s="629" t="s">
        <v>3075</v>
      </c>
      <c r="B1809" s="630">
        <v>305</v>
      </c>
      <c r="C1809" s="631" t="str">
        <f t="shared" si="31"/>
        <v>Ô tô tự đổ 12 tấn305</v>
      </c>
      <c r="D1809" s="630"/>
      <c r="E1809" s="630"/>
      <c r="F1809" s="630"/>
      <c r="G1809" s="630"/>
    </row>
    <row r="1810" spans="1:7" ht="18.75" x14ac:dyDescent="0.25">
      <c r="A1810" s="629" t="s">
        <v>3075</v>
      </c>
      <c r="B1810" s="630">
        <v>306</v>
      </c>
      <c r="C1810" s="631" t="str">
        <f t="shared" si="31"/>
        <v>Ô tô tự đổ 12 tấn306</v>
      </c>
      <c r="D1810" s="630"/>
      <c r="E1810" s="630"/>
      <c r="F1810" s="630"/>
      <c r="G1810" s="630"/>
    </row>
    <row r="1811" spans="1:7" ht="18.75" x14ac:dyDescent="0.25">
      <c r="A1811" s="629" t="s">
        <v>3075</v>
      </c>
      <c r="B1811" s="630">
        <v>307</v>
      </c>
      <c r="C1811" s="631" t="str">
        <f t="shared" si="31"/>
        <v>Ô tô tự đổ 12 tấn307</v>
      </c>
      <c r="D1811" s="630"/>
      <c r="E1811" s="630"/>
      <c r="F1811" s="630"/>
      <c r="G1811" s="630"/>
    </row>
    <row r="1812" spans="1:7" ht="18.75" x14ac:dyDescent="0.25">
      <c r="A1812" s="629" t="s">
        <v>3075</v>
      </c>
      <c r="B1812" s="630">
        <v>308</v>
      </c>
      <c r="C1812" s="631" t="str">
        <f t="shared" si="31"/>
        <v>Ô tô tự đổ 12 tấn308</v>
      </c>
      <c r="D1812" s="630"/>
      <c r="E1812" s="630"/>
      <c r="F1812" s="630"/>
      <c r="G1812" s="630"/>
    </row>
    <row r="1813" spans="1:7" ht="18.75" x14ac:dyDescent="0.25">
      <c r="A1813" s="629" t="s">
        <v>3075</v>
      </c>
      <c r="B1813" s="630">
        <v>309</v>
      </c>
      <c r="C1813" s="631" t="str">
        <f t="shared" si="31"/>
        <v>Ô tô tự đổ 12 tấn309</v>
      </c>
      <c r="D1813" s="630"/>
      <c r="E1813" s="630"/>
      <c r="F1813" s="630"/>
      <c r="G1813" s="630"/>
    </row>
    <row r="1814" spans="1:7" ht="18.75" x14ac:dyDescent="0.25">
      <c r="A1814" s="629" t="s">
        <v>3075</v>
      </c>
      <c r="B1814" s="630">
        <v>310</v>
      </c>
      <c r="C1814" s="631" t="str">
        <f t="shared" si="31"/>
        <v>Ô tô tự đổ 12 tấn310</v>
      </c>
      <c r="D1814" s="630"/>
      <c r="E1814" s="630"/>
      <c r="F1814" s="630"/>
      <c r="G1814" s="630"/>
    </row>
    <row r="1815" spans="1:7" ht="18.75" x14ac:dyDescent="0.25">
      <c r="A1815" s="629" t="s">
        <v>3075</v>
      </c>
      <c r="B1815" s="630">
        <v>311</v>
      </c>
      <c r="C1815" s="631" t="str">
        <f t="shared" si="31"/>
        <v>Ô tô tự đổ 12 tấn311</v>
      </c>
      <c r="D1815" s="630"/>
      <c r="E1815" s="630"/>
      <c r="F1815" s="630"/>
      <c r="G1815" s="630"/>
    </row>
    <row r="1816" spans="1:7" ht="18.75" x14ac:dyDescent="0.25">
      <c r="A1816" s="629" t="s">
        <v>3075</v>
      </c>
      <c r="B1816" s="630">
        <v>312</v>
      </c>
      <c r="C1816" s="631" t="str">
        <f t="shared" si="31"/>
        <v>Ô tô tự đổ 12 tấn312</v>
      </c>
      <c r="D1816" s="630"/>
      <c r="E1816" s="630"/>
      <c r="F1816" s="630"/>
      <c r="G1816" s="630"/>
    </row>
    <row r="1817" spans="1:7" ht="18.75" x14ac:dyDescent="0.25">
      <c r="A1817" s="629" t="s">
        <v>3075</v>
      </c>
      <c r="B1817" s="630">
        <v>313</v>
      </c>
      <c r="C1817" s="631" t="str">
        <f t="shared" si="31"/>
        <v>Ô tô tự đổ 12 tấn313</v>
      </c>
      <c r="D1817" s="630"/>
      <c r="E1817" s="630"/>
      <c r="F1817" s="630"/>
      <c r="G1817" s="630"/>
    </row>
    <row r="1818" spans="1:7" ht="18.75" x14ac:dyDescent="0.25">
      <c r="A1818" s="629" t="s">
        <v>3075</v>
      </c>
      <c r="B1818" s="630">
        <v>314</v>
      </c>
      <c r="C1818" s="631" t="str">
        <f t="shared" si="31"/>
        <v>Ô tô tự đổ 12 tấn314</v>
      </c>
      <c r="D1818" s="630"/>
      <c r="E1818" s="630"/>
      <c r="F1818" s="630"/>
      <c r="G1818" s="630"/>
    </row>
    <row r="1819" spans="1:7" ht="18.75" x14ac:dyDescent="0.25">
      <c r="A1819" s="629" t="s">
        <v>3075</v>
      </c>
      <c r="B1819" s="630">
        <v>315</v>
      </c>
      <c r="C1819" s="631" t="str">
        <f t="shared" si="31"/>
        <v>Ô tô tự đổ 12 tấn315</v>
      </c>
      <c r="D1819" s="630"/>
      <c r="E1819" s="630"/>
      <c r="F1819" s="630"/>
      <c r="G1819" s="630"/>
    </row>
    <row r="1820" spans="1:7" ht="18.75" x14ac:dyDescent="0.25">
      <c r="A1820" s="629" t="s">
        <v>3075</v>
      </c>
      <c r="B1820" s="630">
        <v>316</v>
      </c>
      <c r="C1820" s="631" t="str">
        <f t="shared" si="31"/>
        <v>Ô tô tự đổ 12 tấn316</v>
      </c>
      <c r="D1820" s="630"/>
      <c r="E1820" s="630"/>
      <c r="F1820" s="630"/>
      <c r="G1820" s="630"/>
    </row>
    <row r="1821" spans="1:7" ht="18.75" x14ac:dyDescent="0.25">
      <c r="A1821" s="629" t="s">
        <v>3075</v>
      </c>
      <c r="B1821" s="630">
        <v>317</v>
      </c>
      <c r="C1821" s="631" t="str">
        <f t="shared" si="31"/>
        <v>Ô tô tự đổ 12 tấn317</v>
      </c>
      <c r="D1821" s="630"/>
      <c r="E1821" s="630"/>
      <c r="F1821" s="630"/>
      <c r="G1821" s="630"/>
    </row>
    <row r="1822" spans="1:7" ht="18.75" x14ac:dyDescent="0.25">
      <c r="A1822" s="629" t="s">
        <v>3075</v>
      </c>
      <c r="B1822" s="630">
        <v>318</v>
      </c>
      <c r="C1822" s="631" t="str">
        <f t="shared" si="31"/>
        <v>Ô tô tự đổ 12 tấn318</v>
      </c>
      <c r="D1822" s="630"/>
      <c r="E1822" s="630"/>
      <c r="F1822" s="630"/>
      <c r="G1822" s="630"/>
    </row>
    <row r="1823" spans="1:7" ht="18.75" x14ac:dyDescent="0.25">
      <c r="A1823" s="629" t="s">
        <v>3075</v>
      </c>
      <c r="B1823" s="630">
        <v>319</v>
      </c>
      <c r="C1823" s="631" t="str">
        <f t="shared" si="31"/>
        <v>Ô tô tự đổ 12 tấn319</v>
      </c>
      <c r="D1823" s="630"/>
      <c r="E1823" s="630"/>
      <c r="F1823" s="630"/>
      <c r="G1823" s="630"/>
    </row>
    <row r="1824" spans="1:7" ht="18.75" x14ac:dyDescent="0.25">
      <c r="A1824" s="629" t="s">
        <v>3075</v>
      </c>
      <c r="B1824" s="630">
        <v>320</v>
      </c>
      <c r="C1824" s="631" t="str">
        <f t="shared" si="31"/>
        <v>Ô tô tự đổ 12 tấn320</v>
      </c>
      <c r="D1824" s="630"/>
      <c r="E1824" s="630"/>
      <c r="F1824" s="630"/>
      <c r="G1824" s="630"/>
    </row>
    <row r="1825" spans="1:7" ht="18.75" x14ac:dyDescent="0.25">
      <c r="A1825" s="629" t="s">
        <v>3075</v>
      </c>
      <c r="B1825" s="630">
        <v>321</v>
      </c>
      <c r="C1825" s="631" t="str">
        <f t="shared" si="31"/>
        <v>Ô tô tự đổ 12 tấn321</v>
      </c>
      <c r="D1825" s="630"/>
      <c r="E1825" s="630"/>
      <c r="F1825" s="630"/>
      <c r="G1825" s="630"/>
    </row>
    <row r="1826" spans="1:7" ht="18.75" x14ac:dyDescent="0.25">
      <c r="A1826" s="629" t="s">
        <v>3075</v>
      </c>
      <c r="B1826" s="630">
        <v>322</v>
      </c>
      <c r="C1826" s="631" t="str">
        <f t="shared" ref="C1826:C1889" si="32">A1826&amp;B1826</f>
        <v>Ô tô tự đổ 12 tấn322</v>
      </c>
      <c r="D1826" s="630"/>
      <c r="E1826" s="630"/>
      <c r="F1826" s="630"/>
      <c r="G1826" s="630"/>
    </row>
    <row r="1827" spans="1:7" ht="18.75" x14ac:dyDescent="0.25">
      <c r="A1827" s="629" t="s">
        <v>3075</v>
      </c>
      <c r="B1827" s="630">
        <v>323</v>
      </c>
      <c r="C1827" s="631" t="str">
        <f t="shared" si="32"/>
        <v>Ô tô tự đổ 12 tấn323</v>
      </c>
      <c r="D1827" s="630"/>
      <c r="E1827" s="630"/>
      <c r="F1827" s="630"/>
      <c r="G1827" s="630"/>
    </row>
    <row r="1828" spans="1:7" ht="18.75" x14ac:dyDescent="0.25">
      <c r="A1828" s="629" t="s">
        <v>3075</v>
      </c>
      <c r="B1828" s="630">
        <v>324</v>
      </c>
      <c r="C1828" s="631" t="str">
        <f t="shared" si="32"/>
        <v>Ô tô tự đổ 12 tấn324</v>
      </c>
      <c r="D1828" s="630"/>
      <c r="E1828" s="630"/>
      <c r="F1828" s="630"/>
      <c r="G1828" s="630"/>
    </row>
    <row r="1829" spans="1:7" ht="18.75" x14ac:dyDescent="0.25">
      <c r="A1829" s="629" t="s">
        <v>3075</v>
      </c>
      <c r="B1829" s="630">
        <v>325</v>
      </c>
      <c r="C1829" s="631" t="str">
        <f t="shared" si="32"/>
        <v>Ô tô tự đổ 12 tấn325</v>
      </c>
      <c r="D1829" s="630"/>
      <c r="E1829" s="630"/>
      <c r="F1829" s="630"/>
      <c r="G1829" s="630"/>
    </row>
    <row r="1830" spans="1:7" ht="18.75" x14ac:dyDescent="0.25">
      <c r="A1830" s="629" t="s">
        <v>3075</v>
      </c>
      <c r="B1830" s="630">
        <v>326</v>
      </c>
      <c r="C1830" s="631" t="str">
        <f t="shared" si="32"/>
        <v>Ô tô tự đổ 12 tấn326</v>
      </c>
      <c r="D1830" s="630"/>
      <c r="E1830" s="630"/>
      <c r="F1830" s="630"/>
      <c r="G1830" s="630"/>
    </row>
    <row r="1831" spans="1:7" ht="18.75" x14ac:dyDescent="0.25">
      <c r="A1831" s="629" t="s">
        <v>3075</v>
      </c>
      <c r="B1831" s="630">
        <v>327</v>
      </c>
      <c r="C1831" s="631" t="str">
        <f t="shared" si="32"/>
        <v>Ô tô tự đổ 12 tấn327</v>
      </c>
      <c r="D1831" s="630"/>
      <c r="E1831" s="630"/>
      <c r="F1831" s="630"/>
      <c r="G1831" s="630"/>
    </row>
    <row r="1832" spans="1:7" ht="18.75" x14ac:dyDescent="0.25">
      <c r="A1832" s="629" t="s">
        <v>3075</v>
      </c>
      <c r="B1832" s="630">
        <v>328</v>
      </c>
      <c r="C1832" s="631" t="str">
        <f t="shared" si="32"/>
        <v>Ô tô tự đổ 12 tấn328</v>
      </c>
      <c r="D1832" s="630"/>
      <c r="E1832" s="630"/>
      <c r="F1832" s="630"/>
      <c r="G1832" s="630"/>
    </row>
    <row r="1833" spans="1:7" ht="18.75" x14ac:dyDescent="0.25">
      <c r="A1833" s="629" t="s">
        <v>3075</v>
      </c>
      <c r="B1833" s="630">
        <v>329</v>
      </c>
      <c r="C1833" s="631" t="str">
        <f t="shared" si="32"/>
        <v>Ô tô tự đổ 12 tấn329</v>
      </c>
      <c r="D1833" s="630"/>
      <c r="E1833" s="630"/>
      <c r="F1833" s="630"/>
      <c r="G1833" s="630"/>
    </row>
    <row r="1834" spans="1:7" ht="18.75" x14ac:dyDescent="0.25">
      <c r="A1834" s="629" t="s">
        <v>3075</v>
      </c>
      <c r="B1834" s="630">
        <v>330</v>
      </c>
      <c r="C1834" s="631" t="str">
        <f t="shared" si="32"/>
        <v>Ô tô tự đổ 12 tấn330</v>
      </c>
      <c r="D1834" s="630"/>
      <c r="E1834" s="630"/>
      <c r="F1834" s="630"/>
      <c r="G1834" s="630"/>
    </row>
    <row r="1835" spans="1:7" ht="18.75" x14ac:dyDescent="0.25">
      <c r="A1835" s="629" t="s">
        <v>3075</v>
      </c>
      <c r="B1835" s="630">
        <v>331</v>
      </c>
      <c r="C1835" s="631" t="str">
        <f t="shared" si="32"/>
        <v>Ô tô tự đổ 12 tấn331</v>
      </c>
      <c r="D1835" s="630"/>
      <c r="E1835" s="630"/>
      <c r="F1835" s="630"/>
      <c r="G1835" s="630"/>
    </row>
    <row r="1836" spans="1:7" ht="18.75" x14ac:dyDescent="0.25">
      <c r="A1836" s="629" t="s">
        <v>3075</v>
      </c>
      <c r="B1836" s="630">
        <v>332</v>
      </c>
      <c r="C1836" s="631" t="str">
        <f t="shared" si="32"/>
        <v>Ô tô tự đổ 12 tấn332</v>
      </c>
      <c r="D1836" s="630"/>
      <c r="E1836" s="630"/>
      <c r="F1836" s="630"/>
      <c r="G1836" s="630"/>
    </row>
    <row r="1837" spans="1:7" ht="18.75" x14ac:dyDescent="0.25">
      <c r="A1837" s="629" t="s">
        <v>3075</v>
      </c>
      <c r="B1837" s="630">
        <v>333</v>
      </c>
      <c r="C1837" s="631" t="str">
        <f t="shared" si="32"/>
        <v>Ô tô tự đổ 12 tấn333</v>
      </c>
      <c r="D1837" s="630"/>
      <c r="E1837" s="630"/>
      <c r="F1837" s="630"/>
      <c r="G1837" s="630"/>
    </row>
    <row r="1838" spans="1:7" ht="18.75" x14ac:dyDescent="0.25">
      <c r="A1838" s="629" t="s">
        <v>3075</v>
      </c>
      <c r="B1838" s="630">
        <v>334</v>
      </c>
      <c r="C1838" s="631" t="str">
        <f t="shared" si="32"/>
        <v>Ô tô tự đổ 12 tấn334</v>
      </c>
      <c r="D1838" s="630"/>
      <c r="E1838" s="630"/>
      <c r="F1838" s="630"/>
      <c r="G1838" s="630"/>
    </row>
    <row r="1839" spans="1:7" ht="18.75" x14ac:dyDescent="0.25">
      <c r="A1839" s="629" t="s">
        <v>3075</v>
      </c>
      <c r="B1839" s="630">
        <v>335</v>
      </c>
      <c r="C1839" s="631" t="str">
        <f t="shared" si="32"/>
        <v>Ô tô tự đổ 12 tấn335</v>
      </c>
      <c r="D1839" s="630"/>
      <c r="E1839" s="630"/>
      <c r="F1839" s="630"/>
      <c r="G1839" s="630"/>
    </row>
    <row r="1840" spans="1:7" ht="18.75" x14ac:dyDescent="0.25">
      <c r="A1840" s="629" t="s">
        <v>3075</v>
      </c>
      <c r="B1840" s="630">
        <v>336</v>
      </c>
      <c r="C1840" s="631" t="str">
        <f t="shared" si="32"/>
        <v>Ô tô tự đổ 12 tấn336</v>
      </c>
      <c r="D1840" s="630"/>
      <c r="E1840" s="630"/>
      <c r="F1840" s="630"/>
      <c r="G1840" s="630"/>
    </row>
    <row r="1841" spans="1:7" ht="18.75" x14ac:dyDescent="0.25">
      <c r="A1841" s="629" t="s">
        <v>3075</v>
      </c>
      <c r="B1841" s="630">
        <v>337</v>
      </c>
      <c r="C1841" s="631" t="str">
        <f t="shared" si="32"/>
        <v>Ô tô tự đổ 12 tấn337</v>
      </c>
      <c r="D1841" s="630"/>
      <c r="E1841" s="630"/>
      <c r="F1841" s="630"/>
      <c r="G1841" s="630"/>
    </row>
    <row r="1842" spans="1:7" ht="18.75" x14ac:dyDescent="0.25">
      <c r="A1842" s="629" t="s">
        <v>3075</v>
      </c>
      <c r="B1842" s="630">
        <v>338</v>
      </c>
      <c r="C1842" s="631" t="str">
        <f t="shared" si="32"/>
        <v>Ô tô tự đổ 12 tấn338</v>
      </c>
      <c r="D1842" s="630"/>
      <c r="E1842" s="630"/>
      <c r="F1842" s="630"/>
      <c r="G1842" s="630"/>
    </row>
    <row r="1843" spans="1:7" ht="18.75" x14ac:dyDescent="0.25">
      <c r="A1843" s="629" t="s">
        <v>3075</v>
      </c>
      <c r="B1843" s="630">
        <v>339</v>
      </c>
      <c r="C1843" s="631" t="str">
        <f t="shared" si="32"/>
        <v>Ô tô tự đổ 12 tấn339</v>
      </c>
      <c r="D1843" s="630"/>
      <c r="E1843" s="630"/>
      <c r="F1843" s="630"/>
      <c r="G1843" s="630"/>
    </row>
    <row r="1844" spans="1:7" ht="18.75" x14ac:dyDescent="0.25">
      <c r="A1844" s="629" t="s">
        <v>3075</v>
      </c>
      <c r="B1844" s="630">
        <v>340</v>
      </c>
      <c r="C1844" s="631" t="str">
        <f t="shared" si="32"/>
        <v>Ô tô tự đổ 12 tấn340</v>
      </c>
      <c r="D1844" s="630"/>
      <c r="E1844" s="630"/>
      <c r="F1844" s="630"/>
      <c r="G1844" s="630"/>
    </row>
    <row r="1845" spans="1:7" ht="18.75" x14ac:dyDescent="0.25">
      <c r="A1845" s="629" t="s">
        <v>3075</v>
      </c>
      <c r="B1845" s="630">
        <v>341</v>
      </c>
      <c r="C1845" s="631" t="str">
        <f t="shared" si="32"/>
        <v>Ô tô tự đổ 12 tấn341</v>
      </c>
      <c r="D1845" s="630"/>
      <c r="E1845" s="630"/>
      <c r="F1845" s="630"/>
      <c r="G1845" s="630"/>
    </row>
    <row r="1846" spans="1:7" ht="18.75" x14ac:dyDescent="0.25">
      <c r="A1846" s="629" t="s">
        <v>3075</v>
      </c>
      <c r="B1846" s="630">
        <v>342</v>
      </c>
      <c r="C1846" s="631" t="str">
        <f t="shared" si="32"/>
        <v>Ô tô tự đổ 12 tấn342</v>
      </c>
      <c r="D1846" s="630"/>
      <c r="E1846" s="630"/>
      <c r="F1846" s="630"/>
      <c r="G1846" s="630"/>
    </row>
    <row r="1847" spans="1:7" ht="18.75" x14ac:dyDescent="0.25">
      <c r="A1847" s="629" t="s">
        <v>3075</v>
      </c>
      <c r="B1847" s="630">
        <v>343</v>
      </c>
      <c r="C1847" s="631" t="str">
        <f t="shared" si="32"/>
        <v>Ô tô tự đổ 12 tấn343</v>
      </c>
      <c r="D1847" s="630"/>
      <c r="E1847" s="630"/>
      <c r="F1847" s="630"/>
      <c r="G1847" s="630"/>
    </row>
    <row r="1848" spans="1:7" ht="18.75" x14ac:dyDescent="0.25">
      <c r="A1848" s="629" t="s">
        <v>3075</v>
      </c>
      <c r="B1848" s="630">
        <v>344</v>
      </c>
      <c r="C1848" s="631" t="str">
        <f t="shared" si="32"/>
        <v>Ô tô tự đổ 12 tấn344</v>
      </c>
      <c r="D1848" s="630"/>
      <c r="E1848" s="630"/>
      <c r="F1848" s="630"/>
      <c r="G1848" s="630"/>
    </row>
    <row r="1849" spans="1:7" ht="18.75" x14ac:dyDescent="0.25">
      <c r="A1849" s="629" t="s">
        <v>3075</v>
      </c>
      <c r="B1849" s="630">
        <v>345</v>
      </c>
      <c r="C1849" s="631" t="str">
        <f t="shared" si="32"/>
        <v>Ô tô tự đổ 12 tấn345</v>
      </c>
      <c r="D1849" s="630"/>
      <c r="E1849" s="630"/>
      <c r="F1849" s="630"/>
      <c r="G1849" s="630"/>
    </row>
    <row r="1850" spans="1:7" ht="18.75" x14ac:dyDescent="0.25">
      <c r="A1850" s="629" t="s">
        <v>3075</v>
      </c>
      <c r="B1850" s="630">
        <v>346</v>
      </c>
      <c r="C1850" s="631" t="str">
        <f t="shared" si="32"/>
        <v>Ô tô tự đổ 12 tấn346</v>
      </c>
      <c r="D1850" s="630"/>
      <c r="E1850" s="630"/>
      <c r="F1850" s="630"/>
      <c r="G1850" s="630"/>
    </row>
    <row r="1851" spans="1:7" ht="18.75" x14ac:dyDescent="0.25">
      <c r="A1851" s="629" t="s">
        <v>3075</v>
      </c>
      <c r="B1851" s="630">
        <v>347</v>
      </c>
      <c r="C1851" s="631" t="str">
        <f t="shared" si="32"/>
        <v>Ô tô tự đổ 12 tấn347</v>
      </c>
      <c r="D1851" s="630"/>
      <c r="E1851" s="630"/>
      <c r="F1851" s="630"/>
      <c r="G1851" s="630"/>
    </row>
    <row r="1852" spans="1:7" ht="18.75" x14ac:dyDescent="0.25">
      <c r="A1852" s="629" t="s">
        <v>3075</v>
      </c>
      <c r="B1852" s="630">
        <v>348</v>
      </c>
      <c r="C1852" s="631" t="str">
        <f t="shared" si="32"/>
        <v>Ô tô tự đổ 12 tấn348</v>
      </c>
      <c r="D1852" s="630"/>
      <c r="E1852" s="630"/>
      <c r="F1852" s="630"/>
      <c r="G1852" s="630"/>
    </row>
    <row r="1853" spans="1:7" ht="18.75" x14ac:dyDescent="0.25">
      <c r="A1853" s="629" t="s">
        <v>3075</v>
      </c>
      <c r="B1853" s="630">
        <v>349</v>
      </c>
      <c r="C1853" s="631" t="str">
        <f t="shared" si="32"/>
        <v>Ô tô tự đổ 12 tấn349</v>
      </c>
      <c r="D1853" s="630"/>
      <c r="E1853" s="630"/>
      <c r="F1853" s="630"/>
      <c r="G1853" s="630"/>
    </row>
    <row r="1854" spans="1:7" ht="18.75" x14ac:dyDescent="0.25">
      <c r="A1854" s="629" t="s">
        <v>3075</v>
      </c>
      <c r="B1854" s="630">
        <v>350</v>
      </c>
      <c r="C1854" s="631" t="str">
        <f t="shared" si="32"/>
        <v>Ô tô tự đổ 12 tấn350</v>
      </c>
      <c r="D1854" s="630"/>
      <c r="E1854" s="630"/>
      <c r="F1854" s="630"/>
      <c r="G1854" s="630"/>
    </row>
    <row r="1855" spans="1:7" ht="18.75" x14ac:dyDescent="0.25">
      <c r="A1855" s="629" t="s">
        <v>3075</v>
      </c>
      <c r="B1855" s="630">
        <v>351</v>
      </c>
      <c r="C1855" s="631" t="str">
        <f t="shared" si="32"/>
        <v>Ô tô tự đổ 12 tấn351</v>
      </c>
      <c r="D1855" s="630"/>
      <c r="E1855" s="630"/>
      <c r="F1855" s="630"/>
      <c r="G1855" s="630"/>
    </row>
    <row r="1856" spans="1:7" ht="18.75" x14ac:dyDescent="0.25">
      <c r="A1856" s="629" t="s">
        <v>3075</v>
      </c>
      <c r="B1856" s="630">
        <v>352</v>
      </c>
      <c r="C1856" s="631" t="str">
        <f t="shared" si="32"/>
        <v>Ô tô tự đổ 12 tấn352</v>
      </c>
      <c r="D1856" s="630"/>
      <c r="E1856" s="630"/>
      <c r="F1856" s="630"/>
      <c r="G1856" s="630"/>
    </row>
    <row r="1857" spans="1:7" ht="18.75" x14ac:dyDescent="0.25">
      <c r="A1857" s="629" t="s">
        <v>3075</v>
      </c>
      <c r="B1857" s="630">
        <v>353</v>
      </c>
      <c r="C1857" s="631" t="str">
        <f t="shared" si="32"/>
        <v>Ô tô tự đổ 12 tấn353</v>
      </c>
      <c r="D1857" s="630"/>
      <c r="E1857" s="630"/>
      <c r="F1857" s="630"/>
      <c r="G1857" s="630"/>
    </row>
    <row r="1858" spans="1:7" ht="18.75" x14ac:dyDescent="0.25">
      <c r="A1858" s="629" t="s">
        <v>3075</v>
      </c>
      <c r="B1858" s="630">
        <v>354</v>
      </c>
      <c r="C1858" s="631" t="str">
        <f t="shared" si="32"/>
        <v>Ô tô tự đổ 12 tấn354</v>
      </c>
      <c r="D1858" s="630"/>
      <c r="E1858" s="630"/>
      <c r="F1858" s="630"/>
      <c r="G1858" s="630"/>
    </row>
    <row r="1859" spans="1:7" ht="18.75" x14ac:dyDescent="0.25">
      <c r="A1859" s="629" t="s">
        <v>3075</v>
      </c>
      <c r="B1859" s="630">
        <v>355</v>
      </c>
      <c r="C1859" s="631" t="str">
        <f t="shared" si="32"/>
        <v>Ô tô tự đổ 12 tấn355</v>
      </c>
      <c r="D1859" s="630"/>
      <c r="E1859" s="630"/>
      <c r="F1859" s="630"/>
      <c r="G1859" s="630"/>
    </row>
    <row r="1860" spans="1:7" ht="18.75" x14ac:dyDescent="0.25">
      <c r="A1860" s="629" t="s">
        <v>3075</v>
      </c>
      <c r="B1860" s="630">
        <v>356</v>
      </c>
      <c r="C1860" s="631" t="str">
        <f t="shared" si="32"/>
        <v>Ô tô tự đổ 12 tấn356</v>
      </c>
      <c r="D1860" s="630"/>
      <c r="E1860" s="630"/>
      <c r="F1860" s="630"/>
      <c r="G1860" s="630"/>
    </row>
    <row r="1861" spans="1:7" ht="18.75" x14ac:dyDescent="0.25">
      <c r="A1861" s="629" t="s">
        <v>3075</v>
      </c>
      <c r="B1861" s="630">
        <v>357</v>
      </c>
      <c r="C1861" s="631" t="str">
        <f t="shared" si="32"/>
        <v>Ô tô tự đổ 12 tấn357</v>
      </c>
      <c r="D1861" s="630"/>
      <c r="E1861" s="630"/>
      <c r="F1861" s="630"/>
      <c r="G1861" s="630"/>
    </row>
    <row r="1862" spans="1:7" ht="18.75" x14ac:dyDescent="0.25">
      <c r="A1862" s="629" t="s">
        <v>3075</v>
      </c>
      <c r="B1862" s="630">
        <v>358</v>
      </c>
      <c r="C1862" s="631" t="str">
        <f t="shared" si="32"/>
        <v>Ô tô tự đổ 12 tấn358</v>
      </c>
      <c r="D1862" s="630"/>
      <c r="E1862" s="630"/>
      <c r="F1862" s="630"/>
      <c r="G1862" s="630"/>
    </row>
    <row r="1863" spans="1:7" ht="18.75" x14ac:dyDescent="0.25">
      <c r="A1863" s="629" t="s">
        <v>3075</v>
      </c>
      <c r="B1863" s="630">
        <v>359</v>
      </c>
      <c r="C1863" s="631" t="str">
        <f t="shared" si="32"/>
        <v>Ô tô tự đổ 12 tấn359</v>
      </c>
      <c r="D1863" s="630"/>
      <c r="E1863" s="630"/>
      <c r="F1863" s="630"/>
      <c r="G1863" s="630"/>
    </row>
    <row r="1864" spans="1:7" ht="18.75" x14ac:dyDescent="0.25">
      <c r="A1864" s="629" t="s">
        <v>3075</v>
      </c>
      <c r="B1864" s="630">
        <v>360</v>
      </c>
      <c r="C1864" s="631" t="str">
        <f t="shared" si="32"/>
        <v>Ô tô tự đổ 12 tấn360</v>
      </c>
      <c r="D1864" s="630"/>
      <c r="E1864" s="630"/>
      <c r="F1864" s="630"/>
      <c r="G1864" s="630"/>
    </row>
    <row r="1865" spans="1:7" ht="18.75" x14ac:dyDescent="0.25">
      <c r="A1865" s="629" t="s">
        <v>3075</v>
      </c>
      <c r="B1865" s="630">
        <v>361</v>
      </c>
      <c r="C1865" s="631" t="str">
        <f t="shared" si="32"/>
        <v>Ô tô tự đổ 12 tấn361</v>
      </c>
      <c r="D1865" s="630"/>
      <c r="E1865" s="630"/>
      <c r="F1865" s="630"/>
      <c r="G1865" s="630"/>
    </row>
    <row r="1866" spans="1:7" ht="18.75" x14ac:dyDescent="0.25">
      <c r="A1866" s="629" t="s">
        <v>3075</v>
      </c>
      <c r="B1866" s="630">
        <v>362</v>
      </c>
      <c r="C1866" s="631" t="str">
        <f t="shared" si="32"/>
        <v>Ô tô tự đổ 12 tấn362</v>
      </c>
      <c r="D1866" s="630"/>
      <c r="E1866" s="630"/>
      <c r="F1866" s="630"/>
      <c r="G1866" s="630"/>
    </row>
    <row r="1867" spans="1:7" ht="18.75" x14ac:dyDescent="0.25">
      <c r="A1867" s="629" t="s">
        <v>3075</v>
      </c>
      <c r="B1867" s="630">
        <v>363</v>
      </c>
      <c r="C1867" s="631" t="str">
        <f t="shared" si="32"/>
        <v>Ô tô tự đổ 12 tấn363</v>
      </c>
      <c r="D1867" s="630"/>
      <c r="E1867" s="630"/>
      <c r="F1867" s="630"/>
      <c r="G1867" s="630"/>
    </row>
    <row r="1868" spans="1:7" ht="18.75" x14ac:dyDescent="0.25">
      <c r="A1868" s="629" t="s">
        <v>3075</v>
      </c>
      <c r="B1868" s="630">
        <v>364</v>
      </c>
      <c r="C1868" s="631" t="str">
        <f t="shared" si="32"/>
        <v>Ô tô tự đổ 12 tấn364</v>
      </c>
      <c r="D1868" s="630"/>
      <c r="E1868" s="630"/>
      <c r="F1868" s="630"/>
      <c r="G1868" s="630"/>
    </row>
    <row r="1869" spans="1:7" ht="18.75" x14ac:dyDescent="0.25">
      <c r="A1869" s="629" t="s">
        <v>3075</v>
      </c>
      <c r="B1869" s="630">
        <v>365</v>
      </c>
      <c r="C1869" s="631" t="str">
        <f t="shared" si="32"/>
        <v>Ô tô tự đổ 12 tấn365</v>
      </c>
      <c r="D1869" s="630"/>
      <c r="E1869" s="630"/>
      <c r="F1869" s="630"/>
      <c r="G1869" s="630"/>
    </row>
    <row r="1870" spans="1:7" ht="18.75" x14ac:dyDescent="0.25">
      <c r="A1870" s="629" t="s">
        <v>3075</v>
      </c>
      <c r="B1870" s="630">
        <v>366</v>
      </c>
      <c r="C1870" s="631" t="str">
        <f t="shared" si="32"/>
        <v>Ô tô tự đổ 12 tấn366</v>
      </c>
      <c r="D1870" s="630"/>
      <c r="E1870" s="630"/>
      <c r="F1870" s="630"/>
      <c r="G1870" s="630"/>
    </row>
    <row r="1871" spans="1:7" ht="18.75" x14ac:dyDescent="0.25">
      <c r="A1871" s="629" t="s">
        <v>3075</v>
      </c>
      <c r="B1871" s="630">
        <v>367</v>
      </c>
      <c r="C1871" s="631" t="str">
        <f t="shared" si="32"/>
        <v>Ô tô tự đổ 12 tấn367</v>
      </c>
      <c r="D1871" s="630"/>
      <c r="E1871" s="630"/>
      <c r="F1871" s="630"/>
      <c r="G1871" s="630"/>
    </row>
    <row r="1872" spans="1:7" ht="18.75" x14ac:dyDescent="0.25">
      <c r="A1872" s="629" t="s">
        <v>3075</v>
      </c>
      <c r="B1872" s="630">
        <v>368</v>
      </c>
      <c r="C1872" s="631" t="str">
        <f t="shared" si="32"/>
        <v>Ô tô tự đổ 12 tấn368</v>
      </c>
      <c r="D1872" s="630"/>
      <c r="E1872" s="630"/>
      <c r="F1872" s="630"/>
      <c r="G1872" s="630"/>
    </row>
    <row r="1873" spans="1:7" ht="18.75" x14ac:dyDescent="0.25">
      <c r="A1873" s="629" t="s">
        <v>3075</v>
      </c>
      <c r="B1873" s="630">
        <v>369</v>
      </c>
      <c r="C1873" s="631" t="str">
        <f t="shared" si="32"/>
        <v>Ô tô tự đổ 12 tấn369</v>
      </c>
      <c r="D1873" s="630"/>
      <c r="E1873" s="630"/>
      <c r="F1873" s="630"/>
      <c r="G1873" s="630"/>
    </row>
    <row r="1874" spans="1:7" ht="18.75" x14ac:dyDescent="0.25">
      <c r="A1874" s="629" t="s">
        <v>3075</v>
      </c>
      <c r="B1874" s="630">
        <v>370</v>
      </c>
      <c r="C1874" s="631" t="str">
        <f t="shared" si="32"/>
        <v>Ô tô tự đổ 12 tấn370</v>
      </c>
      <c r="D1874" s="630"/>
      <c r="E1874" s="630"/>
      <c r="F1874" s="630"/>
      <c r="G1874" s="630"/>
    </row>
    <row r="1875" spans="1:7" ht="18.75" x14ac:dyDescent="0.25">
      <c r="A1875" s="629" t="s">
        <v>3075</v>
      </c>
      <c r="B1875" s="630">
        <v>371</v>
      </c>
      <c r="C1875" s="631" t="str">
        <f t="shared" si="32"/>
        <v>Ô tô tự đổ 12 tấn371</v>
      </c>
      <c r="D1875" s="630"/>
      <c r="E1875" s="630"/>
      <c r="F1875" s="630"/>
      <c r="G1875" s="630"/>
    </row>
    <row r="1876" spans="1:7" ht="18.75" x14ac:dyDescent="0.25">
      <c r="A1876" s="629" t="s">
        <v>3075</v>
      </c>
      <c r="B1876" s="630">
        <v>372</v>
      </c>
      <c r="C1876" s="631" t="str">
        <f t="shared" si="32"/>
        <v>Ô tô tự đổ 12 tấn372</v>
      </c>
      <c r="D1876" s="630"/>
      <c r="E1876" s="630"/>
      <c r="F1876" s="630"/>
      <c r="G1876" s="630"/>
    </row>
    <row r="1877" spans="1:7" ht="18.75" x14ac:dyDescent="0.25">
      <c r="A1877" s="629" t="s">
        <v>3075</v>
      </c>
      <c r="B1877" s="630">
        <v>373</v>
      </c>
      <c r="C1877" s="631" t="str">
        <f t="shared" si="32"/>
        <v>Ô tô tự đổ 12 tấn373</v>
      </c>
      <c r="D1877" s="630"/>
      <c r="E1877" s="630"/>
      <c r="F1877" s="630"/>
      <c r="G1877" s="630"/>
    </row>
    <row r="1878" spans="1:7" ht="18.75" x14ac:dyDescent="0.25">
      <c r="A1878" s="629" t="s">
        <v>3075</v>
      </c>
      <c r="B1878" s="630">
        <v>374</v>
      </c>
      <c r="C1878" s="631" t="str">
        <f t="shared" si="32"/>
        <v>Ô tô tự đổ 12 tấn374</v>
      </c>
      <c r="D1878" s="630"/>
      <c r="E1878" s="630"/>
      <c r="F1878" s="630"/>
      <c r="G1878" s="630"/>
    </row>
    <row r="1879" spans="1:7" ht="18.75" x14ac:dyDescent="0.25">
      <c r="A1879" s="629" t="s">
        <v>3075</v>
      </c>
      <c r="B1879" s="630">
        <v>375</v>
      </c>
      <c r="C1879" s="631" t="str">
        <f t="shared" si="32"/>
        <v>Ô tô tự đổ 12 tấn375</v>
      </c>
      <c r="D1879" s="630"/>
      <c r="E1879" s="630"/>
      <c r="F1879" s="630"/>
      <c r="G1879" s="630"/>
    </row>
    <row r="1880" spans="1:7" ht="18.75" x14ac:dyDescent="0.25">
      <c r="A1880" s="629" t="s">
        <v>3075</v>
      </c>
      <c r="B1880" s="630">
        <v>376</v>
      </c>
      <c r="C1880" s="631" t="str">
        <f t="shared" si="32"/>
        <v>Ô tô tự đổ 12 tấn376</v>
      </c>
      <c r="D1880" s="630"/>
      <c r="E1880" s="630"/>
      <c r="F1880" s="630"/>
      <c r="G1880" s="630"/>
    </row>
    <row r="1881" spans="1:7" ht="18.75" x14ac:dyDescent="0.25">
      <c r="A1881" s="629" t="s">
        <v>3075</v>
      </c>
      <c r="B1881" s="630">
        <v>377</v>
      </c>
      <c r="C1881" s="631" t="str">
        <f t="shared" si="32"/>
        <v>Ô tô tự đổ 12 tấn377</v>
      </c>
      <c r="D1881" s="630"/>
      <c r="E1881" s="630"/>
      <c r="F1881" s="630"/>
      <c r="G1881" s="630"/>
    </row>
    <row r="1882" spans="1:7" ht="18.75" x14ac:dyDescent="0.25">
      <c r="A1882" s="629" t="s">
        <v>3075</v>
      </c>
      <c r="B1882" s="630">
        <v>378</v>
      </c>
      <c r="C1882" s="631" t="str">
        <f t="shared" si="32"/>
        <v>Ô tô tự đổ 12 tấn378</v>
      </c>
      <c r="D1882" s="630"/>
      <c r="E1882" s="630"/>
      <c r="F1882" s="630"/>
      <c r="G1882" s="630"/>
    </row>
    <row r="1883" spans="1:7" ht="18.75" x14ac:dyDescent="0.25">
      <c r="A1883" s="629" t="s">
        <v>3075</v>
      </c>
      <c r="B1883" s="630">
        <v>379</v>
      </c>
      <c r="C1883" s="631" t="str">
        <f t="shared" si="32"/>
        <v>Ô tô tự đổ 12 tấn379</v>
      </c>
      <c r="D1883" s="630"/>
      <c r="E1883" s="630"/>
      <c r="F1883" s="630"/>
      <c r="G1883" s="630"/>
    </row>
    <row r="1884" spans="1:7" ht="18.75" x14ac:dyDescent="0.25">
      <c r="A1884" s="629" t="s">
        <v>3075</v>
      </c>
      <c r="B1884" s="630">
        <v>380</v>
      </c>
      <c r="C1884" s="631" t="str">
        <f t="shared" si="32"/>
        <v>Ô tô tự đổ 12 tấn380</v>
      </c>
      <c r="D1884" s="630"/>
      <c r="E1884" s="630"/>
      <c r="F1884" s="630"/>
      <c r="G1884" s="630"/>
    </row>
    <row r="1885" spans="1:7" ht="18.75" x14ac:dyDescent="0.25">
      <c r="A1885" s="629" t="s">
        <v>3075</v>
      </c>
      <c r="B1885" s="630">
        <v>381</v>
      </c>
      <c r="C1885" s="631" t="str">
        <f t="shared" si="32"/>
        <v>Ô tô tự đổ 12 tấn381</v>
      </c>
      <c r="D1885" s="630"/>
      <c r="E1885" s="630"/>
      <c r="F1885" s="630"/>
      <c r="G1885" s="630"/>
    </row>
    <row r="1886" spans="1:7" ht="18.75" x14ac:dyDescent="0.25">
      <c r="A1886" s="629" t="s">
        <v>3075</v>
      </c>
      <c r="B1886" s="630">
        <v>382</v>
      </c>
      <c r="C1886" s="631" t="str">
        <f t="shared" si="32"/>
        <v>Ô tô tự đổ 12 tấn382</v>
      </c>
      <c r="D1886" s="630"/>
      <c r="E1886" s="630"/>
      <c r="F1886" s="630"/>
      <c r="G1886" s="630"/>
    </row>
    <row r="1887" spans="1:7" ht="18.75" x14ac:dyDescent="0.25">
      <c r="A1887" s="629" t="s">
        <v>3075</v>
      </c>
      <c r="B1887" s="630">
        <v>383</v>
      </c>
      <c r="C1887" s="631" t="str">
        <f t="shared" si="32"/>
        <v>Ô tô tự đổ 12 tấn383</v>
      </c>
      <c r="D1887" s="630"/>
      <c r="E1887" s="630"/>
      <c r="F1887" s="630"/>
      <c r="G1887" s="630"/>
    </row>
    <row r="1888" spans="1:7" ht="18.75" x14ac:dyDescent="0.25">
      <c r="A1888" s="629" t="s">
        <v>3075</v>
      </c>
      <c r="B1888" s="630">
        <v>384</v>
      </c>
      <c r="C1888" s="631" t="str">
        <f t="shared" si="32"/>
        <v>Ô tô tự đổ 12 tấn384</v>
      </c>
      <c r="D1888" s="630"/>
      <c r="E1888" s="630"/>
      <c r="F1888" s="630"/>
      <c r="G1888" s="630"/>
    </row>
    <row r="1889" spans="1:7" ht="18.75" x14ac:dyDescent="0.25">
      <c r="A1889" s="629" t="s">
        <v>3075</v>
      </c>
      <c r="B1889" s="630">
        <v>385</v>
      </c>
      <c r="C1889" s="631" t="str">
        <f t="shared" si="32"/>
        <v>Ô tô tự đổ 12 tấn385</v>
      </c>
      <c r="D1889" s="630"/>
      <c r="E1889" s="630"/>
      <c r="F1889" s="630"/>
      <c r="G1889" s="630"/>
    </row>
    <row r="1890" spans="1:7" ht="18.75" x14ac:dyDescent="0.25">
      <c r="A1890" s="629" t="s">
        <v>3075</v>
      </c>
      <c r="B1890" s="630">
        <v>386</v>
      </c>
      <c r="C1890" s="631" t="str">
        <f t="shared" ref="C1890:C1953" si="33">A1890&amp;B1890</f>
        <v>Ô tô tự đổ 12 tấn386</v>
      </c>
      <c r="D1890" s="630"/>
      <c r="E1890" s="630"/>
      <c r="F1890" s="630"/>
      <c r="G1890" s="630"/>
    </row>
    <row r="1891" spans="1:7" ht="18.75" x14ac:dyDescent="0.25">
      <c r="A1891" s="629" t="s">
        <v>3075</v>
      </c>
      <c r="B1891" s="630">
        <v>387</v>
      </c>
      <c r="C1891" s="631" t="str">
        <f t="shared" si="33"/>
        <v>Ô tô tự đổ 12 tấn387</v>
      </c>
      <c r="D1891" s="630"/>
      <c r="E1891" s="630"/>
      <c r="F1891" s="630"/>
      <c r="G1891" s="630"/>
    </row>
    <row r="1892" spans="1:7" ht="18.75" x14ac:dyDescent="0.25">
      <c r="A1892" s="629" t="s">
        <v>3075</v>
      </c>
      <c r="B1892" s="630">
        <v>388</v>
      </c>
      <c r="C1892" s="631" t="str">
        <f t="shared" si="33"/>
        <v>Ô tô tự đổ 12 tấn388</v>
      </c>
      <c r="D1892" s="630"/>
      <c r="E1892" s="630"/>
      <c r="F1892" s="630"/>
      <c r="G1892" s="630"/>
    </row>
    <row r="1893" spans="1:7" ht="18.75" x14ac:dyDescent="0.25">
      <c r="A1893" s="629" t="s">
        <v>3075</v>
      </c>
      <c r="B1893" s="630">
        <v>389</v>
      </c>
      <c r="C1893" s="631" t="str">
        <f t="shared" si="33"/>
        <v>Ô tô tự đổ 12 tấn389</v>
      </c>
      <c r="D1893" s="630"/>
      <c r="E1893" s="630"/>
      <c r="F1893" s="630"/>
      <c r="G1893" s="630"/>
    </row>
    <row r="1894" spans="1:7" ht="18.75" x14ac:dyDescent="0.25">
      <c r="A1894" s="629" t="s">
        <v>3075</v>
      </c>
      <c r="B1894" s="630">
        <v>390</v>
      </c>
      <c r="C1894" s="631" t="str">
        <f t="shared" si="33"/>
        <v>Ô tô tự đổ 12 tấn390</v>
      </c>
      <c r="D1894" s="630"/>
      <c r="E1894" s="630"/>
      <c r="F1894" s="630"/>
      <c r="G1894" s="630"/>
    </row>
    <row r="1895" spans="1:7" ht="18.75" x14ac:dyDescent="0.25">
      <c r="A1895" s="629" t="s">
        <v>3075</v>
      </c>
      <c r="B1895" s="630">
        <v>391</v>
      </c>
      <c r="C1895" s="631" t="str">
        <f t="shared" si="33"/>
        <v>Ô tô tự đổ 12 tấn391</v>
      </c>
      <c r="D1895" s="630"/>
      <c r="E1895" s="630"/>
      <c r="F1895" s="630"/>
      <c r="G1895" s="630"/>
    </row>
    <row r="1896" spans="1:7" ht="18.75" x14ac:dyDescent="0.25">
      <c r="A1896" s="629" t="s">
        <v>3075</v>
      </c>
      <c r="B1896" s="630">
        <v>392</v>
      </c>
      <c r="C1896" s="631" t="str">
        <f t="shared" si="33"/>
        <v>Ô tô tự đổ 12 tấn392</v>
      </c>
      <c r="D1896" s="630"/>
      <c r="E1896" s="630"/>
      <c r="F1896" s="630"/>
      <c r="G1896" s="630"/>
    </row>
    <row r="1897" spans="1:7" ht="18.75" x14ac:dyDescent="0.25">
      <c r="A1897" s="629" t="s">
        <v>3075</v>
      </c>
      <c r="B1897" s="630">
        <v>393</v>
      </c>
      <c r="C1897" s="631" t="str">
        <f t="shared" si="33"/>
        <v>Ô tô tự đổ 12 tấn393</v>
      </c>
      <c r="D1897" s="630"/>
      <c r="E1897" s="630"/>
      <c r="F1897" s="630"/>
      <c r="G1897" s="630"/>
    </row>
    <row r="1898" spans="1:7" ht="18.75" x14ac:dyDescent="0.25">
      <c r="A1898" s="629" t="s">
        <v>3075</v>
      </c>
      <c r="B1898" s="630">
        <v>394</v>
      </c>
      <c r="C1898" s="631" t="str">
        <f t="shared" si="33"/>
        <v>Ô tô tự đổ 12 tấn394</v>
      </c>
      <c r="D1898" s="630"/>
      <c r="E1898" s="630"/>
      <c r="F1898" s="630"/>
      <c r="G1898" s="630"/>
    </row>
    <row r="1899" spans="1:7" ht="18.75" x14ac:dyDescent="0.25">
      <c r="A1899" s="629" t="s">
        <v>3075</v>
      </c>
      <c r="B1899" s="630">
        <v>395</v>
      </c>
      <c r="C1899" s="631" t="str">
        <f t="shared" si="33"/>
        <v>Ô tô tự đổ 12 tấn395</v>
      </c>
      <c r="D1899" s="630"/>
      <c r="E1899" s="630"/>
      <c r="F1899" s="630"/>
      <c r="G1899" s="630"/>
    </row>
    <row r="1900" spans="1:7" ht="18.75" x14ac:dyDescent="0.25">
      <c r="A1900" s="629" t="s">
        <v>3075</v>
      </c>
      <c r="B1900" s="630">
        <v>396</v>
      </c>
      <c r="C1900" s="631" t="str">
        <f t="shared" si="33"/>
        <v>Ô tô tự đổ 12 tấn396</v>
      </c>
      <c r="D1900" s="630"/>
      <c r="E1900" s="630"/>
      <c r="F1900" s="630"/>
      <c r="G1900" s="630"/>
    </row>
    <row r="1901" spans="1:7" ht="18.75" x14ac:dyDescent="0.25">
      <c r="A1901" s="629" t="s">
        <v>3075</v>
      </c>
      <c r="B1901" s="630">
        <v>397</v>
      </c>
      <c r="C1901" s="631" t="str">
        <f t="shared" si="33"/>
        <v>Ô tô tự đổ 12 tấn397</v>
      </c>
      <c r="D1901" s="630"/>
      <c r="E1901" s="630"/>
      <c r="F1901" s="630"/>
      <c r="G1901" s="630"/>
    </row>
    <row r="1902" spans="1:7" ht="18.75" x14ac:dyDescent="0.25">
      <c r="A1902" s="629" t="s">
        <v>3075</v>
      </c>
      <c r="B1902" s="630">
        <v>398</v>
      </c>
      <c r="C1902" s="631" t="str">
        <f t="shared" si="33"/>
        <v>Ô tô tự đổ 12 tấn398</v>
      </c>
      <c r="D1902" s="630"/>
      <c r="E1902" s="630"/>
      <c r="F1902" s="630"/>
      <c r="G1902" s="630"/>
    </row>
    <row r="1903" spans="1:7" ht="18.75" x14ac:dyDescent="0.25">
      <c r="A1903" s="629" t="s">
        <v>3075</v>
      </c>
      <c r="B1903" s="630">
        <v>399</v>
      </c>
      <c r="C1903" s="631" t="str">
        <f t="shared" si="33"/>
        <v>Ô tô tự đổ 12 tấn399</v>
      </c>
      <c r="D1903" s="630"/>
      <c r="E1903" s="630"/>
      <c r="F1903" s="630"/>
      <c r="G1903" s="630"/>
    </row>
    <row r="1904" spans="1:7" ht="18.75" x14ac:dyDescent="0.25">
      <c r="A1904" s="629" t="s">
        <v>3075</v>
      </c>
      <c r="B1904" s="630">
        <v>400</v>
      </c>
      <c r="C1904" s="631" t="str">
        <f t="shared" si="33"/>
        <v>Ô tô tự đổ 12 tấn400</v>
      </c>
      <c r="D1904" s="630"/>
      <c r="E1904" s="630"/>
      <c r="F1904" s="630"/>
      <c r="G1904" s="630"/>
    </row>
    <row r="1905" spans="1:7" ht="18.75" x14ac:dyDescent="0.25">
      <c r="A1905" s="629" t="s">
        <v>3075</v>
      </c>
      <c r="B1905" s="630">
        <v>401</v>
      </c>
      <c r="C1905" s="631" t="str">
        <f t="shared" si="33"/>
        <v>Ô tô tự đổ 12 tấn401</v>
      </c>
      <c r="D1905" s="630"/>
      <c r="E1905" s="630"/>
      <c r="F1905" s="630"/>
      <c r="G1905" s="630"/>
    </row>
    <row r="1906" spans="1:7" ht="18.75" x14ac:dyDescent="0.25">
      <c r="A1906" s="629" t="s">
        <v>3075</v>
      </c>
      <c r="B1906" s="630">
        <v>402</v>
      </c>
      <c r="C1906" s="631" t="str">
        <f t="shared" si="33"/>
        <v>Ô tô tự đổ 12 tấn402</v>
      </c>
      <c r="D1906" s="630"/>
      <c r="E1906" s="630"/>
      <c r="F1906" s="630"/>
      <c r="G1906" s="630"/>
    </row>
    <row r="1907" spans="1:7" ht="18.75" x14ac:dyDescent="0.25">
      <c r="A1907" s="629" t="s">
        <v>3075</v>
      </c>
      <c r="B1907" s="630">
        <v>403</v>
      </c>
      <c r="C1907" s="631" t="str">
        <f t="shared" si="33"/>
        <v>Ô tô tự đổ 12 tấn403</v>
      </c>
      <c r="D1907" s="630"/>
      <c r="E1907" s="630"/>
      <c r="F1907" s="630"/>
      <c r="G1907" s="630"/>
    </row>
    <row r="1908" spans="1:7" ht="18.75" x14ac:dyDescent="0.25">
      <c r="A1908" s="629" t="s">
        <v>3075</v>
      </c>
      <c r="B1908" s="630">
        <v>404</v>
      </c>
      <c r="C1908" s="631" t="str">
        <f t="shared" si="33"/>
        <v>Ô tô tự đổ 12 tấn404</v>
      </c>
      <c r="D1908" s="630"/>
      <c r="E1908" s="630"/>
      <c r="F1908" s="630"/>
      <c r="G1908" s="630"/>
    </row>
    <row r="1909" spans="1:7" ht="18.75" x14ac:dyDescent="0.25">
      <c r="A1909" s="629" t="s">
        <v>3075</v>
      </c>
      <c r="B1909" s="630">
        <v>405</v>
      </c>
      <c r="C1909" s="631" t="str">
        <f t="shared" si="33"/>
        <v>Ô tô tự đổ 12 tấn405</v>
      </c>
      <c r="D1909" s="630"/>
      <c r="E1909" s="630"/>
      <c r="F1909" s="630"/>
      <c r="G1909" s="630"/>
    </row>
    <row r="1910" spans="1:7" ht="18.75" x14ac:dyDescent="0.25">
      <c r="A1910" s="629" t="s">
        <v>3075</v>
      </c>
      <c r="B1910" s="630">
        <v>406</v>
      </c>
      <c r="C1910" s="631" t="str">
        <f t="shared" si="33"/>
        <v>Ô tô tự đổ 12 tấn406</v>
      </c>
      <c r="D1910" s="630"/>
      <c r="E1910" s="630"/>
      <c r="F1910" s="630"/>
      <c r="G1910" s="630"/>
    </row>
    <row r="1911" spans="1:7" ht="18.75" x14ac:dyDescent="0.25">
      <c r="A1911" s="629" t="s">
        <v>3075</v>
      </c>
      <c r="B1911" s="630">
        <v>407</v>
      </c>
      <c r="C1911" s="631" t="str">
        <f t="shared" si="33"/>
        <v>Ô tô tự đổ 12 tấn407</v>
      </c>
      <c r="D1911" s="630"/>
      <c r="E1911" s="630"/>
      <c r="F1911" s="630"/>
      <c r="G1911" s="630"/>
    </row>
    <row r="1912" spans="1:7" ht="18.75" x14ac:dyDescent="0.25">
      <c r="A1912" s="629" t="s">
        <v>3075</v>
      </c>
      <c r="B1912" s="630">
        <v>408</v>
      </c>
      <c r="C1912" s="631" t="str">
        <f t="shared" si="33"/>
        <v>Ô tô tự đổ 12 tấn408</v>
      </c>
      <c r="D1912" s="630"/>
      <c r="E1912" s="630"/>
      <c r="F1912" s="630"/>
      <c r="G1912" s="630"/>
    </row>
    <row r="1913" spans="1:7" ht="18.75" x14ac:dyDescent="0.25">
      <c r="A1913" s="629" t="s">
        <v>3075</v>
      </c>
      <c r="B1913" s="630">
        <v>409</v>
      </c>
      <c r="C1913" s="631" t="str">
        <f t="shared" si="33"/>
        <v>Ô tô tự đổ 12 tấn409</v>
      </c>
      <c r="D1913" s="630"/>
      <c r="E1913" s="630"/>
      <c r="F1913" s="630"/>
      <c r="G1913" s="630"/>
    </row>
    <row r="1914" spans="1:7" ht="18.75" x14ac:dyDescent="0.25">
      <c r="A1914" s="629" t="s">
        <v>3075</v>
      </c>
      <c r="B1914" s="630">
        <v>410</v>
      </c>
      <c r="C1914" s="631" t="str">
        <f t="shared" si="33"/>
        <v>Ô tô tự đổ 12 tấn410</v>
      </c>
      <c r="D1914" s="630"/>
      <c r="E1914" s="630"/>
      <c r="F1914" s="630"/>
      <c r="G1914" s="630"/>
    </row>
    <row r="1915" spans="1:7" ht="18.75" x14ac:dyDescent="0.25">
      <c r="A1915" s="629" t="s">
        <v>3075</v>
      </c>
      <c r="B1915" s="630">
        <v>411</v>
      </c>
      <c r="C1915" s="631" t="str">
        <f t="shared" si="33"/>
        <v>Ô tô tự đổ 12 tấn411</v>
      </c>
      <c r="D1915" s="630"/>
      <c r="E1915" s="630"/>
      <c r="F1915" s="630"/>
      <c r="G1915" s="630"/>
    </row>
    <row r="1916" spans="1:7" ht="18.75" x14ac:dyDescent="0.25">
      <c r="A1916" s="629" t="s">
        <v>3075</v>
      </c>
      <c r="B1916" s="630">
        <v>412</v>
      </c>
      <c r="C1916" s="631" t="str">
        <f t="shared" si="33"/>
        <v>Ô tô tự đổ 12 tấn412</v>
      </c>
      <c r="D1916" s="630"/>
      <c r="E1916" s="630"/>
      <c r="F1916" s="630"/>
      <c r="G1916" s="630"/>
    </row>
    <row r="1917" spans="1:7" ht="18.75" x14ac:dyDescent="0.25">
      <c r="A1917" s="629" t="s">
        <v>3075</v>
      </c>
      <c r="B1917" s="630">
        <v>413</v>
      </c>
      <c r="C1917" s="631" t="str">
        <f t="shared" si="33"/>
        <v>Ô tô tự đổ 12 tấn413</v>
      </c>
      <c r="D1917" s="630"/>
      <c r="E1917" s="630"/>
      <c r="F1917" s="630"/>
      <c r="G1917" s="630"/>
    </row>
    <row r="1918" spans="1:7" ht="18.75" x14ac:dyDescent="0.25">
      <c r="A1918" s="629" t="s">
        <v>3075</v>
      </c>
      <c r="B1918" s="630">
        <v>414</v>
      </c>
      <c r="C1918" s="631" t="str">
        <f t="shared" si="33"/>
        <v>Ô tô tự đổ 12 tấn414</v>
      </c>
      <c r="D1918" s="630"/>
      <c r="E1918" s="630"/>
      <c r="F1918" s="630"/>
      <c r="G1918" s="630"/>
    </row>
    <row r="1919" spans="1:7" ht="18.75" x14ac:dyDescent="0.25">
      <c r="A1919" s="629" t="s">
        <v>3075</v>
      </c>
      <c r="B1919" s="630">
        <v>415</v>
      </c>
      <c r="C1919" s="631" t="str">
        <f t="shared" si="33"/>
        <v>Ô tô tự đổ 12 tấn415</v>
      </c>
      <c r="D1919" s="630"/>
      <c r="E1919" s="630"/>
      <c r="F1919" s="630"/>
      <c r="G1919" s="630"/>
    </row>
    <row r="1920" spans="1:7" ht="18.75" x14ac:dyDescent="0.25">
      <c r="A1920" s="629" t="s">
        <v>3075</v>
      </c>
      <c r="B1920" s="630">
        <v>416</v>
      </c>
      <c r="C1920" s="631" t="str">
        <f t="shared" si="33"/>
        <v>Ô tô tự đổ 12 tấn416</v>
      </c>
      <c r="D1920" s="630"/>
      <c r="E1920" s="630"/>
      <c r="F1920" s="630"/>
      <c r="G1920" s="630"/>
    </row>
    <row r="1921" spans="1:7" ht="18.75" x14ac:dyDescent="0.25">
      <c r="A1921" s="629" t="s">
        <v>3075</v>
      </c>
      <c r="B1921" s="630">
        <v>417</v>
      </c>
      <c r="C1921" s="631" t="str">
        <f t="shared" si="33"/>
        <v>Ô tô tự đổ 12 tấn417</v>
      </c>
      <c r="D1921" s="630"/>
      <c r="E1921" s="630"/>
      <c r="F1921" s="630"/>
      <c r="G1921" s="630"/>
    </row>
    <row r="1922" spans="1:7" ht="18.75" x14ac:dyDescent="0.25">
      <c r="A1922" s="629" t="s">
        <v>3075</v>
      </c>
      <c r="B1922" s="630">
        <v>418</v>
      </c>
      <c r="C1922" s="631" t="str">
        <f t="shared" si="33"/>
        <v>Ô tô tự đổ 12 tấn418</v>
      </c>
      <c r="D1922" s="630"/>
      <c r="E1922" s="630"/>
      <c r="F1922" s="630"/>
      <c r="G1922" s="630"/>
    </row>
    <row r="1923" spans="1:7" ht="18.75" x14ac:dyDescent="0.25">
      <c r="A1923" s="629" t="s">
        <v>3075</v>
      </c>
      <c r="B1923" s="630">
        <v>419</v>
      </c>
      <c r="C1923" s="631" t="str">
        <f t="shared" si="33"/>
        <v>Ô tô tự đổ 12 tấn419</v>
      </c>
      <c r="D1923" s="630"/>
      <c r="E1923" s="630"/>
      <c r="F1923" s="630"/>
      <c r="G1923" s="630"/>
    </row>
    <row r="1924" spans="1:7" ht="18.75" x14ac:dyDescent="0.25">
      <c r="A1924" s="629" t="s">
        <v>3075</v>
      </c>
      <c r="B1924" s="630">
        <v>420</v>
      </c>
      <c r="C1924" s="631" t="str">
        <f t="shared" si="33"/>
        <v>Ô tô tự đổ 12 tấn420</v>
      </c>
      <c r="D1924" s="630"/>
      <c r="E1924" s="630"/>
      <c r="F1924" s="630"/>
      <c r="G1924" s="630"/>
    </row>
    <row r="1925" spans="1:7" ht="18.75" x14ac:dyDescent="0.25">
      <c r="A1925" s="629" t="s">
        <v>3075</v>
      </c>
      <c r="B1925" s="630">
        <v>421</v>
      </c>
      <c r="C1925" s="631" t="str">
        <f t="shared" si="33"/>
        <v>Ô tô tự đổ 12 tấn421</v>
      </c>
      <c r="D1925" s="630"/>
      <c r="E1925" s="630"/>
      <c r="F1925" s="630"/>
      <c r="G1925" s="630"/>
    </row>
    <row r="1926" spans="1:7" ht="18.75" x14ac:dyDescent="0.25">
      <c r="A1926" s="629" t="s">
        <v>3075</v>
      </c>
      <c r="B1926" s="630">
        <v>422</v>
      </c>
      <c r="C1926" s="631" t="str">
        <f t="shared" si="33"/>
        <v>Ô tô tự đổ 12 tấn422</v>
      </c>
      <c r="D1926" s="630"/>
      <c r="E1926" s="630"/>
      <c r="F1926" s="630"/>
      <c r="G1926" s="630"/>
    </row>
    <row r="1927" spans="1:7" ht="18.75" x14ac:dyDescent="0.25">
      <c r="A1927" s="629" t="s">
        <v>3075</v>
      </c>
      <c r="B1927" s="630">
        <v>423</v>
      </c>
      <c r="C1927" s="631" t="str">
        <f t="shared" si="33"/>
        <v>Ô tô tự đổ 12 tấn423</v>
      </c>
      <c r="D1927" s="630"/>
      <c r="E1927" s="630"/>
      <c r="F1927" s="630"/>
      <c r="G1927" s="630"/>
    </row>
    <row r="1928" spans="1:7" ht="18.75" x14ac:dyDescent="0.25">
      <c r="A1928" s="629" t="s">
        <v>3075</v>
      </c>
      <c r="B1928" s="630">
        <v>424</v>
      </c>
      <c r="C1928" s="631" t="str">
        <f t="shared" si="33"/>
        <v>Ô tô tự đổ 12 tấn424</v>
      </c>
      <c r="D1928" s="630"/>
      <c r="E1928" s="630"/>
      <c r="F1928" s="630"/>
      <c r="G1928" s="630"/>
    </row>
    <row r="1929" spans="1:7" ht="18.75" x14ac:dyDescent="0.25">
      <c r="A1929" s="629" t="s">
        <v>3075</v>
      </c>
      <c r="B1929" s="630">
        <v>425</v>
      </c>
      <c r="C1929" s="631" t="str">
        <f t="shared" si="33"/>
        <v>Ô tô tự đổ 12 tấn425</v>
      </c>
      <c r="D1929" s="630"/>
      <c r="E1929" s="630"/>
      <c r="F1929" s="630"/>
      <c r="G1929" s="630"/>
    </row>
    <row r="1930" spans="1:7" ht="18.75" x14ac:dyDescent="0.25">
      <c r="A1930" s="629" t="s">
        <v>3075</v>
      </c>
      <c r="B1930" s="630">
        <v>426</v>
      </c>
      <c r="C1930" s="631" t="str">
        <f t="shared" si="33"/>
        <v>Ô tô tự đổ 12 tấn426</v>
      </c>
      <c r="D1930" s="630"/>
      <c r="E1930" s="630"/>
      <c r="F1930" s="630"/>
      <c r="G1930" s="630"/>
    </row>
    <row r="1931" spans="1:7" ht="18.75" x14ac:dyDescent="0.25">
      <c r="A1931" s="629" t="s">
        <v>3075</v>
      </c>
      <c r="B1931" s="630">
        <v>427</v>
      </c>
      <c r="C1931" s="631" t="str">
        <f t="shared" si="33"/>
        <v>Ô tô tự đổ 12 tấn427</v>
      </c>
      <c r="D1931" s="630"/>
      <c r="E1931" s="630"/>
      <c r="F1931" s="630"/>
      <c r="G1931" s="630"/>
    </row>
    <row r="1932" spans="1:7" ht="18.75" x14ac:dyDescent="0.25">
      <c r="A1932" s="629" t="s">
        <v>3075</v>
      </c>
      <c r="B1932" s="630">
        <v>428</v>
      </c>
      <c r="C1932" s="631" t="str">
        <f t="shared" si="33"/>
        <v>Ô tô tự đổ 12 tấn428</v>
      </c>
      <c r="D1932" s="630"/>
      <c r="E1932" s="630"/>
      <c r="F1932" s="630"/>
      <c r="G1932" s="630"/>
    </row>
    <row r="1933" spans="1:7" ht="18.75" x14ac:dyDescent="0.25">
      <c r="A1933" s="629" t="s">
        <v>3075</v>
      </c>
      <c r="B1933" s="630">
        <v>429</v>
      </c>
      <c r="C1933" s="631" t="str">
        <f t="shared" si="33"/>
        <v>Ô tô tự đổ 12 tấn429</v>
      </c>
      <c r="D1933" s="630"/>
      <c r="E1933" s="630"/>
      <c r="F1933" s="630"/>
      <c r="G1933" s="630"/>
    </row>
    <row r="1934" spans="1:7" ht="18.75" x14ac:dyDescent="0.25">
      <c r="A1934" s="629" t="s">
        <v>3075</v>
      </c>
      <c r="B1934" s="630">
        <v>430</v>
      </c>
      <c r="C1934" s="631" t="str">
        <f t="shared" si="33"/>
        <v>Ô tô tự đổ 12 tấn430</v>
      </c>
      <c r="D1934" s="630"/>
      <c r="E1934" s="630"/>
      <c r="F1934" s="630"/>
      <c r="G1934" s="630"/>
    </row>
    <row r="1935" spans="1:7" ht="18.75" x14ac:dyDescent="0.25">
      <c r="A1935" s="629" t="s">
        <v>3075</v>
      </c>
      <c r="B1935" s="630">
        <v>431</v>
      </c>
      <c r="C1935" s="631" t="str">
        <f t="shared" si="33"/>
        <v>Ô tô tự đổ 12 tấn431</v>
      </c>
      <c r="D1935" s="630"/>
      <c r="E1935" s="630"/>
      <c r="F1935" s="630"/>
      <c r="G1935" s="630"/>
    </row>
    <row r="1936" spans="1:7" ht="18.75" x14ac:dyDescent="0.25">
      <c r="A1936" s="629" t="s">
        <v>3075</v>
      </c>
      <c r="B1936" s="630">
        <v>432</v>
      </c>
      <c r="C1936" s="631" t="str">
        <f t="shared" si="33"/>
        <v>Ô tô tự đổ 12 tấn432</v>
      </c>
      <c r="D1936" s="630"/>
      <c r="E1936" s="630"/>
      <c r="F1936" s="630"/>
      <c r="G1936" s="630"/>
    </row>
    <row r="1937" spans="1:7" ht="18.75" x14ac:dyDescent="0.25">
      <c r="A1937" s="629" t="s">
        <v>3075</v>
      </c>
      <c r="B1937" s="630">
        <v>433</v>
      </c>
      <c r="C1937" s="631" t="str">
        <f t="shared" si="33"/>
        <v>Ô tô tự đổ 12 tấn433</v>
      </c>
      <c r="D1937" s="630"/>
      <c r="E1937" s="630"/>
      <c r="F1937" s="630"/>
      <c r="G1937" s="630"/>
    </row>
    <row r="1938" spans="1:7" ht="18.75" x14ac:dyDescent="0.25">
      <c r="A1938" s="629" t="s">
        <v>3075</v>
      </c>
      <c r="B1938" s="630">
        <v>434</v>
      </c>
      <c r="C1938" s="631" t="str">
        <f t="shared" si="33"/>
        <v>Ô tô tự đổ 12 tấn434</v>
      </c>
      <c r="D1938" s="630"/>
      <c r="E1938" s="630"/>
      <c r="F1938" s="630"/>
      <c r="G1938" s="630"/>
    </row>
    <row r="1939" spans="1:7" ht="18.75" x14ac:dyDescent="0.25">
      <c r="A1939" s="629" t="s">
        <v>3075</v>
      </c>
      <c r="B1939" s="630">
        <v>435</v>
      </c>
      <c r="C1939" s="631" t="str">
        <f t="shared" si="33"/>
        <v>Ô tô tự đổ 12 tấn435</v>
      </c>
      <c r="D1939" s="630"/>
      <c r="E1939" s="630"/>
      <c r="F1939" s="630"/>
      <c r="G1939" s="630"/>
    </row>
    <row r="1940" spans="1:7" ht="18.75" x14ac:dyDescent="0.25">
      <c r="A1940" s="629" t="s">
        <v>3075</v>
      </c>
      <c r="B1940" s="630">
        <v>436</v>
      </c>
      <c r="C1940" s="631" t="str">
        <f t="shared" si="33"/>
        <v>Ô tô tự đổ 12 tấn436</v>
      </c>
      <c r="D1940" s="630"/>
      <c r="E1940" s="630"/>
      <c r="F1940" s="630"/>
      <c r="G1940" s="630"/>
    </row>
    <row r="1941" spans="1:7" ht="18.75" x14ac:dyDescent="0.25">
      <c r="A1941" s="629" t="s">
        <v>3075</v>
      </c>
      <c r="B1941" s="630">
        <v>437</v>
      </c>
      <c r="C1941" s="631" t="str">
        <f t="shared" si="33"/>
        <v>Ô tô tự đổ 12 tấn437</v>
      </c>
      <c r="D1941" s="630"/>
      <c r="E1941" s="630"/>
      <c r="F1941" s="630"/>
      <c r="G1941" s="630"/>
    </row>
    <row r="1942" spans="1:7" ht="18.75" x14ac:dyDescent="0.25">
      <c r="A1942" s="629" t="s">
        <v>3075</v>
      </c>
      <c r="B1942" s="630">
        <v>438</v>
      </c>
      <c r="C1942" s="631" t="str">
        <f t="shared" si="33"/>
        <v>Ô tô tự đổ 12 tấn438</v>
      </c>
      <c r="D1942" s="630"/>
      <c r="E1942" s="630"/>
      <c r="F1942" s="630"/>
      <c r="G1942" s="630"/>
    </row>
    <row r="1943" spans="1:7" ht="18.75" x14ac:dyDescent="0.25">
      <c r="A1943" s="629" t="s">
        <v>3075</v>
      </c>
      <c r="B1943" s="630">
        <v>439</v>
      </c>
      <c r="C1943" s="631" t="str">
        <f t="shared" si="33"/>
        <v>Ô tô tự đổ 12 tấn439</v>
      </c>
      <c r="D1943" s="630"/>
      <c r="E1943" s="630"/>
      <c r="F1943" s="630"/>
      <c r="G1943" s="630"/>
    </row>
    <row r="1944" spans="1:7" ht="18.75" x14ac:dyDescent="0.25">
      <c r="A1944" s="629" t="s">
        <v>3075</v>
      </c>
      <c r="B1944" s="630">
        <v>440</v>
      </c>
      <c r="C1944" s="631" t="str">
        <f t="shared" si="33"/>
        <v>Ô tô tự đổ 12 tấn440</v>
      </c>
      <c r="D1944" s="630"/>
      <c r="E1944" s="630"/>
      <c r="F1944" s="630"/>
      <c r="G1944" s="630"/>
    </row>
    <row r="1945" spans="1:7" ht="18.75" x14ac:dyDescent="0.25">
      <c r="A1945" s="629" t="s">
        <v>3075</v>
      </c>
      <c r="B1945" s="630">
        <v>441</v>
      </c>
      <c r="C1945" s="631" t="str">
        <f t="shared" si="33"/>
        <v>Ô tô tự đổ 12 tấn441</v>
      </c>
      <c r="D1945" s="630"/>
      <c r="E1945" s="630"/>
      <c r="F1945" s="630"/>
      <c r="G1945" s="630"/>
    </row>
    <row r="1946" spans="1:7" ht="18.75" x14ac:dyDescent="0.25">
      <c r="A1946" s="629" t="s">
        <v>3075</v>
      </c>
      <c r="B1946" s="630">
        <v>442</v>
      </c>
      <c r="C1946" s="631" t="str">
        <f t="shared" si="33"/>
        <v>Ô tô tự đổ 12 tấn442</v>
      </c>
      <c r="D1946" s="630"/>
      <c r="E1946" s="630"/>
      <c r="F1946" s="630"/>
      <c r="G1946" s="630"/>
    </row>
    <row r="1947" spans="1:7" ht="18.75" x14ac:dyDescent="0.25">
      <c r="A1947" s="629" t="s">
        <v>3075</v>
      </c>
      <c r="B1947" s="630">
        <v>443</v>
      </c>
      <c r="C1947" s="631" t="str">
        <f t="shared" si="33"/>
        <v>Ô tô tự đổ 12 tấn443</v>
      </c>
      <c r="D1947" s="630"/>
      <c r="E1947" s="630"/>
      <c r="F1947" s="630"/>
      <c r="G1947" s="630"/>
    </row>
    <row r="1948" spans="1:7" ht="18.75" x14ac:dyDescent="0.25">
      <c r="A1948" s="629" t="s">
        <v>3075</v>
      </c>
      <c r="B1948" s="630">
        <v>444</v>
      </c>
      <c r="C1948" s="631" t="str">
        <f t="shared" si="33"/>
        <v>Ô tô tự đổ 12 tấn444</v>
      </c>
      <c r="D1948" s="630"/>
      <c r="E1948" s="630"/>
      <c r="F1948" s="630"/>
      <c r="G1948" s="630"/>
    </row>
    <row r="1949" spans="1:7" ht="18.75" x14ac:dyDescent="0.25">
      <c r="A1949" s="629" t="s">
        <v>3075</v>
      </c>
      <c r="B1949" s="630">
        <v>445</v>
      </c>
      <c r="C1949" s="631" t="str">
        <f t="shared" si="33"/>
        <v>Ô tô tự đổ 12 tấn445</v>
      </c>
      <c r="D1949" s="630"/>
      <c r="E1949" s="630"/>
      <c r="F1949" s="630"/>
      <c r="G1949" s="630"/>
    </row>
    <row r="1950" spans="1:7" ht="18.75" x14ac:dyDescent="0.25">
      <c r="A1950" s="629" t="s">
        <v>3075</v>
      </c>
      <c r="B1950" s="630">
        <v>446</v>
      </c>
      <c r="C1950" s="631" t="str">
        <f t="shared" si="33"/>
        <v>Ô tô tự đổ 12 tấn446</v>
      </c>
      <c r="D1950" s="630"/>
      <c r="E1950" s="630"/>
      <c r="F1950" s="630"/>
      <c r="G1950" s="630"/>
    </row>
    <row r="1951" spans="1:7" ht="18.75" x14ac:dyDescent="0.25">
      <c r="A1951" s="629" t="s">
        <v>3075</v>
      </c>
      <c r="B1951" s="630">
        <v>447</v>
      </c>
      <c r="C1951" s="631" t="str">
        <f t="shared" si="33"/>
        <v>Ô tô tự đổ 12 tấn447</v>
      </c>
      <c r="D1951" s="630"/>
      <c r="E1951" s="630"/>
      <c r="F1951" s="630"/>
      <c r="G1951" s="630"/>
    </row>
    <row r="1952" spans="1:7" ht="18.75" x14ac:dyDescent="0.25">
      <c r="A1952" s="629" t="s">
        <v>3075</v>
      </c>
      <c r="B1952" s="630">
        <v>448</v>
      </c>
      <c r="C1952" s="631" t="str">
        <f t="shared" si="33"/>
        <v>Ô tô tự đổ 12 tấn448</v>
      </c>
      <c r="D1952" s="630"/>
      <c r="E1952" s="630"/>
      <c r="F1952" s="630"/>
      <c r="G1952" s="630"/>
    </row>
    <row r="1953" spans="1:7" ht="18.75" x14ac:dyDescent="0.25">
      <c r="A1953" s="629" t="s">
        <v>3075</v>
      </c>
      <c r="B1953" s="630">
        <v>449</v>
      </c>
      <c r="C1953" s="631" t="str">
        <f t="shared" si="33"/>
        <v>Ô tô tự đổ 12 tấn449</v>
      </c>
      <c r="D1953" s="630"/>
      <c r="E1953" s="630"/>
      <c r="F1953" s="630"/>
      <c r="G1953" s="630"/>
    </row>
    <row r="1954" spans="1:7" ht="18.75" x14ac:dyDescent="0.25">
      <c r="A1954" s="629" t="s">
        <v>3075</v>
      </c>
      <c r="B1954" s="630">
        <v>450</v>
      </c>
      <c r="C1954" s="631" t="str">
        <f t="shared" ref="C1954:C2004" si="34">A1954&amp;B1954</f>
        <v>Ô tô tự đổ 12 tấn450</v>
      </c>
      <c r="D1954" s="630"/>
      <c r="E1954" s="630"/>
      <c r="F1954" s="630"/>
      <c r="G1954" s="630"/>
    </row>
    <row r="1955" spans="1:7" ht="18.75" x14ac:dyDescent="0.25">
      <c r="A1955" s="629" t="s">
        <v>3075</v>
      </c>
      <c r="B1955" s="630">
        <v>451</v>
      </c>
      <c r="C1955" s="631" t="str">
        <f t="shared" si="34"/>
        <v>Ô tô tự đổ 12 tấn451</v>
      </c>
      <c r="D1955" s="630"/>
      <c r="E1955" s="630"/>
      <c r="F1955" s="630"/>
      <c r="G1955" s="630"/>
    </row>
    <row r="1956" spans="1:7" ht="18.75" x14ac:dyDescent="0.25">
      <c r="A1956" s="629" t="s">
        <v>3075</v>
      </c>
      <c r="B1956" s="630">
        <v>452</v>
      </c>
      <c r="C1956" s="631" t="str">
        <f t="shared" si="34"/>
        <v>Ô tô tự đổ 12 tấn452</v>
      </c>
      <c r="D1956" s="630"/>
      <c r="E1956" s="630"/>
      <c r="F1956" s="630"/>
      <c r="G1956" s="630"/>
    </row>
    <row r="1957" spans="1:7" ht="18.75" x14ac:dyDescent="0.25">
      <c r="A1957" s="629" t="s">
        <v>3075</v>
      </c>
      <c r="B1957" s="630">
        <v>453</v>
      </c>
      <c r="C1957" s="631" t="str">
        <f t="shared" si="34"/>
        <v>Ô tô tự đổ 12 tấn453</v>
      </c>
      <c r="D1957" s="630"/>
      <c r="E1957" s="630"/>
      <c r="F1957" s="630"/>
      <c r="G1957" s="630"/>
    </row>
    <row r="1958" spans="1:7" ht="18.75" x14ac:dyDescent="0.25">
      <c r="A1958" s="629" t="s">
        <v>3075</v>
      </c>
      <c r="B1958" s="630">
        <v>454</v>
      </c>
      <c r="C1958" s="631" t="str">
        <f t="shared" si="34"/>
        <v>Ô tô tự đổ 12 tấn454</v>
      </c>
      <c r="D1958" s="630"/>
      <c r="E1958" s="630"/>
      <c r="F1958" s="630"/>
      <c r="G1958" s="630"/>
    </row>
    <row r="1959" spans="1:7" ht="18.75" x14ac:dyDescent="0.25">
      <c r="A1959" s="629" t="s">
        <v>3075</v>
      </c>
      <c r="B1959" s="630">
        <v>455</v>
      </c>
      <c r="C1959" s="631" t="str">
        <f t="shared" si="34"/>
        <v>Ô tô tự đổ 12 tấn455</v>
      </c>
      <c r="D1959" s="630"/>
      <c r="E1959" s="630"/>
      <c r="F1959" s="630"/>
      <c r="G1959" s="630"/>
    </row>
    <row r="1960" spans="1:7" ht="18.75" x14ac:dyDescent="0.25">
      <c r="A1960" s="629" t="s">
        <v>3075</v>
      </c>
      <c r="B1960" s="630">
        <v>456</v>
      </c>
      <c r="C1960" s="631" t="str">
        <f t="shared" si="34"/>
        <v>Ô tô tự đổ 12 tấn456</v>
      </c>
      <c r="D1960" s="630"/>
      <c r="E1960" s="630"/>
      <c r="F1960" s="630"/>
      <c r="G1960" s="630"/>
    </row>
    <row r="1961" spans="1:7" ht="18.75" x14ac:dyDescent="0.25">
      <c r="A1961" s="629" t="s">
        <v>3075</v>
      </c>
      <c r="B1961" s="630">
        <v>457</v>
      </c>
      <c r="C1961" s="631" t="str">
        <f t="shared" si="34"/>
        <v>Ô tô tự đổ 12 tấn457</v>
      </c>
      <c r="D1961" s="630"/>
      <c r="E1961" s="630"/>
      <c r="F1961" s="630"/>
      <c r="G1961" s="630"/>
    </row>
    <row r="1962" spans="1:7" ht="18.75" x14ac:dyDescent="0.25">
      <c r="A1962" s="629" t="s">
        <v>3075</v>
      </c>
      <c r="B1962" s="630">
        <v>458</v>
      </c>
      <c r="C1962" s="631" t="str">
        <f t="shared" si="34"/>
        <v>Ô tô tự đổ 12 tấn458</v>
      </c>
      <c r="D1962" s="630"/>
      <c r="E1962" s="630"/>
      <c r="F1962" s="630"/>
      <c r="G1962" s="630"/>
    </row>
    <row r="1963" spans="1:7" ht="18.75" x14ac:dyDescent="0.25">
      <c r="A1963" s="629" t="s">
        <v>3075</v>
      </c>
      <c r="B1963" s="630">
        <v>459</v>
      </c>
      <c r="C1963" s="631" t="str">
        <f t="shared" si="34"/>
        <v>Ô tô tự đổ 12 tấn459</v>
      </c>
      <c r="D1963" s="630"/>
      <c r="E1963" s="630"/>
      <c r="F1963" s="630"/>
      <c r="G1963" s="630"/>
    </row>
    <row r="1964" spans="1:7" ht="18.75" x14ac:dyDescent="0.25">
      <c r="A1964" s="629" t="s">
        <v>3075</v>
      </c>
      <c r="B1964" s="630">
        <v>460</v>
      </c>
      <c r="C1964" s="631" t="str">
        <f t="shared" si="34"/>
        <v>Ô tô tự đổ 12 tấn460</v>
      </c>
      <c r="D1964" s="630"/>
      <c r="E1964" s="630"/>
      <c r="F1964" s="630"/>
      <c r="G1964" s="630"/>
    </row>
    <row r="1965" spans="1:7" ht="18.75" x14ac:dyDescent="0.25">
      <c r="A1965" s="629" t="s">
        <v>3075</v>
      </c>
      <c r="B1965" s="630">
        <v>461</v>
      </c>
      <c r="C1965" s="631" t="str">
        <f t="shared" si="34"/>
        <v>Ô tô tự đổ 12 tấn461</v>
      </c>
      <c r="D1965" s="630"/>
      <c r="E1965" s="630"/>
      <c r="F1965" s="630"/>
      <c r="G1965" s="630"/>
    </row>
    <row r="1966" spans="1:7" ht="18.75" x14ac:dyDescent="0.25">
      <c r="A1966" s="629" t="s">
        <v>3075</v>
      </c>
      <c r="B1966" s="630">
        <v>462</v>
      </c>
      <c r="C1966" s="631" t="str">
        <f t="shared" si="34"/>
        <v>Ô tô tự đổ 12 tấn462</v>
      </c>
      <c r="D1966" s="630"/>
      <c r="E1966" s="630"/>
      <c r="F1966" s="630"/>
      <c r="G1966" s="630"/>
    </row>
    <row r="1967" spans="1:7" ht="18.75" x14ac:dyDescent="0.25">
      <c r="A1967" s="629" t="s">
        <v>3075</v>
      </c>
      <c r="B1967" s="630">
        <v>463</v>
      </c>
      <c r="C1967" s="631" t="str">
        <f t="shared" si="34"/>
        <v>Ô tô tự đổ 12 tấn463</v>
      </c>
      <c r="D1967" s="630"/>
      <c r="E1967" s="630"/>
      <c r="F1967" s="630"/>
      <c r="G1967" s="630"/>
    </row>
    <row r="1968" spans="1:7" ht="18.75" x14ac:dyDescent="0.25">
      <c r="A1968" s="629" t="s">
        <v>3075</v>
      </c>
      <c r="B1968" s="630">
        <v>464</v>
      </c>
      <c r="C1968" s="631" t="str">
        <f t="shared" si="34"/>
        <v>Ô tô tự đổ 12 tấn464</v>
      </c>
      <c r="D1968" s="630"/>
      <c r="E1968" s="630"/>
      <c r="F1968" s="630"/>
      <c r="G1968" s="630"/>
    </row>
    <row r="1969" spans="1:7" ht="18.75" x14ac:dyDescent="0.25">
      <c r="A1969" s="629" t="s">
        <v>3075</v>
      </c>
      <c r="B1969" s="630">
        <v>465</v>
      </c>
      <c r="C1969" s="631" t="str">
        <f t="shared" si="34"/>
        <v>Ô tô tự đổ 12 tấn465</v>
      </c>
      <c r="D1969" s="630"/>
      <c r="E1969" s="630"/>
      <c r="F1969" s="630"/>
      <c r="G1969" s="630"/>
    </row>
    <row r="1970" spans="1:7" ht="18.75" x14ac:dyDescent="0.25">
      <c r="A1970" s="629" t="s">
        <v>3075</v>
      </c>
      <c r="B1970" s="630">
        <v>466</v>
      </c>
      <c r="C1970" s="631" t="str">
        <f t="shared" si="34"/>
        <v>Ô tô tự đổ 12 tấn466</v>
      </c>
      <c r="D1970" s="630"/>
      <c r="E1970" s="630"/>
      <c r="F1970" s="630"/>
      <c r="G1970" s="630"/>
    </row>
    <row r="1971" spans="1:7" ht="18.75" x14ac:dyDescent="0.25">
      <c r="A1971" s="629" t="s">
        <v>3075</v>
      </c>
      <c r="B1971" s="630">
        <v>467</v>
      </c>
      <c r="C1971" s="631" t="str">
        <f t="shared" si="34"/>
        <v>Ô tô tự đổ 12 tấn467</v>
      </c>
      <c r="D1971" s="630"/>
      <c r="E1971" s="630"/>
      <c r="F1971" s="630"/>
      <c r="G1971" s="630"/>
    </row>
    <row r="1972" spans="1:7" ht="18.75" x14ac:dyDescent="0.25">
      <c r="A1972" s="629" t="s">
        <v>3075</v>
      </c>
      <c r="B1972" s="630">
        <v>468</v>
      </c>
      <c r="C1972" s="631" t="str">
        <f t="shared" si="34"/>
        <v>Ô tô tự đổ 12 tấn468</v>
      </c>
      <c r="D1972" s="630"/>
      <c r="E1972" s="630"/>
      <c r="F1972" s="630"/>
      <c r="G1972" s="630"/>
    </row>
    <row r="1973" spans="1:7" ht="18.75" x14ac:dyDescent="0.25">
      <c r="A1973" s="629" t="s">
        <v>3075</v>
      </c>
      <c r="B1973" s="630">
        <v>469</v>
      </c>
      <c r="C1973" s="631" t="str">
        <f t="shared" si="34"/>
        <v>Ô tô tự đổ 12 tấn469</v>
      </c>
      <c r="D1973" s="630"/>
      <c r="E1973" s="630"/>
      <c r="F1973" s="630"/>
      <c r="G1973" s="630"/>
    </row>
    <row r="1974" spans="1:7" ht="18.75" x14ac:dyDescent="0.25">
      <c r="A1974" s="629" t="s">
        <v>3075</v>
      </c>
      <c r="B1974" s="630">
        <v>470</v>
      </c>
      <c r="C1974" s="631" t="str">
        <f t="shared" si="34"/>
        <v>Ô tô tự đổ 12 tấn470</v>
      </c>
      <c r="D1974" s="630"/>
      <c r="E1974" s="630"/>
      <c r="F1974" s="630"/>
      <c r="G1974" s="630"/>
    </row>
    <row r="1975" spans="1:7" ht="18.75" x14ac:dyDescent="0.25">
      <c r="A1975" s="629" t="s">
        <v>3075</v>
      </c>
      <c r="B1975" s="630">
        <v>471</v>
      </c>
      <c r="C1975" s="631" t="str">
        <f t="shared" si="34"/>
        <v>Ô tô tự đổ 12 tấn471</v>
      </c>
      <c r="D1975" s="630"/>
      <c r="E1975" s="630"/>
      <c r="F1975" s="630"/>
      <c r="G1975" s="630"/>
    </row>
    <row r="1976" spans="1:7" ht="18.75" x14ac:dyDescent="0.25">
      <c r="A1976" s="629" t="s">
        <v>3075</v>
      </c>
      <c r="B1976" s="630">
        <v>472</v>
      </c>
      <c r="C1976" s="631" t="str">
        <f t="shared" si="34"/>
        <v>Ô tô tự đổ 12 tấn472</v>
      </c>
      <c r="D1976" s="630"/>
      <c r="E1976" s="630"/>
      <c r="F1976" s="630"/>
      <c r="G1976" s="630"/>
    </row>
    <row r="1977" spans="1:7" ht="18.75" x14ac:dyDescent="0.25">
      <c r="A1977" s="629" t="s">
        <v>3075</v>
      </c>
      <c r="B1977" s="630">
        <v>473</v>
      </c>
      <c r="C1977" s="631" t="str">
        <f t="shared" si="34"/>
        <v>Ô tô tự đổ 12 tấn473</v>
      </c>
      <c r="D1977" s="630"/>
      <c r="E1977" s="630"/>
      <c r="F1977" s="630"/>
      <c r="G1977" s="630"/>
    </row>
    <row r="1978" spans="1:7" ht="18.75" x14ac:dyDescent="0.25">
      <c r="A1978" s="629" t="s">
        <v>3075</v>
      </c>
      <c r="B1978" s="630">
        <v>474</v>
      </c>
      <c r="C1978" s="631" t="str">
        <f t="shared" si="34"/>
        <v>Ô tô tự đổ 12 tấn474</v>
      </c>
      <c r="D1978" s="630"/>
      <c r="E1978" s="630"/>
      <c r="F1978" s="630"/>
      <c r="G1978" s="630"/>
    </row>
    <row r="1979" spans="1:7" ht="18.75" x14ac:dyDescent="0.25">
      <c r="A1979" s="629" t="s">
        <v>3075</v>
      </c>
      <c r="B1979" s="630">
        <v>475</v>
      </c>
      <c r="C1979" s="631" t="str">
        <f t="shared" si="34"/>
        <v>Ô tô tự đổ 12 tấn475</v>
      </c>
      <c r="D1979" s="630"/>
      <c r="E1979" s="630"/>
      <c r="F1979" s="630"/>
      <c r="G1979" s="630"/>
    </row>
    <row r="1980" spans="1:7" ht="18.75" x14ac:dyDescent="0.25">
      <c r="A1980" s="629" t="s">
        <v>3075</v>
      </c>
      <c r="B1980" s="630">
        <v>476</v>
      </c>
      <c r="C1980" s="631" t="str">
        <f t="shared" si="34"/>
        <v>Ô tô tự đổ 12 tấn476</v>
      </c>
      <c r="D1980" s="630"/>
      <c r="E1980" s="630"/>
      <c r="F1980" s="630"/>
      <c r="G1980" s="630"/>
    </row>
    <row r="1981" spans="1:7" ht="18.75" x14ac:dyDescent="0.25">
      <c r="A1981" s="629" t="s">
        <v>3075</v>
      </c>
      <c r="B1981" s="630">
        <v>477</v>
      </c>
      <c r="C1981" s="631" t="str">
        <f t="shared" si="34"/>
        <v>Ô tô tự đổ 12 tấn477</v>
      </c>
      <c r="D1981" s="630"/>
      <c r="E1981" s="630"/>
      <c r="F1981" s="630"/>
      <c r="G1981" s="630"/>
    </row>
    <row r="1982" spans="1:7" ht="18.75" x14ac:dyDescent="0.25">
      <c r="A1982" s="629" t="s">
        <v>3075</v>
      </c>
      <c r="B1982" s="630">
        <v>478</v>
      </c>
      <c r="C1982" s="631" t="str">
        <f t="shared" si="34"/>
        <v>Ô tô tự đổ 12 tấn478</v>
      </c>
      <c r="D1982" s="630"/>
      <c r="E1982" s="630"/>
      <c r="F1982" s="630"/>
      <c r="G1982" s="630"/>
    </row>
    <row r="1983" spans="1:7" ht="18.75" x14ac:dyDescent="0.25">
      <c r="A1983" s="629" t="s">
        <v>3075</v>
      </c>
      <c r="B1983" s="630">
        <v>479</v>
      </c>
      <c r="C1983" s="631" t="str">
        <f t="shared" si="34"/>
        <v>Ô tô tự đổ 12 tấn479</v>
      </c>
      <c r="D1983" s="630"/>
      <c r="E1983" s="630"/>
      <c r="F1983" s="630"/>
      <c r="G1983" s="630"/>
    </row>
    <row r="1984" spans="1:7" ht="18.75" x14ac:dyDescent="0.25">
      <c r="A1984" s="629" t="s">
        <v>3075</v>
      </c>
      <c r="B1984" s="630">
        <v>480</v>
      </c>
      <c r="C1984" s="631" t="str">
        <f t="shared" si="34"/>
        <v>Ô tô tự đổ 12 tấn480</v>
      </c>
      <c r="D1984" s="630"/>
      <c r="E1984" s="630"/>
      <c r="F1984" s="630"/>
      <c r="G1984" s="630"/>
    </row>
    <row r="1985" spans="1:7" ht="18.75" x14ac:dyDescent="0.25">
      <c r="A1985" s="629" t="s">
        <v>3075</v>
      </c>
      <c r="B1985" s="630">
        <v>481</v>
      </c>
      <c r="C1985" s="631" t="str">
        <f t="shared" si="34"/>
        <v>Ô tô tự đổ 12 tấn481</v>
      </c>
      <c r="D1985" s="630"/>
      <c r="E1985" s="630"/>
      <c r="F1985" s="630"/>
      <c r="G1985" s="630"/>
    </row>
    <row r="1986" spans="1:7" ht="18.75" x14ac:dyDescent="0.25">
      <c r="A1986" s="629" t="s">
        <v>3075</v>
      </c>
      <c r="B1986" s="630">
        <v>482</v>
      </c>
      <c r="C1986" s="631" t="str">
        <f t="shared" si="34"/>
        <v>Ô tô tự đổ 12 tấn482</v>
      </c>
      <c r="D1986" s="630"/>
      <c r="E1986" s="630"/>
      <c r="F1986" s="630"/>
      <c r="G1986" s="630"/>
    </row>
    <row r="1987" spans="1:7" ht="18.75" x14ac:dyDescent="0.25">
      <c r="A1987" s="629" t="s">
        <v>3075</v>
      </c>
      <c r="B1987" s="630">
        <v>483</v>
      </c>
      <c r="C1987" s="631" t="str">
        <f t="shared" si="34"/>
        <v>Ô tô tự đổ 12 tấn483</v>
      </c>
      <c r="D1987" s="630"/>
      <c r="E1987" s="630"/>
      <c r="F1987" s="630"/>
      <c r="G1987" s="630"/>
    </row>
    <row r="1988" spans="1:7" ht="18.75" x14ac:dyDescent="0.25">
      <c r="A1988" s="629" t="s">
        <v>3075</v>
      </c>
      <c r="B1988" s="630">
        <v>484</v>
      </c>
      <c r="C1988" s="631" t="str">
        <f t="shared" si="34"/>
        <v>Ô tô tự đổ 12 tấn484</v>
      </c>
      <c r="D1988" s="630"/>
      <c r="E1988" s="630"/>
      <c r="F1988" s="630"/>
      <c r="G1988" s="630"/>
    </row>
    <row r="1989" spans="1:7" ht="18.75" x14ac:dyDescent="0.25">
      <c r="A1989" s="629" t="s">
        <v>3075</v>
      </c>
      <c r="B1989" s="630">
        <v>485</v>
      </c>
      <c r="C1989" s="631" t="str">
        <f t="shared" si="34"/>
        <v>Ô tô tự đổ 12 tấn485</v>
      </c>
      <c r="D1989" s="630"/>
      <c r="E1989" s="630"/>
      <c r="F1989" s="630"/>
      <c r="G1989" s="630"/>
    </row>
    <row r="1990" spans="1:7" ht="18.75" x14ac:dyDescent="0.25">
      <c r="A1990" s="629" t="s">
        <v>3075</v>
      </c>
      <c r="B1990" s="630">
        <v>486</v>
      </c>
      <c r="C1990" s="631" t="str">
        <f t="shared" si="34"/>
        <v>Ô tô tự đổ 12 tấn486</v>
      </c>
      <c r="D1990" s="630"/>
      <c r="E1990" s="630"/>
      <c r="F1990" s="630"/>
      <c r="G1990" s="630"/>
    </row>
    <row r="1991" spans="1:7" ht="18.75" x14ac:dyDescent="0.25">
      <c r="A1991" s="629" t="s">
        <v>3075</v>
      </c>
      <c r="B1991" s="630">
        <v>487</v>
      </c>
      <c r="C1991" s="631" t="str">
        <f t="shared" si="34"/>
        <v>Ô tô tự đổ 12 tấn487</v>
      </c>
      <c r="D1991" s="630"/>
      <c r="E1991" s="630"/>
      <c r="F1991" s="630"/>
      <c r="G1991" s="630"/>
    </row>
    <row r="1992" spans="1:7" ht="18.75" x14ac:dyDescent="0.25">
      <c r="A1992" s="629" t="s">
        <v>3075</v>
      </c>
      <c r="B1992" s="630">
        <v>488</v>
      </c>
      <c r="C1992" s="631" t="str">
        <f t="shared" si="34"/>
        <v>Ô tô tự đổ 12 tấn488</v>
      </c>
      <c r="D1992" s="630"/>
      <c r="E1992" s="630"/>
      <c r="F1992" s="630"/>
      <c r="G1992" s="630"/>
    </row>
    <row r="1993" spans="1:7" ht="18.75" x14ac:dyDescent="0.25">
      <c r="A1993" s="629" t="s">
        <v>3075</v>
      </c>
      <c r="B1993" s="630">
        <v>489</v>
      </c>
      <c r="C1993" s="631" t="str">
        <f t="shared" si="34"/>
        <v>Ô tô tự đổ 12 tấn489</v>
      </c>
      <c r="D1993" s="630"/>
      <c r="E1993" s="630"/>
      <c r="F1993" s="630"/>
      <c r="G1993" s="630"/>
    </row>
    <row r="1994" spans="1:7" ht="18.75" x14ac:dyDescent="0.25">
      <c r="A1994" s="629" t="s">
        <v>3075</v>
      </c>
      <c r="B1994" s="630">
        <v>490</v>
      </c>
      <c r="C1994" s="631" t="str">
        <f t="shared" si="34"/>
        <v>Ô tô tự đổ 12 tấn490</v>
      </c>
      <c r="D1994" s="630"/>
      <c r="E1994" s="630"/>
      <c r="F1994" s="630"/>
      <c r="G1994" s="630"/>
    </row>
    <row r="1995" spans="1:7" ht="18.75" x14ac:dyDescent="0.25">
      <c r="A1995" s="629" t="s">
        <v>3075</v>
      </c>
      <c r="B1995" s="630">
        <v>491</v>
      </c>
      <c r="C1995" s="631" t="str">
        <f t="shared" si="34"/>
        <v>Ô tô tự đổ 12 tấn491</v>
      </c>
      <c r="D1995" s="630"/>
      <c r="E1995" s="630"/>
      <c r="F1995" s="630"/>
      <c r="G1995" s="630"/>
    </row>
    <row r="1996" spans="1:7" ht="18.75" x14ac:dyDescent="0.25">
      <c r="A1996" s="629" t="s">
        <v>3075</v>
      </c>
      <c r="B1996" s="630">
        <v>492</v>
      </c>
      <c r="C1996" s="631" t="str">
        <f t="shared" si="34"/>
        <v>Ô tô tự đổ 12 tấn492</v>
      </c>
      <c r="D1996" s="630"/>
      <c r="E1996" s="630"/>
      <c r="F1996" s="630"/>
      <c r="G1996" s="630"/>
    </row>
    <row r="1997" spans="1:7" ht="18.75" x14ac:dyDescent="0.25">
      <c r="A1997" s="629" t="s">
        <v>3075</v>
      </c>
      <c r="B1997" s="630">
        <v>493</v>
      </c>
      <c r="C1997" s="631" t="str">
        <f t="shared" si="34"/>
        <v>Ô tô tự đổ 12 tấn493</v>
      </c>
      <c r="D1997" s="630"/>
      <c r="E1997" s="630"/>
      <c r="F1997" s="630"/>
      <c r="G1997" s="630"/>
    </row>
    <row r="1998" spans="1:7" ht="18.75" x14ac:dyDescent="0.25">
      <c r="A1998" s="629" t="s">
        <v>3075</v>
      </c>
      <c r="B1998" s="630">
        <v>494</v>
      </c>
      <c r="C1998" s="631" t="str">
        <f t="shared" si="34"/>
        <v>Ô tô tự đổ 12 tấn494</v>
      </c>
      <c r="D1998" s="630"/>
      <c r="E1998" s="630"/>
      <c r="F1998" s="630"/>
      <c r="G1998" s="630"/>
    </row>
    <row r="1999" spans="1:7" ht="18.75" x14ac:dyDescent="0.25">
      <c r="A1999" s="629" t="s">
        <v>3075</v>
      </c>
      <c r="B1999" s="630">
        <v>495</v>
      </c>
      <c r="C1999" s="631" t="str">
        <f t="shared" si="34"/>
        <v>Ô tô tự đổ 12 tấn495</v>
      </c>
      <c r="D1999" s="630"/>
      <c r="E1999" s="630"/>
      <c r="F1999" s="630"/>
      <c r="G1999" s="630"/>
    </row>
    <row r="2000" spans="1:7" ht="18.75" x14ac:dyDescent="0.25">
      <c r="A2000" s="629" t="s">
        <v>3075</v>
      </c>
      <c r="B2000" s="630">
        <v>496</v>
      </c>
      <c r="C2000" s="631" t="str">
        <f t="shared" si="34"/>
        <v>Ô tô tự đổ 12 tấn496</v>
      </c>
      <c r="D2000" s="630"/>
      <c r="E2000" s="630"/>
      <c r="F2000" s="630"/>
      <c r="G2000" s="630"/>
    </row>
    <row r="2001" spans="1:7" ht="18.75" x14ac:dyDescent="0.25">
      <c r="A2001" s="629" t="s">
        <v>3075</v>
      </c>
      <c r="B2001" s="630">
        <v>497</v>
      </c>
      <c r="C2001" s="631" t="str">
        <f t="shared" si="34"/>
        <v>Ô tô tự đổ 12 tấn497</v>
      </c>
      <c r="D2001" s="630"/>
      <c r="E2001" s="630"/>
      <c r="F2001" s="630"/>
      <c r="G2001" s="630"/>
    </row>
    <row r="2002" spans="1:7" ht="18.75" x14ac:dyDescent="0.25">
      <c r="A2002" s="629" t="s">
        <v>3075</v>
      </c>
      <c r="B2002" s="630">
        <v>498</v>
      </c>
      <c r="C2002" s="631" t="str">
        <f t="shared" si="34"/>
        <v>Ô tô tự đổ 12 tấn498</v>
      </c>
      <c r="D2002" s="630"/>
      <c r="E2002" s="630"/>
      <c r="F2002" s="630"/>
      <c r="G2002" s="630"/>
    </row>
    <row r="2003" spans="1:7" ht="18.75" x14ac:dyDescent="0.25">
      <c r="A2003" s="629" t="s">
        <v>3075</v>
      </c>
      <c r="B2003" s="630">
        <v>499</v>
      </c>
      <c r="C2003" s="631" t="str">
        <f t="shared" si="34"/>
        <v>Ô tô tự đổ 12 tấn499</v>
      </c>
      <c r="D2003" s="630"/>
      <c r="E2003" s="630"/>
      <c r="F2003" s="630"/>
      <c r="G2003" s="630"/>
    </row>
    <row r="2004" spans="1:7" ht="18.75" x14ac:dyDescent="0.25">
      <c r="A2004" s="629" t="s">
        <v>3075</v>
      </c>
      <c r="B2004" s="630">
        <v>500</v>
      </c>
      <c r="C2004" s="631" t="str">
        <f t="shared" si="34"/>
        <v>Ô tô tự đổ 12 tấn500</v>
      </c>
      <c r="D2004" s="630"/>
      <c r="E2004" s="630"/>
      <c r="F2004" s="630"/>
      <c r="G2004" s="630"/>
    </row>
    <row r="2005" spans="1:7" ht="18.75" x14ac:dyDescent="0.25">
      <c r="A2005" s="629" t="s">
        <v>3073</v>
      </c>
      <c r="B2005" s="630">
        <v>1</v>
      </c>
      <c r="C2005" s="631" t="str">
        <f>A2005&amp;B2005</f>
        <v>Ô tô tự đổ 22 tấn1</v>
      </c>
      <c r="D2005" s="633">
        <v>0.28999999999999998</v>
      </c>
      <c r="E2005" s="633">
        <v>0.3</v>
      </c>
      <c r="F2005" s="633"/>
      <c r="G2005" s="633"/>
    </row>
    <row r="2006" spans="1:7" ht="18.75" x14ac:dyDescent="0.25">
      <c r="A2006" s="629" t="s">
        <v>3073</v>
      </c>
      <c r="B2006" s="630">
        <v>2</v>
      </c>
      <c r="C2006" s="631" t="str">
        <f t="shared" ref="C2006:C2069" si="35">A2006&amp;B2006</f>
        <v>Ô tô tự đổ 22 tấn2</v>
      </c>
      <c r="D2006" s="633">
        <v>0.12</v>
      </c>
      <c r="E2006" s="633">
        <v>0.14000000000000001</v>
      </c>
      <c r="F2006" s="633"/>
      <c r="G2006" s="633"/>
    </row>
    <row r="2007" spans="1:7" ht="18.75" x14ac:dyDescent="0.25">
      <c r="A2007" s="629" t="s">
        <v>3073</v>
      </c>
      <c r="B2007" s="630">
        <v>3</v>
      </c>
      <c r="C2007" s="631" t="str">
        <f t="shared" si="35"/>
        <v>Ô tô tự đổ 22 tấn3</v>
      </c>
      <c r="D2007" s="633">
        <v>0.12</v>
      </c>
      <c r="E2007" s="633">
        <v>0.14000000000000001</v>
      </c>
      <c r="F2007" s="633"/>
      <c r="G2007" s="633"/>
    </row>
    <row r="2008" spans="1:7" ht="18.75" x14ac:dyDescent="0.25">
      <c r="A2008" s="629" t="s">
        <v>3073</v>
      </c>
      <c r="B2008" s="630">
        <v>4</v>
      </c>
      <c r="C2008" s="631" t="str">
        <f t="shared" si="35"/>
        <v>Ô tô tự đổ 22 tấn4</v>
      </c>
      <c r="D2008" s="633">
        <v>0.12</v>
      </c>
      <c r="E2008" s="633">
        <v>0.14000000000000001</v>
      </c>
      <c r="F2008" s="633"/>
      <c r="G2008" s="633"/>
    </row>
    <row r="2009" spans="1:7" ht="18.75" x14ac:dyDescent="0.25">
      <c r="A2009" s="629" t="s">
        <v>3073</v>
      </c>
      <c r="B2009" s="630">
        <v>5</v>
      </c>
      <c r="C2009" s="631" t="str">
        <f t="shared" si="35"/>
        <v>Ô tô tự đổ 22 tấn5</v>
      </c>
      <c r="D2009" s="633">
        <v>0.12</v>
      </c>
      <c r="E2009" s="633">
        <v>0.14000000000000001</v>
      </c>
      <c r="F2009" s="633"/>
      <c r="G2009" s="633"/>
    </row>
    <row r="2010" spans="1:7" ht="18.75" x14ac:dyDescent="0.25">
      <c r="A2010" s="629" t="s">
        <v>3073</v>
      </c>
      <c r="B2010" s="630">
        <v>6</v>
      </c>
      <c r="C2010" s="631" t="str">
        <f t="shared" si="35"/>
        <v>Ô tô tự đổ 22 tấn6</v>
      </c>
      <c r="D2010" s="633">
        <v>0.09</v>
      </c>
      <c r="E2010" s="633">
        <v>0.11</v>
      </c>
      <c r="F2010" s="633"/>
      <c r="G2010" s="633"/>
    </row>
    <row r="2011" spans="1:7" ht="18.75" x14ac:dyDescent="0.25">
      <c r="A2011" s="629" t="s">
        <v>3073</v>
      </c>
      <c r="B2011" s="630">
        <v>7</v>
      </c>
      <c r="C2011" s="631" t="str">
        <f t="shared" si="35"/>
        <v>Ô tô tự đổ 22 tấn7</v>
      </c>
      <c r="D2011" s="633">
        <v>0.09</v>
      </c>
      <c r="E2011" s="633">
        <v>0.11</v>
      </c>
      <c r="F2011" s="633"/>
      <c r="G2011" s="633"/>
    </row>
    <row r="2012" spans="1:7" ht="18.75" x14ac:dyDescent="0.25">
      <c r="A2012" s="629" t="s">
        <v>3073</v>
      </c>
      <c r="B2012" s="630">
        <v>8</v>
      </c>
      <c r="C2012" s="631" t="str">
        <f t="shared" si="35"/>
        <v>Ô tô tự đổ 22 tấn8</v>
      </c>
      <c r="D2012" s="633">
        <v>0.09</v>
      </c>
      <c r="E2012" s="633">
        <v>0.11</v>
      </c>
      <c r="F2012" s="633"/>
      <c r="G2012" s="633"/>
    </row>
    <row r="2013" spans="1:7" ht="18.75" x14ac:dyDescent="0.25">
      <c r="A2013" s="629" t="s">
        <v>3073</v>
      </c>
      <c r="B2013" s="630">
        <v>9</v>
      </c>
      <c r="C2013" s="631" t="str">
        <f t="shared" si="35"/>
        <v>Ô tô tự đổ 22 tấn9</v>
      </c>
      <c r="D2013" s="633">
        <v>0.09</v>
      </c>
      <c r="E2013" s="633">
        <v>0.11</v>
      </c>
      <c r="F2013" s="633"/>
      <c r="G2013" s="633"/>
    </row>
    <row r="2014" spans="1:7" ht="18.75" x14ac:dyDescent="0.25">
      <c r="A2014" s="629" t="s">
        <v>3073</v>
      </c>
      <c r="B2014" s="630">
        <v>10</v>
      </c>
      <c r="C2014" s="631" t="str">
        <f t="shared" si="35"/>
        <v>Ô tô tự đổ 22 tấn10</v>
      </c>
      <c r="D2014" s="633">
        <v>0.09</v>
      </c>
      <c r="E2014" s="633">
        <v>0.11</v>
      </c>
      <c r="F2014" s="633"/>
      <c r="G2014" s="633"/>
    </row>
    <row r="2015" spans="1:7" ht="18.75" x14ac:dyDescent="0.25">
      <c r="A2015" s="629" t="s">
        <v>3073</v>
      </c>
      <c r="B2015" s="630">
        <v>11</v>
      </c>
      <c r="C2015" s="631" t="str">
        <f t="shared" si="35"/>
        <v>Ô tô tự đổ 22 tấn11</v>
      </c>
      <c r="D2015" s="633">
        <v>0.08</v>
      </c>
      <c r="E2015" s="633">
        <v>0.09</v>
      </c>
      <c r="F2015" s="633"/>
      <c r="G2015" s="633"/>
    </row>
    <row r="2016" spans="1:7" ht="18.75" x14ac:dyDescent="0.25">
      <c r="A2016" s="629" t="s">
        <v>3073</v>
      </c>
      <c r="B2016" s="630">
        <v>12</v>
      </c>
      <c r="C2016" s="631" t="str">
        <f t="shared" si="35"/>
        <v>Ô tô tự đổ 22 tấn12</v>
      </c>
      <c r="D2016" s="633">
        <v>0.08</v>
      </c>
      <c r="E2016" s="633">
        <v>0.09</v>
      </c>
      <c r="F2016" s="633"/>
      <c r="G2016" s="633"/>
    </row>
    <row r="2017" spans="1:7" ht="18.75" x14ac:dyDescent="0.25">
      <c r="A2017" s="629" t="s">
        <v>3073</v>
      </c>
      <c r="B2017" s="630">
        <v>13</v>
      </c>
      <c r="C2017" s="631" t="str">
        <f t="shared" si="35"/>
        <v>Ô tô tự đổ 22 tấn13</v>
      </c>
      <c r="D2017" s="633">
        <v>0.08</v>
      </c>
      <c r="E2017" s="633">
        <v>0.09</v>
      </c>
      <c r="F2017" s="633"/>
      <c r="G2017" s="633"/>
    </row>
    <row r="2018" spans="1:7" ht="18.75" x14ac:dyDescent="0.25">
      <c r="A2018" s="629" t="s">
        <v>3073</v>
      </c>
      <c r="B2018" s="630">
        <v>14</v>
      </c>
      <c r="C2018" s="631" t="str">
        <f t="shared" si="35"/>
        <v>Ô tô tự đổ 22 tấn14</v>
      </c>
      <c r="D2018" s="633">
        <v>0.08</v>
      </c>
      <c r="E2018" s="633">
        <v>0.09</v>
      </c>
      <c r="F2018" s="633"/>
      <c r="G2018" s="633"/>
    </row>
    <row r="2019" spans="1:7" ht="18.75" x14ac:dyDescent="0.25">
      <c r="A2019" s="629" t="s">
        <v>3073</v>
      </c>
      <c r="B2019" s="630">
        <v>15</v>
      </c>
      <c r="C2019" s="631" t="str">
        <f t="shared" si="35"/>
        <v>Ô tô tự đổ 22 tấn15</v>
      </c>
      <c r="D2019" s="633">
        <v>0.08</v>
      </c>
      <c r="E2019" s="633">
        <v>0.09</v>
      </c>
      <c r="F2019" s="633"/>
      <c r="G2019" s="633"/>
    </row>
    <row r="2020" spans="1:7" ht="18.75" x14ac:dyDescent="0.25">
      <c r="A2020" s="629" t="s">
        <v>3073</v>
      </c>
      <c r="B2020" s="630">
        <v>16</v>
      </c>
      <c r="C2020" s="631" t="str">
        <f t="shared" si="35"/>
        <v>Ô tô tự đổ 22 tấn16</v>
      </c>
      <c r="D2020" s="633">
        <v>7.0000000000000007E-2</v>
      </c>
      <c r="E2020" s="633">
        <v>0.08</v>
      </c>
      <c r="F2020" s="633"/>
      <c r="G2020" s="633"/>
    </row>
    <row r="2021" spans="1:7" ht="18.75" x14ac:dyDescent="0.25">
      <c r="A2021" s="629" t="s">
        <v>3073</v>
      </c>
      <c r="B2021" s="630">
        <v>17</v>
      </c>
      <c r="C2021" s="631" t="str">
        <f t="shared" si="35"/>
        <v>Ô tô tự đổ 22 tấn17</v>
      </c>
      <c r="D2021" s="633">
        <v>7.0000000000000007E-2</v>
      </c>
      <c r="E2021" s="633">
        <v>0.08</v>
      </c>
      <c r="F2021" s="633"/>
      <c r="G2021" s="633"/>
    </row>
    <row r="2022" spans="1:7" ht="18.75" x14ac:dyDescent="0.25">
      <c r="A2022" s="629" t="s">
        <v>3073</v>
      </c>
      <c r="B2022" s="630">
        <v>18</v>
      </c>
      <c r="C2022" s="631" t="str">
        <f t="shared" si="35"/>
        <v>Ô tô tự đổ 22 tấn18</v>
      </c>
      <c r="D2022" s="633">
        <v>7.0000000000000007E-2</v>
      </c>
      <c r="E2022" s="633">
        <v>0.08</v>
      </c>
      <c r="F2022" s="633"/>
      <c r="G2022" s="633"/>
    </row>
    <row r="2023" spans="1:7" ht="18.75" x14ac:dyDescent="0.25">
      <c r="A2023" s="629" t="s">
        <v>3073</v>
      </c>
      <c r="B2023" s="630">
        <v>19</v>
      </c>
      <c r="C2023" s="631" t="str">
        <f t="shared" si="35"/>
        <v>Ô tô tự đổ 22 tấn19</v>
      </c>
      <c r="D2023" s="633">
        <v>7.0000000000000007E-2</v>
      </c>
      <c r="E2023" s="633">
        <v>0.08</v>
      </c>
      <c r="F2023" s="633"/>
      <c r="G2023" s="633"/>
    </row>
    <row r="2024" spans="1:7" ht="18.75" x14ac:dyDescent="0.25">
      <c r="A2024" s="629" t="s">
        <v>3073</v>
      </c>
      <c r="B2024" s="630">
        <v>20</v>
      </c>
      <c r="C2024" s="631" t="str">
        <f t="shared" si="35"/>
        <v>Ô tô tự đổ 22 tấn20</v>
      </c>
      <c r="D2024" s="633">
        <v>7.0000000000000007E-2</v>
      </c>
      <c r="E2024" s="633">
        <v>0.08</v>
      </c>
      <c r="F2024" s="633"/>
      <c r="G2024" s="633"/>
    </row>
    <row r="2025" spans="1:7" ht="18.75" x14ac:dyDescent="0.25">
      <c r="A2025" s="629" t="s">
        <v>3073</v>
      </c>
      <c r="B2025" s="630">
        <v>21</v>
      </c>
      <c r="C2025" s="631" t="str">
        <f t="shared" si="35"/>
        <v>Ô tô tự đổ 22 tấn21</v>
      </c>
      <c r="D2025" s="630"/>
      <c r="E2025" s="630"/>
      <c r="F2025" s="630"/>
      <c r="G2025" s="630"/>
    </row>
    <row r="2026" spans="1:7" ht="18.75" x14ac:dyDescent="0.25">
      <c r="A2026" s="629" t="s">
        <v>3073</v>
      </c>
      <c r="B2026" s="630">
        <v>22</v>
      </c>
      <c r="C2026" s="631" t="str">
        <f t="shared" si="35"/>
        <v>Ô tô tự đổ 22 tấn22</v>
      </c>
      <c r="D2026" s="630"/>
      <c r="E2026" s="630"/>
      <c r="F2026" s="630"/>
      <c r="G2026" s="630"/>
    </row>
    <row r="2027" spans="1:7" ht="18.75" x14ac:dyDescent="0.25">
      <c r="A2027" s="629" t="s">
        <v>3073</v>
      </c>
      <c r="B2027" s="630">
        <v>23</v>
      </c>
      <c r="C2027" s="631" t="str">
        <f t="shared" si="35"/>
        <v>Ô tô tự đổ 22 tấn23</v>
      </c>
      <c r="D2027" s="630"/>
      <c r="E2027" s="630"/>
      <c r="F2027" s="630"/>
      <c r="G2027" s="630"/>
    </row>
    <row r="2028" spans="1:7" ht="18.75" x14ac:dyDescent="0.25">
      <c r="A2028" s="629" t="s">
        <v>3073</v>
      </c>
      <c r="B2028" s="630">
        <v>24</v>
      </c>
      <c r="C2028" s="631" t="str">
        <f t="shared" si="35"/>
        <v>Ô tô tự đổ 22 tấn24</v>
      </c>
      <c r="D2028" s="630"/>
      <c r="E2028" s="630"/>
      <c r="F2028" s="630"/>
      <c r="G2028" s="630"/>
    </row>
    <row r="2029" spans="1:7" ht="18.75" x14ac:dyDescent="0.25">
      <c r="A2029" s="629" t="s">
        <v>3073</v>
      </c>
      <c r="B2029" s="630">
        <v>25</v>
      </c>
      <c r="C2029" s="631" t="str">
        <f t="shared" si="35"/>
        <v>Ô tô tự đổ 22 tấn25</v>
      </c>
      <c r="D2029" s="630"/>
      <c r="E2029" s="630"/>
      <c r="F2029" s="630"/>
      <c r="G2029" s="630"/>
    </row>
    <row r="2030" spans="1:7" ht="18.75" x14ac:dyDescent="0.25">
      <c r="A2030" s="629" t="s">
        <v>3073</v>
      </c>
      <c r="B2030" s="630">
        <v>26</v>
      </c>
      <c r="C2030" s="631" t="str">
        <f t="shared" si="35"/>
        <v>Ô tô tự đổ 22 tấn26</v>
      </c>
      <c r="D2030" s="630"/>
      <c r="E2030" s="630"/>
      <c r="F2030" s="630"/>
      <c r="G2030" s="630"/>
    </row>
    <row r="2031" spans="1:7" ht="18.75" x14ac:dyDescent="0.25">
      <c r="A2031" s="629" t="s">
        <v>3073</v>
      </c>
      <c r="B2031" s="630">
        <v>27</v>
      </c>
      <c r="C2031" s="631" t="str">
        <f t="shared" si="35"/>
        <v>Ô tô tự đổ 22 tấn27</v>
      </c>
      <c r="D2031" s="630"/>
      <c r="E2031" s="630"/>
      <c r="F2031" s="630"/>
      <c r="G2031" s="630"/>
    </row>
    <row r="2032" spans="1:7" ht="18.75" x14ac:dyDescent="0.25">
      <c r="A2032" s="629" t="s">
        <v>3073</v>
      </c>
      <c r="B2032" s="630">
        <v>28</v>
      </c>
      <c r="C2032" s="631" t="str">
        <f t="shared" si="35"/>
        <v>Ô tô tự đổ 22 tấn28</v>
      </c>
      <c r="D2032" s="630"/>
      <c r="E2032" s="630"/>
      <c r="F2032" s="630"/>
      <c r="G2032" s="630"/>
    </row>
    <row r="2033" spans="1:7" ht="18.75" x14ac:dyDescent="0.25">
      <c r="A2033" s="629" t="s">
        <v>3073</v>
      </c>
      <c r="B2033" s="630">
        <v>29</v>
      </c>
      <c r="C2033" s="631" t="str">
        <f t="shared" si="35"/>
        <v>Ô tô tự đổ 22 tấn29</v>
      </c>
      <c r="D2033" s="630"/>
      <c r="E2033" s="630"/>
      <c r="F2033" s="630"/>
      <c r="G2033" s="630"/>
    </row>
    <row r="2034" spans="1:7" ht="18.75" x14ac:dyDescent="0.25">
      <c r="A2034" s="629" t="s">
        <v>3073</v>
      </c>
      <c r="B2034" s="630">
        <v>30</v>
      </c>
      <c r="C2034" s="631" t="str">
        <f t="shared" si="35"/>
        <v>Ô tô tự đổ 22 tấn30</v>
      </c>
      <c r="D2034" s="630"/>
      <c r="E2034" s="630"/>
      <c r="F2034" s="630"/>
      <c r="G2034" s="630"/>
    </row>
    <row r="2035" spans="1:7" ht="18.75" x14ac:dyDescent="0.25">
      <c r="A2035" s="629" t="s">
        <v>3073</v>
      </c>
      <c r="B2035" s="630">
        <v>31</v>
      </c>
      <c r="C2035" s="631" t="str">
        <f t="shared" si="35"/>
        <v>Ô tô tự đổ 22 tấn31</v>
      </c>
      <c r="D2035" s="630"/>
      <c r="E2035" s="630"/>
      <c r="F2035" s="630"/>
      <c r="G2035" s="630"/>
    </row>
    <row r="2036" spans="1:7" ht="18.75" x14ac:dyDescent="0.25">
      <c r="A2036" s="629" t="s">
        <v>3073</v>
      </c>
      <c r="B2036" s="630">
        <v>32</v>
      </c>
      <c r="C2036" s="631" t="str">
        <f t="shared" si="35"/>
        <v>Ô tô tự đổ 22 tấn32</v>
      </c>
      <c r="D2036" s="630"/>
      <c r="E2036" s="630"/>
      <c r="F2036" s="630"/>
      <c r="G2036" s="630"/>
    </row>
    <row r="2037" spans="1:7" ht="18.75" x14ac:dyDescent="0.25">
      <c r="A2037" s="629" t="s">
        <v>3073</v>
      </c>
      <c r="B2037" s="630">
        <v>33</v>
      </c>
      <c r="C2037" s="631" t="str">
        <f t="shared" si="35"/>
        <v>Ô tô tự đổ 22 tấn33</v>
      </c>
      <c r="D2037" s="630"/>
      <c r="E2037" s="630"/>
      <c r="F2037" s="630"/>
      <c r="G2037" s="630"/>
    </row>
    <row r="2038" spans="1:7" ht="18.75" x14ac:dyDescent="0.25">
      <c r="A2038" s="629" t="s">
        <v>3073</v>
      </c>
      <c r="B2038" s="630">
        <v>34</v>
      </c>
      <c r="C2038" s="631" t="str">
        <f t="shared" si="35"/>
        <v>Ô tô tự đổ 22 tấn34</v>
      </c>
      <c r="D2038" s="630"/>
      <c r="E2038" s="630"/>
      <c r="F2038" s="630"/>
      <c r="G2038" s="630"/>
    </row>
    <row r="2039" spans="1:7" ht="18.75" x14ac:dyDescent="0.25">
      <c r="A2039" s="629" t="s">
        <v>3073</v>
      </c>
      <c r="B2039" s="630">
        <v>35</v>
      </c>
      <c r="C2039" s="631" t="str">
        <f t="shared" si="35"/>
        <v>Ô tô tự đổ 22 tấn35</v>
      </c>
      <c r="D2039" s="630"/>
      <c r="E2039" s="630"/>
      <c r="F2039" s="630"/>
      <c r="G2039" s="630"/>
    </row>
    <row r="2040" spans="1:7" ht="18.75" x14ac:dyDescent="0.25">
      <c r="A2040" s="629" t="s">
        <v>3073</v>
      </c>
      <c r="B2040" s="630">
        <v>36</v>
      </c>
      <c r="C2040" s="631" t="str">
        <f t="shared" si="35"/>
        <v>Ô tô tự đổ 22 tấn36</v>
      </c>
      <c r="D2040" s="630"/>
      <c r="E2040" s="630"/>
      <c r="F2040" s="630"/>
      <c r="G2040" s="630"/>
    </row>
    <row r="2041" spans="1:7" ht="18.75" x14ac:dyDescent="0.25">
      <c r="A2041" s="629" t="s">
        <v>3073</v>
      </c>
      <c r="B2041" s="630">
        <v>37</v>
      </c>
      <c r="C2041" s="631" t="str">
        <f t="shared" si="35"/>
        <v>Ô tô tự đổ 22 tấn37</v>
      </c>
      <c r="D2041" s="630"/>
      <c r="E2041" s="630"/>
      <c r="F2041" s="630"/>
      <c r="G2041" s="630"/>
    </row>
    <row r="2042" spans="1:7" ht="18.75" x14ac:dyDescent="0.25">
      <c r="A2042" s="629" t="s">
        <v>3073</v>
      </c>
      <c r="B2042" s="630">
        <v>38</v>
      </c>
      <c r="C2042" s="631" t="str">
        <f t="shared" si="35"/>
        <v>Ô tô tự đổ 22 tấn38</v>
      </c>
      <c r="D2042" s="630"/>
      <c r="E2042" s="630"/>
      <c r="F2042" s="630"/>
      <c r="G2042" s="630"/>
    </row>
    <row r="2043" spans="1:7" ht="18.75" x14ac:dyDescent="0.25">
      <c r="A2043" s="629" t="s">
        <v>3073</v>
      </c>
      <c r="B2043" s="630">
        <v>39</v>
      </c>
      <c r="C2043" s="631" t="str">
        <f t="shared" si="35"/>
        <v>Ô tô tự đổ 22 tấn39</v>
      </c>
      <c r="D2043" s="630"/>
      <c r="E2043" s="630"/>
      <c r="F2043" s="630"/>
      <c r="G2043" s="630"/>
    </row>
    <row r="2044" spans="1:7" ht="18.75" x14ac:dyDescent="0.25">
      <c r="A2044" s="629" t="s">
        <v>3073</v>
      </c>
      <c r="B2044" s="630">
        <v>40</v>
      </c>
      <c r="C2044" s="631" t="str">
        <f t="shared" si="35"/>
        <v>Ô tô tự đổ 22 tấn40</v>
      </c>
      <c r="D2044" s="630"/>
      <c r="E2044" s="630"/>
      <c r="F2044" s="630"/>
      <c r="G2044" s="630"/>
    </row>
    <row r="2045" spans="1:7" ht="18.75" x14ac:dyDescent="0.25">
      <c r="A2045" s="629" t="s">
        <v>3073</v>
      </c>
      <c r="B2045" s="630">
        <v>41</v>
      </c>
      <c r="C2045" s="631" t="str">
        <f t="shared" si="35"/>
        <v>Ô tô tự đổ 22 tấn41</v>
      </c>
      <c r="D2045" s="630"/>
      <c r="E2045" s="630"/>
      <c r="F2045" s="630"/>
      <c r="G2045" s="630"/>
    </row>
    <row r="2046" spans="1:7" ht="18.75" x14ac:dyDescent="0.25">
      <c r="A2046" s="629" t="s">
        <v>3073</v>
      </c>
      <c r="B2046" s="630">
        <v>42</v>
      </c>
      <c r="C2046" s="631" t="str">
        <f t="shared" si="35"/>
        <v>Ô tô tự đổ 22 tấn42</v>
      </c>
      <c r="D2046" s="630"/>
      <c r="E2046" s="630"/>
      <c r="F2046" s="630"/>
      <c r="G2046" s="630"/>
    </row>
    <row r="2047" spans="1:7" ht="18.75" x14ac:dyDescent="0.25">
      <c r="A2047" s="629" t="s">
        <v>3073</v>
      </c>
      <c r="B2047" s="630">
        <v>43</v>
      </c>
      <c r="C2047" s="631" t="str">
        <f t="shared" si="35"/>
        <v>Ô tô tự đổ 22 tấn43</v>
      </c>
      <c r="D2047" s="630"/>
      <c r="E2047" s="630"/>
      <c r="F2047" s="630"/>
      <c r="G2047" s="630"/>
    </row>
    <row r="2048" spans="1:7" ht="18.75" x14ac:dyDescent="0.25">
      <c r="A2048" s="629" t="s">
        <v>3073</v>
      </c>
      <c r="B2048" s="630">
        <v>44</v>
      </c>
      <c r="C2048" s="631" t="str">
        <f t="shared" si="35"/>
        <v>Ô tô tự đổ 22 tấn44</v>
      </c>
      <c r="D2048" s="630"/>
      <c r="E2048" s="630"/>
      <c r="F2048" s="630"/>
      <c r="G2048" s="630"/>
    </row>
    <row r="2049" spans="1:7" ht="18.75" x14ac:dyDescent="0.25">
      <c r="A2049" s="629" t="s">
        <v>3073</v>
      </c>
      <c r="B2049" s="630">
        <v>45</v>
      </c>
      <c r="C2049" s="631" t="str">
        <f t="shared" si="35"/>
        <v>Ô tô tự đổ 22 tấn45</v>
      </c>
      <c r="D2049" s="630"/>
      <c r="E2049" s="630"/>
      <c r="F2049" s="630"/>
      <c r="G2049" s="630"/>
    </row>
    <row r="2050" spans="1:7" ht="18.75" x14ac:dyDescent="0.25">
      <c r="A2050" s="629" t="s">
        <v>3073</v>
      </c>
      <c r="B2050" s="630">
        <v>46</v>
      </c>
      <c r="C2050" s="631" t="str">
        <f t="shared" si="35"/>
        <v>Ô tô tự đổ 22 tấn46</v>
      </c>
      <c r="D2050" s="630"/>
      <c r="E2050" s="630"/>
      <c r="F2050" s="630"/>
      <c r="G2050" s="630"/>
    </row>
    <row r="2051" spans="1:7" ht="18.75" x14ac:dyDescent="0.25">
      <c r="A2051" s="629" t="s">
        <v>3073</v>
      </c>
      <c r="B2051" s="630">
        <v>47</v>
      </c>
      <c r="C2051" s="631" t="str">
        <f t="shared" si="35"/>
        <v>Ô tô tự đổ 22 tấn47</v>
      </c>
      <c r="D2051" s="630"/>
      <c r="E2051" s="630"/>
      <c r="F2051" s="630"/>
      <c r="G2051" s="630"/>
    </row>
    <row r="2052" spans="1:7" ht="18.75" x14ac:dyDescent="0.25">
      <c r="A2052" s="629" t="s">
        <v>3073</v>
      </c>
      <c r="B2052" s="630">
        <v>48</v>
      </c>
      <c r="C2052" s="631" t="str">
        <f t="shared" si="35"/>
        <v>Ô tô tự đổ 22 tấn48</v>
      </c>
      <c r="D2052" s="630"/>
      <c r="E2052" s="630"/>
      <c r="F2052" s="630"/>
      <c r="G2052" s="630"/>
    </row>
    <row r="2053" spans="1:7" ht="18.75" x14ac:dyDescent="0.25">
      <c r="A2053" s="629" t="s">
        <v>3073</v>
      </c>
      <c r="B2053" s="630">
        <v>49</v>
      </c>
      <c r="C2053" s="631" t="str">
        <f t="shared" si="35"/>
        <v>Ô tô tự đổ 22 tấn49</v>
      </c>
      <c r="D2053" s="630"/>
      <c r="E2053" s="630"/>
      <c r="F2053" s="630"/>
      <c r="G2053" s="630"/>
    </row>
    <row r="2054" spans="1:7" ht="18.75" x14ac:dyDescent="0.25">
      <c r="A2054" s="629" t="s">
        <v>3073</v>
      </c>
      <c r="B2054" s="630">
        <v>50</v>
      </c>
      <c r="C2054" s="631" t="str">
        <f t="shared" si="35"/>
        <v>Ô tô tự đổ 22 tấn50</v>
      </c>
      <c r="D2054" s="630"/>
      <c r="E2054" s="630"/>
      <c r="F2054" s="630"/>
      <c r="G2054" s="630"/>
    </row>
    <row r="2055" spans="1:7" ht="18.75" x14ac:dyDescent="0.25">
      <c r="A2055" s="629" t="s">
        <v>3073</v>
      </c>
      <c r="B2055" s="630">
        <v>51</v>
      </c>
      <c r="C2055" s="631" t="str">
        <f t="shared" si="35"/>
        <v>Ô tô tự đổ 22 tấn51</v>
      </c>
      <c r="D2055" s="630"/>
      <c r="E2055" s="630"/>
      <c r="F2055" s="630"/>
      <c r="G2055" s="630"/>
    </row>
    <row r="2056" spans="1:7" ht="18.75" x14ac:dyDescent="0.25">
      <c r="A2056" s="629" t="s">
        <v>3073</v>
      </c>
      <c r="B2056" s="630">
        <v>52</v>
      </c>
      <c r="C2056" s="631" t="str">
        <f t="shared" si="35"/>
        <v>Ô tô tự đổ 22 tấn52</v>
      </c>
      <c r="D2056" s="630"/>
      <c r="E2056" s="630"/>
      <c r="F2056" s="630"/>
      <c r="G2056" s="630"/>
    </row>
    <row r="2057" spans="1:7" ht="18.75" x14ac:dyDescent="0.25">
      <c r="A2057" s="629" t="s">
        <v>3073</v>
      </c>
      <c r="B2057" s="630">
        <v>53</v>
      </c>
      <c r="C2057" s="631" t="str">
        <f t="shared" si="35"/>
        <v>Ô tô tự đổ 22 tấn53</v>
      </c>
      <c r="D2057" s="630"/>
      <c r="E2057" s="630"/>
      <c r="F2057" s="630"/>
      <c r="G2057" s="630"/>
    </row>
    <row r="2058" spans="1:7" ht="18.75" x14ac:dyDescent="0.25">
      <c r="A2058" s="629" t="s">
        <v>3073</v>
      </c>
      <c r="B2058" s="630">
        <v>54</v>
      </c>
      <c r="C2058" s="631" t="str">
        <f t="shared" si="35"/>
        <v>Ô tô tự đổ 22 tấn54</v>
      </c>
      <c r="D2058" s="630"/>
      <c r="E2058" s="630"/>
      <c r="F2058" s="630"/>
      <c r="G2058" s="630"/>
    </row>
    <row r="2059" spans="1:7" ht="18.75" x14ac:dyDescent="0.25">
      <c r="A2059" s="629" t="s">
        <v>3073</v>
      </c>
      <c r="B2059" s="630">
        <v>55</v>
      </c>
      <c r="C2059" s="631" t="str">
        <f t="shared" si="35"/>
        <v>Ô tô tự đổ 22 tấn55</v>
      </c>
      <c r="D2059" s="630"/>
      <c r="E2059" s="630"/>
      <c r="F2059" s="630"/>
      <c r="G2059" s="630"/>
    </row>
    <row r="2060" spans="1:7" ht="18.75" x14ac:dyDescent="0.25">
      <c r="A2060" s="629" t="s">
        <v>3073</v>
      </c>
      <c r="B2060" s="630">
        <v>56</v>
      </c>
      <c r="C2060" s="631" t="str">
        <f t="shared" si="35"/>
        <v>Ô tô tự đổ 22 tấn56</v>
      </c>
      <c r="D2060" s="630"/>
      <c r="E2060" s="630"/>
      <c r="F2060" s="630"/>
      <c r="G2060" s="630"/>
    </row>
    <row r="2061" spans="1:7" ht="18.75" x14ac:dyDescent="0.25">
      <c r="A2061" s="629" t="s">
        <v>3073</v>
      </c>
      <c r="B2061" s="630">
        <v>57</v>
      </c>
      <c r="C2061" s="631" t="str">
        <f t="shared" si="35"/>
        <v>Ô tô tự đổ 22 tấn57</v>
      </c>
      <c r="D2061" s="630"/>
      <c r="E2061" s="630"/>
      <c r="F2061" s="630"/>
      <c r="G2061" s="630"/>
    </row>
    <row r="2062" spans="1:7" ht="18.75" x14ac:dyDescent="0.25">
      <c r="A2062" s="629" t="s">
        <v>3073</v>
      </c>
      <c r="B2062" s="630">
        <v>58</v>
      </c>
      <c r="C2062" s="631" t="str">
        <f t="shared" si="35"/>
        <v>Ô tô tự đổ 22 tấn58</v>
      </c>
      <c r="D2062" s="630"/>
      <c r="E2062" s="630"/>
      <c r="F2062" s="630"/>
      <c r="G2062" s="630"/>
    </row>
    <row r="2063" spans="1:7" ht="18.75" x14ac:dyDescent="0.25">
      <c r="A2063" s="629" t="s">
        <v>3073</v>
      </c>
      <c r="B2063" s="630">
        <v>59</v>
      </c>
      <c r="C2063" s="631" t="str">
        <f t="shared" si="35"/>
        <v>Ô tô tự đổ 22 tấn59</v>
      </c>
      <c r="D2063" s="630"/>
      <c r="E2063" s="630"/>
      <c r="F2063" s="630"/>
      <c r="G2063" s="630"/>
    </row>
    <row r="2064" spans="1:7" ht="18.75" x14ac:dyDescent="0.25">
      <c r="A2064" s="629" t="s">
        <v>3073</v>
      </c>
      <c r="B2064" s="630">
        <v>60</v>
      </c>
      <c r="C2064" s="631" t="str">
        <f t="shared" si="35"/>
        <v>Ô tô tự đổ 22 tấn60</v>
      </c>
      <c r="D2064" s="630"/>
      <c r="E2064" s="630"/>
      <c r="F2064" s="630"/>
      <c r="G2064" s="630"/>
    </row>
    <row r="2065" spans="1:7" ht="18.75" x14ac:dyDescent="0.25">
      <c r="A2065" s="629" t="s">
        <v>3073</v>
      </c>
      <c r="B2065" s="630">
        <v>61</v>
      </c>
      <c r="C2065" s="631" t="str">
        <f t="shared" si="35"/>
        <v>Ô tô tự đổ 22 tấn61</v>
      </c>
      <c r="D2065" s="630"/>
      <c r="E2065" s="630"/>
      <c r="F2065" s="630"/>
      <c r="G2065" s="630"/>
    </row>
    <row r="2066" spans="1:7" ht="18.75" x14ac:dyDescent="0.25">
      <c r="A2066" s="629" t="s">
        <v>3073</v>
      </c>
      <c r="B2066" s="630">
        <v>62</v>
      </c>
      <c r="C2066" s="631" t="str">
        <f t="shared" si="35"/>
        <v>Ô tô tự đổ 22 tấn62</v>
      </c>
      <c r="D2066" s="630"/>
      <c r="E2066" s="630"/>
      <c r="F2066" s="630"/>
      <c r="G2066" s="630"/>
    </row>
    <row r="2067" spans="1:7" ht="18.75" x14ac:dyDescent="0.25">
      <c r="A2067" s="629" t="s">
        <v>3073</v>
      </c>
      <c r="B2067" s="630">
        <v>63</v>
      </c>
      <c r="C2067" s="631" t="str">
        <f t="shared" si="35"/>
        <v>Ô tô tự đổ 22 tấn63</v>
      </c>
      <c r="D2067" s="630"/>
      <c r="E2067" s="630"/>
      <c r="F2067" s="630"/>
      <c r="G2067" s="630"/>
    </row>
    <row r="2068" spans="1:7" ht="18.75" x14ac:dyDescent="0.25">
      <c r="A2068" s="629" t="s">
        <v>3073</v>
      </c>
      <c r="B2068" s="630">
        <v>64</v>
      </c>
      <c r="C2068" s="631" t="str">
        <f t="shared" si="35"/>
        <v>Ô tô tự đổ 22 tấn64</v>
      </c>
      <c r="D2068" s="630"/>
      <c r="E2068" s="630"/>
      <c r="F2068" s="630"/>
      <c r="G2068" s="630"/>
    </row>
    <row r="2069" spans="1:7" ht="18.75" x14ac:dyDescent="0.25">
      <c r="A2069" s="629" t="s">
        <v>3073</v>
      </c>
      <c r="B2069" s="630">
        <v>65</v>
      </c>
      <c r="C2069" s="631" t="str">
        <f t="shared" si="35"/>
        <v>Ô tô tự đổ 22 tấn65</v>
      </c>
      <c r="D2069" s="630"/>
      <c r="E2069" s="630"/>
      <c r="F2069" s="630"/>
      <c r="G2069" s="630"/>
    </row>
    <row r="2070" spans="1:7" ht="18.75" x14ac:dyDescent="0.25">
      <c r="A2070" s="629" t="s">
        <v>3073</v>
      </c>
      <c r="B2070" s="630">
        <v>66</v>
      </c>
      <c r="C2070" s="631" t="str">
        <f t="shared" ref="C2070:C2133" si="36">A2070&amp;B2070</f>
        <v>Ô tô tự đổ 22 tấn66</v>
      </c>
      <c r="D2070" s="630"/>
      <c r="E2070" s="630"/>
      <c r="F2070" s="630"/>
      <c r="G2070" s="630"/>
    </row>
    <row r="2071" spans="1:7" ht="18.75" x14ac:dyDescent="0.25">
      <c r="A2071" s="629" t="s">
        <v>3073</v>
      </c>
      <c r="B2071" s="630">
        <v>67</v>
      </c>
      <c r="C2071" s="631" t="str">
        <f t="shared" si="36"/>
        <v>Ô tô tự đổ 22 tấn67</v>
      </c>
      <c r="D2071" s="630"/>
      <c r="E2071" s="630"/>
      <c r="F2071" s="630"/>
      <c r="G2071" s="630"/>
    </row>
    <row r="2072" spans="1:7" ht="18.75" x14ac:dyDescent="0.25">
      <c r="A2072" s="629" t="s">
        <v>3073</v>
      </c>
      <c r="B2072" s="630">
        <v>68</v>
      </c>
      <c r="C2072" s="631" t="str">
        <f t="shared" si="36"/>
        <v>Ô tô tự đổ 22 tấn68</v>
      </c>
      <c r="D2072" s="630"/>
      <c r="E2072" s="630"/>
      <c r="F2072" s="630"/>
      <c r="G2072" s="630"/>
    </row>
    <row r="2073" spans="1:7" ht="18.75" x14ac:dyDescent="0.25">
      <c r="A2073" s="629" t="s">
        <v>3073</v>
      </c>
      <c r="B2073" s="630">
        <v>69</v>
      </c>
      <c r="C2073" s="631" t="str">
        <f t="shared" si="36"/>
        <v>Ô tô tự đổ 22 tấn69</v>
      </c>
      <c r="D2073" s="630"/>
      <c r="E2073" s="630"/>
      <c r="F2073" s="630"/>
      <c r="G2073" s="630"/>
    </row>
    <row r="2074" spans="1:7" ht="18.75" x14ac:dyDescent="0.25">
      <c r="A2074" s="629" t="s">
        <v>3073</v>
      </c>
      <c r="B2074" s="630">
        <v>70</v>
      </c>
      <c r="C2074" s="631" t="str">
        <f t="shared" si="36"/>
        <v>Ô tô tự đổ 22 tấn70</v>
      </c>
      <c r="D2074" s="630"/>
      <c r="E2074" s="630"/>
      <c r="F2074" s="630"/>
      <c r="G2074" s="630"/>
    </row>
    <row r="2075" spans="1:7" ht="18.75" x14ac:dyDescent="0.25">
      <c r="A2075" s="629" t="s">
        <v>3073</v>
      </c>
      <c r="B2075" s="630">
        <v>71</v>
      </c>
      <c r="C2075" s="631" t="str">
        <f t="shared" si="36"/>
        <v>Ô tô tự đổ 22 tấn71</v>
      </c>
      <c r="D2075" s="630"/>
      <c r="E2075" s="630"/>
      <c r="F2075" s="630"/>
      <c r="G2075" s="630"/>
    </row>
    <row r="2076" spans="1:7" ht="18.75" x14ac:dyDescent="0.25">
      <c r="A2076" s="629" t="s">
        <v>3073</v>
      </c>
      <c r="B2076" s="630">
        <v>72</v>
      </c>
      <c r="C2076" s="631" t="str">
        <f t="shared" si="36"/>
        <v>Ô tô tự đổ 22 tấn72</v>
      </c>
      <c r="D2076" s="630"/>
      <c r="E2076" s="630"/>
      <c r="F2076" s="630"/>
      <c r="G2076" s="630"/>
    </row>
    <row r="2077" spans="1:7" ht="18.75" x14ac:dyDescent="0.25">
      <c r="A2077" s="629" t="s">
        <v>3073</v>
      </c>
      <c r="B2077" s="630">
        <v>73</v>
      </c>
      <c r="C2077" s="631" t="str">
        <f t="shared" si="36"/>
        <v>Ô tô tự đổ 22 tấn73</v>
      </c>
      <c r="D2077" s="630"/>
      <c r="E2077" s="630"/>
      <c r="F2077" s="630"/>
      <c r="G2077" s="630"/>
    </row>
    <row r="2078" spans="1:7" ht="18.75" x14ac:dyDescent="0.25">
      <c r="A2078" s="629" t="s">
        <v>3073</v>
      </c>
      <c r="B2078" s="630">
        <v>74</v>
      </c>
      <c r="C2078" s="631" t="str">
        <f t="shared" si="36"/>
        <v>Ô tô tự đổ 22 tấn74</v>
      </c>
      <c r="D2078" s="630"/>
      <c r="E2078" s="630"/>
      <c r="F2078" s="630"/>
      <c r="G2078" s="630"/>
    </row>
    <row r="2079" spans="1:7" ht="18.75" x14ac:dyDescent="0.25">
      <c r="A2079" s="629" t="s">
        <v>3073</v>
      </c>
      <c r="B2079" s="630">
        <v>75</v>
      </c>
      <c r="C2079" s="631" t="str">
        <f t="shared" si="36"/>
        <v>Ô tô tự đổ 22 tấn75</v>
      </c>
      <c r="D2079" s="630"/>
      <c r="E2079" s="630"/>
      <c r="F2079" s="630"/>
      <c r="G2079" s="630"/>
    </row>
    <row r="2080" spans="1:7" ht="18.75" x14ac:dyDescent="0.25">
      <c r="A2080" s="629" t="s">
        <v>3073</v>
      </c>
      <c r="B2080" s="630">
        <v>76</v>
      </c>
      <c r="C2080" s="631" t="str">
        <f t="shared" si="36"/>
        <v>Ô tô tự đổ 22 tấn76</v>
      </c>
      <c r="D2080" s="630"/>
      <c r="E2080" s="630"/>
      <c r="F2080" s="630"/>
      <c r="G2080" s="630"/>
    </row>
    <row r="2081" spans="1:7" ht="18.75" x14ac:dyDescent="0.25">
      <c r="A2081" s="629" t="s">
        <v>3073</v>
      </c>
      <c r="B2081" s="630">
        <v>77</v>
      </c>
      <c r="C2081" s="631" t="str">
        <f t="shared" si="36"/>
        <v>Ô tô tự đổ 22 tấn77</v>
      </c>
      <c r="D2081" s="630"/>
      <c r="E2081" s="630"/>
      <c r="F2081" s="630"/>
      <c r="G2081" s="630"/>
    </row>
    <row r="2082" spans="1:7" ht="18.75" x14ac:dyDescent="0.25">
      <c r="A2082" s="629" t="s">
        <v>3073</v>
      </c>
      <c r="B2082" s="630">
        <v>78</v>
      </c>
      <c r="C2082" s="631" t="str">
        <f t="shared" si="36"/>
        <v>Ô tô tự đổ 22 tấn78</v>
      </c>
      <c r="D2082" s="630"/>
      <c r="E2082" s="630"/>
      <c r="F2082" s="630"/>
      <c r="G2082" s="630"/>
    </row>
    <row r="2083" spans="1:7" ht="18.75" x14ac:dyDescent="0.25">
      <c r="A2083" s="629" t="s">
        <v>3073</v>
      </c>
      <c r="B2083" s="630">
        <v>79</v>
      </c>
      <c r="C2083" s="631" t="str">
        <f t="shared" si="36"/>
        <v>Ô tô tự đổ 22 tấn79</v>
      </c>
      <c r="D2083" s="630"/>
      <c r="E2083" s="630"/>
      <c r="F2083" s="630"/>
      <c r="G2083" s="630"/>
    </row>
    <row r="2084" spans="1:7" ht="18.75" x14ac:dyDescent="0.25">
      <c r="A2084" s="629" t="s">
        <v>3073</v>
      </c>
      <c r="B2084" s="630">
        <v>80</v>
      </c>
      <c r="C2084" s="631" t="str">
        <f t="shared" si="36"/>
        <v>Ô tô tự đổ 22 tấn80</v>
      </c>
      <c r="D2084" s="630"/>
      <c r="E2084" s="630"/>
      <c r="F2084" s="630"/>
      <c r="G2084" s="630"/>
    </row>
    <row r="2085" spans="1:7" ht="18.75" x14ac:dyDescent="0.25">
      <c r="A2085" s="629" t="s">
        <v>3073</v>
      </c>
      <c r="B2085" s="630">
        <v>81</v>
      </c>
      <c r="C2085" s="631" t="str">
        <f t="shared" si="36"/>
        <v>Ô tô tự đổ 22 tấn81</v>
      </c>
      <c r="D2085" s="630"/>
      <c r="E2085" s="630"/>
      <c r="F2085" s="630"/>
      <c r="G2085" s="630"/>
    </row>
    <row r="2086" spans="1:7" ht="18.75" x14ac:dyDescent="0.25">
      <c r="A2086" s="629" t="s">
        <v>3073</v>
      </c>
      <c r="B2086" s="630">
        <v>82</v>
      </c>
      <c r="C2086" s="631" t="str">
        <f t="shared" si="36"/>
        <v>Ô tô tự đổ 22 tấn82</v>
      </c>
      <c r="D2086" s="630"/>
      <c r="E2086" s="630"/>
      <c r="F2086" s="630"/>
      <c r="G2086" s="630"/>
    </row>
    <row r="2087" spans="1:7" ht="18.75" x14ac:dyDescent="0.25">
      <c r="A2087" s="629" t="s">
        <v>3073</v>
      </c>
      <c r="B2087" s="630">
        <v>83</v>
      </c>
      <c r="C2087" s="631" t="str">
        <f t="shared" si="36"/>
        <v>Ô tô tự đổ 22 tấn83</v>
      </c>
      <c r="D2087" s="630"/>
      <c r="E2087" s="630"/>
      <c r="F2087" s="630"/>
      <c r="G2087" s="630"/>
    </row>
    <row r="2088" spans="1:7" ht="18.75" x14ac:dyDescent="0.25">
      <c r="A2088" s="629" t="s">
        <v>3073</v>
      </c>
      <c r="B2088" s="630">
        <v>84</v>
      </c>
      <c r="C2088" s="631" t="str">
        <f t="shared" si="36"/>
        <v>Ô tô tự đổ 22 tấn84</v>
      </c>
      <c r="D2088" s="630"/>
      <c r="E2088" s="630"/>
      <c r="F2088" s="630"/>
      <c r="G2088" s="630"/>
    </row>
    <row r="2089" spans="1:7" ht="18.75" x14ac:dyDescent="0.25">
      <c r="A2089" s="629" t="s">
        <v>3073</v>
      </c>
      <c r="B2089" s="630">
        <v>85</v>
      </c>
      <c r="C2089" s="631" t="str">
        <f t="shared" si="36"/>
        <v>Ô tô tự đổ 22 tấn85</v>
      </c>
      <c r="D2089" s="630"/>
      <c r="E2089" s="630"/>
      <c r="F2089" s="630"/>
      <c r="G2089" s="630"/>
    </row>
    <row r="2090" spans="1:7" ht="18.75" x14ac:dyDescent="0.25">
      <c r="A2090" s="629" t="s">
        <v>3073</v>
      </c>
      <c r="B2090" s="630">
        <v>86</v>
      </c>
      <c r="C2090" s="631" t="str">
        <f t="shared" si="36"/>
        <v>Ô tô tự đổ 22 tấn86</v>
      </c>
      <c r="D2090" s="630"/>
      <c r="E2090" s="630"/>
      <c r="F2090" s="630"/>
      <c r="G2090" s="630"/>
    </row>
    <row r="2091" spans="1:7" ht="18.75" x14ac:dyDescent="0.25">
      <c r="A2091" s="629" t="s">
        <v>3073</v>
      </c>
      <c r="B2091" s="630">
        <v>87</v>
      </c>
      <c r="C2091" s="631" t="str">
        <f t="shared" si="36"/>
        <v>Ô tô tự đổ 22 tấn87</v>
      </c>
      <c r="D2091" s="630"/>
      <c r="E2091" s="630"/>
      <c r="F2091" s="630"/>
      <c r="G2091" s="630"/>
    </row>
    <row r="2092" spans="1:7" ht="18.75" x14ac:dyDescent="0.25">
      <c r="A2092" s="629" t="s">
        <v>3073</v>
      </c>
      <c r="B2092" s="630">
        <v>88</v>
      </c>
      <c r="C2092" s="631" t="str">
        <f t="shared" si="36"/>
        <v>Ô tô tự đổ 22 tấn88</v>
      </c>
      <c r="D2092" s="630"/>
      <c r="E2092" s="630"/>
      <c r="F2092" s="630"/>
      <c r="G2092" s="630"/>
    </row>
    <row r="2093" spans="1:7" ht="18.75" x14ac:dyDescent="0.25">
      <c r="A2093" s="629" t="s">
        <v>3073</v>
      </c>
      <c r="B2093" s="630">
        <v>89</v>
      </c>
      <c r="C2093" s="631" t="str">
        <f t="shared" si="36"/>
        <v>Ô tô tự đổ 22 tấn89</v>
      </c>
      <c r="D2093" s="630"/>
      <c r="E2093" s="630"/>
      <c r="F2093" s="630"/>
      <c r="G2093" s="630"/>
    </row>
    <row r="2094" spans="1:7" ht="18.75" x14ac:dyDescent="0.25">
      <c r="A2094" s="629" t="s">
        <v>3073</v>
      </c>
      <c r="B2094" s="630">
        <v>90</v>
      </c>
      <c r="C2094" s="631" t="str">
        <f t="shared" si="36"/>
        <v>Ô tô tự đổ 22 tấn90</v>
      </c>
      <c r="D2094" s="630"/>
      <c r="E2094" s="630"/>
      <c r="F2094" s="630"/>
      <c r="G2094" s="630"/>
    </row>
    <row r="2095" spans="1:7" ht="18.75" x14ac:dyDescent="0.25">
      <c r="A2095" s="629" t="s">
        <v>3073</v>
      </c>
      <c r="B2095" s="630">
        <v>91</v>
      </c>
      <c r="C2095" s="631" t="str">
        <f t="shared" si="36"/>
        <v>Ô tô tự đổ 22 tấn91</v>
      </c>
      <c r="D2095" s="630"/>
      <c r="E2095" s="630"/>
      <c r="F2095" s="630"/>
      <c r="G2095" s="630"/>
    </row>
    <row r="2096" spans="1:7" ht="18.75" x14ac:dyDescent="0.25">
      <c r="A2096" s="629" t="s">
        <v>3073</v>
      </c>
      <c r="B2096" s="630">
        <v>92</v>
      </c>
      <c r="C2096" s="631" t="str">
        <f t="shared" si="36"/>
        <v>Ô tô tự đổ 22 tấn92</v>
      </c>
      <c r="D2096" s="630"/>
      <c r="E2096" s="630"/>
      <c r="F2096" s="630"/>
      <c r="G2096" s="630"/>
    </row>
    <row r="2097" spans="1:7" ht="18.75" x14ac:dyDescent="0.25">
      <c r="A2097" s="629" t="s">
        <v>3073</v>
      </c>
      <c r="B2097" s="630">
        <v>93</v>
      </c>
      <c r="C2097" s="631" t="str">
        <f t="shared" si="36"/>
        <v>Ô tô tự đổ 22 tấn93</v>
      </c>
      <c r="D2097" s="630"/>
      <c r="E2097" s="630"/>
      <c r="F2097" s="630"/>
      <c r="G2097" s="630"/>
    </row>
    <row r="2098" spans="1:7" ht="18.75" x14ac:dyDescent="0.25">
      <c r="A2098" s="629" t="s">
        <v>3073</v>
      </c>
      <c r="B2098" s="630">
        <v>94</v>
      </c>
      <c r="C2098" s="631" t="str">
        <f t="shared" si="36"/>
        <v>Ô tô tự đổ 22 tấn94</v>
      </c>
      <c r="D2098" s="630"/>
      <c r="E2098" s="630"/>
      <c r="F2098" s="630"/>
      <c r="G2098" s="630"/>
    </row>
    <row r="2099" spans="1:7" ht="18.75" x14ac:dyDescent="0.25">
      <c r="A2099" s="629" t="s">
        <v>3073</v>
      </c>
      <c r="B2099" s="630">
        <v>95</v>
      </c>
      <c r="C2099" s="631" t="str">
        <f t="shared" si="36"/>
        <v>Ô tô tự đổ 22 tấn95</v>
      </c>
      <c r="D2099" s="630"/>
      <c r="E2099" s="630"/>
      <c r="F2099" s="630"/>
      <c r="G2099" s="630"/>
    </row>
    <row r="2100" spans="1:7" ht="18.75" x14ac:dyDescent="0.25">
      <c r="A2100" s="629" t="s">
        <v>3073</v>
      </c>
      <c r="B2100" s="630">
        <v>96</v>
      </c>
      <c r="C2100" s="631" t="str">
        <f t="shared" si="36"/>
        <v>Ô tô tự đổ 22 tấn96</v>
      </c>
      <c r="D2100" s="630"/>
      <c r="E2100" s="630"/>
      <c r="F2100" s="630"/>
      <c r="G2100" s="630"/>
    </row>
    <row r="2101" spans="1:7" ht="18.75" x14ac:dyDescent="0.25">
      <c r="A2101" s="629" t="s">
        <v>3073</v>
      </c>
      <c r="B2101" s="630">
        <v>97</v>
      </c>
      <c r="C2101" s="631" t="str">
        <f t="shared" si="36"/>
        <v>Ô tô tự đổ 22 tấn97</v>
      </c>
      <c r="D2101" s="630"/>
      <c r="E2101" s="630"/>
      <c r="F2101" s="630"/>
      <c r="G2101" s="630"/>
    </row>
    <row r="2102" spans="1:7" ht="18.75" x14ac:dyDescent="0.25">
      <c r="A2102" s="629" t="s">
        <v>3073</v>
      </c>
      <c r="B2102" s="630">
        <v>98</v>
      </c>
      <c r="C2102" s="631" t="str">
        <f t="shared" si="36"/>
        <v>Ô tô tự đổ 22 tấn98</v>
      </c>
      <c r="D2102" s="630"/>
      <c r="E2102" s="630"/>
      <c r="F2102" s="630"/>
      <c r="G2102" s="630"/>
    </row>
    <row r="2103" spans="1:7" ht="18.75" x14ac:dyDescent="0.25">
      <c r="A2103" s="629" t="s">
        <v>3073</v>
      </c>
      <c r="B2103" s="630">
        <v>99</v>
      </c>
      <c r="C2103" s="631" t="str">
        <f t="shared" si="36"/>
        <v>Ô tô tự đổ 22 tấn99</v>
      </c>
      <c r="D2103" s="630"/>
      <c r="E2103" s="630"/>
      <c r="F2103" s="630"/>
      <c r="G2103" s="630"/>
    </row>
    <row r="2104" spans="1:7" ht="18.75" x14ac:dyDescent="0.25">
      <c r="A2104" s="629" t="s">
        <v>3073</v>
      </c>
      <c r="B2104" s="630">
        <v>100</v>
      </c>
      <c r="C2104" s="631" t="str">
        <f t="shared" si="36"/>
        <v>Ô tô tự đổ 22 tấn100</v>
      </c>
      <c r="D2104" s="630"/>
      <c r="E2104" s="630"/>
      <c r="F2104" s="630"/>
      <c r="G2104" s="630"/>
    </row>
    <row r="2105" spans="1:7" ht="18.75" x14ac:dyDescent="0.25">
      <c r="A2105" s="629" t="s">
        <v>3073</v>
      </c>
      <c r="B2105" s="630">
        <v>101</v>
      </c>
      <c r="C2105" s="631" t="str">
        <f t="shared" si="36"/>
        <v>Ô tô tự đổ 22 tấn101</v>
      </c>
      <c r="D2105" s="630"/>
      <c r="E2105" s="630"/>
      <c r="F2105" s="630"/>
      <c r="G2105" s="630"/>
    </row>
    <row r="2106" spans="1:7" ht="18.75" x14ac:dyDescent="0.25">
      <c r="A2106" s="629" t="s">
        <v>3073</v>
      </c>
      <c r="B2106" s="630">
        <v>102</v>
      </c>
      <c r="C2106" s="631" t="str">
        <f t="shared" si="36"/>
        <v>Ô tô tự đổ 22 tấn102</v>
      </c>
      <c r="D2106" s="630"/>
      <c r="E2106" s="630"/>
      <c r="F2106" s="630"/>
      <c r="G2106" s="630"/>
    </row>
    <row r="2107" spans="1:7" ht="18.75" x14ac:dyDescent="0.25">
      <c r="A2107" s="629" t="s">
        <v>3073</v>
      </c>
      <c r="B2107" s="630">
        <v>103</v>
      </c>
      <c r="C2107" s="631" t="str">
        <f t="shared" si="36"/>
        <v>Ô tô tự đổ 22 tấn103</v>
      </c>
      <c r="D2107" s="630"/>
      <c r="E2107" s="630"/>
      <c r="F2107" s="630"/>
      <c r="G2107" s="630"/>
    </row>
    <row r="2108" spans="1:7" ht="18.75" x14ac:dyDescent="0.25">
      <c r="A2108" s="629" t="s">
        <v>3073</v>
      </c>
      <c r="B2108" s="630">
        <v>104</v>
      </c>
      <c r="C2108" s="631" t="str">
        <f t="shared" si="36"/>
        <v>Ô tô tự đổ 22 tấn104</v>
      </c>
      <c r="D2108" s="630"/>
      <c r="E2108" s="630"/>
      <c r="F2108" s="630"/>
      <c r="G2108" s="630"/>
    </row>
    <row r="2109" spans="1:7" ht="18.75" x14ac:dyDescent="0.25">
      <c r="A2109" s="629" t="s">
        <v>3073</v>
      </c>
      <c r="B2109" s="630">
        <v>105</v>
      </c>
      <c r="C2109" s="631" t="str">
        <f t="shared" si="36"/>
        <v>Ô tô tự đổ 22 tấn105</v>
      </c>
      <c r="D2109" s="630"/>
      <c r="E2109" s="630"/>
      <c r="F2109" s="630"/>
      <c r="G2109" s="630"/>
    </row>
    <row r="2110" spans="1:7" ht="18.75" x14ac:dyDescent="0.25">
      <c r="A2110" s="629" t="s">
        <v>3073</v>
      </c>
      <c r="B2110" s="630">
        <v>106</v>
      </c>
      <c r="C2110" s="631" t="str">
        <f t="shared" si="36"/>
        <v>Ô tô tự đổ 22 tấn106</v>
      </c>
      <c r="D2110" s="630"/>
      <c r="E2110" s="630"/>
      <c r="F2110" s="630"/>
      <c r="G2110" s="630"/>
    </row>
    <row r="2111" spans="1:7" ht="18.75" x14ac:dyDescent="0.25">
      <c r="A2111" s="629" t="s">
        <v>3073</v>
      </c>
      <c r="B2111" s="630">
        <v>107</v>
      </c>
      <c r="C2111" s="631" t="str">
        <f t="shared" si="36"/>
        <v>Ô tô tự đổ 22 tấn107</v>
      </c>
      <c r="D2111" s="630"/>
      <c r="E2111" s="630"/>
      <c r="F2111" s="630"/>
      <c r="G2111" s="630"/>
    </row>
    <row r="2112" spans="1:7" ht="18.75" x14ac:dyDescent="0.25">
      <c r="A2112" s="629" t="s">
        <v>3073</v>
      </c>
      <c r="B2112" s="630">
        <v>108</v>
      </c>
      <c r="C2112" s="631" t="str">
        <f t="shared" si="36"/>
        <v>Ô tô tự đổ 22 tấn108</v>
      </c>
      <c r="D2112" s="630"/>
      <c r="E2112" s="630"/>
      <c r="F2112" s="630"/>
      <c r="G2112" s="630"/>
    </row>
    <row r="2113" spans="1:7" ht="18.75" x14ac:dyDescent="0.25">
      <c r="A2113" s="629" t="s">
        <v>3073</v>
      </c>
      <c r="B2113" s="630">
        <v>109</v>
      </c>
      <c r="C2113" s="631" t="str">
        <f t="shared" si="36"/>
        <v>Ô tô tự đổ 22 tấn109</v>
      </c>
      <c r="D2113" s="630"/>
      <c r="E2113" s="630"/>
      <c r="F2113" s="630"/>
      <c r="G2113" s="630"/>
    </row>
    <row r="2114" spans="1:7" ht="18.75" x14ac:dyDescent="0.25">
      <c r="A2114" s="629" t="s">
        <v>3073</v>
      </c>
      <c r="B2114" s="630">
        <v>110</v>
      </c>
      <c r="C2114" s="631" t="str">
        <f t="shared" si="36"/>
        <v>Ô tô tự đổ 22 tấn110</v>
      </c>
      <c r="D2114" s="630"/>
      <c r="E2114" s="630"/>
      <c r="F2114" s="630"/>
      <c r="G2114" s="630"/>
    </row>
    <row r="2115" spans="1:7" ht="18.75" x14ac:dyDescent="0.25">
      <c r="A2115" s="629" t="s">
        <v>3073</v>
      </c>
      <c r="B2115" s="630">
        <v>111</v>
      </c>
      <c r="C2115" s="631" t="str">
        <f t="shared" si="36"/>
        <v>Ô tô tự đổ 22 tấn111</v>
      </c>
      <c r="D2115" s="630"/>
      <c r="E2115" s="630"/>
      <c r="F2115" s="630"/>
      <c r="G2115" s="630"/>
    </row>
    <row r="2116" spans="1:7" ht="18.75" x14ac:dyDescent="0.25">
      <c r="A2116" s="629" t="s">
        <v>3073</v>
      </c>
      <c r="B2116" s="630">
        <v>112</v>
      </c>
      <c r="C2116" s="631" t="str">
        <f t="shared" si="36"/>
        <v>Ô tô tự đổ 22 tấn112</v>
      </c>
      <c r="D2116" s="630"/>
      <c r="E2116" s="630"/>
      <c r="F2116" s="630"/>
      <c r="G2116" s="630"/>
    </row>
    <row r="2117" spans="1:7" ht="18.75" x14ac:dyDescent="0.25">
      <c r="A2117" s="629" t="s">
        <v>3073</v>
      </c>
      <c r="B2117" s="630">
        <v>113</v>
      </c>
      <c r="C2117" s="631" t="str">
        <f t="shared" si="36"/>
        <v>Ô tô tự đổ 22 tấn113</v>
      </c>
      <c r="D2117" s="630"/>
      <c r="E2117" s="630"/>
      <c r="F2117" s="630"/>
      <c r="G2117" s="630"/>
    </row>
    <row r="2118" spans="1:7" ht="18.75" x14ac:dyDescent="0.25">
      <c r="A2118" s="629" t="s">
        <v>3073</v>
      </c>
      <c r="B2118" s="630">
        <v>114</v>
      </c>
      <c r="C2118" s="631" t="str">
        <f t="shared" si="36"/>
        <v>Ô tô tự đổ 22 tấn114</v>
      </c>
      <c r="D2118" s="630"/>
      <c r="E2118" s="630"/>
      <c r="F2118" s="630"/>
      <c r="G2118" s="630"/>
    </row>
    <row r="2119" spans="1:7" ht="18.75" x14ac:dyDescent="0.25">
      <c r="A2119" s="629" t="s">
        <v>3073</v>
      </c>
      <c r="B2119" s="630">
        <v>115</v>
      </c>
      <c r="C2119" s="631" t="str">
        <f t="shared" si="36"/>
        <v>Ô tô tự đổ 22 tấn115</v>
      </c>
      <c r="D2119" s="630"/>
      <c r="E2119" s="630"/>
      <c r="F2119" s="630"/>
      <c r="G2119" s="630"/>
    </row>
    <row r="2120" spans="1:7" ht="18.75" x14ac:dyDescent="0.25">
      <c r="A2120" s="629" t="s">
        <v>3073</v>
      </c>
      <c r="B2120" s="630">
        <v>116</v>
      </c>
      <c r="C2120" s="631" t="str">
        <f t="shared" si="36"/>
        <v>Ô tô tự đổ 22 tấn116</v>
      </c>
      <c r="D2120" s="630"/>
      <c r="E2120" s="630"/>
      <c r="F2120" s="630"/>
      <c r="G2120" s="630"/>
    </row>
    <row r="2121" spans="1:7" ht="18.75" x14ac:dyDescent="0.25">
      <c r="A2121" s="629" t="s">
        <v>3073</v>
      </c>
      <c r="B2121" s="630">
        <v>117</v>
      </c>
      <c r="C2121" s="631" t="str">
        <f t="shared" si="36"/>
        <v>Ô tô tự đổ 22 tấn117</v>
      </c>
      <c r="D2121" s="630"/>
      <c r="E2121" s="630"/>
      <c r="F2121" s="630"/>
      <c r="G2121" s="630"/>
    </row>
    <row r="2122" spans="1:7" ht="18.75" x14ac:dyDescent="0.25">
      <c r="A2122" s="629" t="s">
        <v>3073</v>
      </c>
      <c r="B2122" s="630">
        <v>118</v>
      </c>
      <c r="C2122" s="631" t="str">
        <f t="shared" si="36"/>
        <v>Ô tô tự đổ 22 tấn118</v>
      </c>
      <c r="D2122" s="630"/>
      <c r="E2122" s="630"/>
      <c r="F2122" s="630"/>
      <c r="G2122" s="630"/>
    </row>
    <row r="2123" spans="1:7" ht="18.75" x14ac:dyDescent="0.25">
      <c r="A2123" s="629" t="s">
        <v>3073</v>
      </c>
      <c r="B2123" s="630">
        <v>119</v>
      </c>
      <c r="C2123" s="631" t="str">
        <f t="shared" si="36"/>
        <v>Ô tô tự đổ 22 tấn119</v>
      </c>
      <c r="D2123" s="630"/>
      <c r="E2123" s="630"/>
      <c r="F2123" s="630"/>
      <c r="G2123" s="630"/>
    </row>
    <row r="2124" spans="1:7" ht="18.75" x14ac:dyDescent="0.25">
      <c r="A2124" s="629" t="s">
        <v>3073</v>
      </c>
      <c r="B2124" s="630">
        <v>120</v>
      </c>
      <c r="C2124" s="631" t="str">
        <f t="shared" si="36"/>
        <v>Ô tô tự đổ 22 tấn120</v>
      </c>
      <c r="D2124" s="630"/>
      <c r="E2124" s="630"/>
      <c r="F2124" s="630"/>
      <c r="G2124" s="630"/>
    </row>
    <row r="2125" spans="1:7" ht="18.75" x14ac:dyDescent="0.25">
      <c r="A2125" s="629" t="s">
        <v>3073</v>
      </c>
      <c r="B2125" s="630">
        <v>121</v>
      </c>
      <c r="C2125" s="631" t="str">
        <f t="shared" si="36"/>
        <v>Ô tô tự đổ 22 tấn121</v>
      </c>
      <c r="D2125" s="630"/>
      <c r="E2125" s="630"/>
      <c r="F2125" s="630"/>
      <c r="G2125" s="630"/>
    </row>
    <row r="2126" spans="1:7" ht="18.75" x14ac:dyDescent="0.25">
      <c r="A2126" s="629" t="s">
        <v>3073</v>
      </c>
      <c r="B2126" s="630">
        <v>122</v>
      </c>
      <c r="C2126" s="631" t="str">
        <f t="shared" si="36"/>
        <v>Ô tô tự đổ 22 tấn122</v>
      </c>
      <c r="D2126" s="630"/>
      <c r="E2126" s="630"/>
      <c r="F2126" s="630"/>
      <c r="G2126" s="630"/>
    </row>
    <row r="2127" spans="1:7" ht="18.75" x14ac:dyDescent="0.25">
      <c r="A2127" s="629" t="s">
        <v>3073</v>
      </c>
      <c r="B2127" s="630">
        <v>123</v>
      </c>
      <c r="C2127" s="631" t="str">
        <f t="shared" si="36"/>
        <v>Ô tô tự đổ 22 tấn123</v>
      </c>
      <c r="D2127" s="630"/>
      <c r="E2127" s="630"/>
      <c r="F2127" s="630"/>
      <c r="G2127" s="630"/>
    </row>
    <row r="2128" spans="1:7" ht="18.75" x14ac:dyDescent="0.25">
      <c r="A2128" s="629" t="s">
        <v>3073</v>
      </c>
      <c r="B2128" s="630">
        <v>124</v>
      </c>
      <c r="C2128" s="631" t="str">
        <f t="shared" si="36"/>
        <v>Ô tô tự đổ 22 tấn124</v>
      </c>
      <c r="D2128" s="630"/>
      <c r="E2128" s="630"/>
      <c r="F2128" s="630"/>
      <c r="G2128" s="630"/>
    </row>
    <row r="2129" spans="1:7" ht="18.75" x14ac:dyDescent="0.25">
      <c r="A2129" s="629" t="s">
        <v>3073</v>
      </c>
      <c r="B2129" s="630">
        <v>125</v>
      </c>
      <c r="C2129" s="631" t="str">
        <f t="shared" si="36"/>
        <v>Ô tô tự đổ 22 tấn125</v>
      </c>
      <c r="D2129" s="630"/>
      <c r="E2129" s="630"/>
      <c r="F2129" s="630"/>
      <c r="G2129" s="630"/>
    </row>
    <row r="2130" spans="1:7" ht="18.75" x14ac:dyDescent="0.25">
      <c r="A2130" s="629" t="s">
        <v>3073</v>
      </c>
      <c r="B2130" s="630">
        <v>126</v>
      </c>
      <c r="C2130" s="631" t="str">
        <f t="shared" si="36"/>
        <v>Ô tô tự đổ 22 tấn126</v>
      </c>
      <c r="D2130" s="630"/>
      <c r="E2130" s="630"/>
      <c r="F2130" s="630"/>
      <c r="G2130" s="630"/>
    </row>
    <row r="2131" spans="1:7" ht="18.75" x14ac:dyDescent="0.25">
      <c r="A2131" s="629" t="s">
        <v>3073</v>
      </c>
      <c r="B2131" s="630">
        <v>127</v>
      </c>
      <c r="C2131" s="631" t="str">
        <f t="shared" si="36"/>
        <v>Ô tô tự đổ 22 tấn127</v>
      </c>
      <c r="D2131" s="630"/>
      <c r="E2131" s="630"/>
      <c r="F2131" s="630"/>
      <c r="G2131" s="630"/>
    </row>
    <row r="2132" spans="1:7" ht="18.75" x14ac:dyDescent="0.25">
      <c r="A2132" s="629" t="s">
        <v>3073</v>
      </c>
      <c r="B2132" s="630">
        <v>128</v>
      </c>
      <c r="C2132" s="631" t="str">
        <f t="shared" si="36"/>
        <v>Ô tô tự đổ 22 tấn128</v>
      </c>
      <c r="D2132" s="630"/>
      <c r="E2132" s="630"/>
      <c r="F2132" s="630"/>
      <c r="G2132" s="630"/>
    </row>
    <row r="2133" spans="1:7" ht="18.75" x14ac:dyDescent="0.25">
      <c r="A2133" s="629" t="s">
        <v>3073</v>
      </c>
      <c r="B2133" s="630">
        <v>129</v>
      </c>
      <c r="C2133" s="631" t="str">
        <f t="shared" si="36"/>
        <v>Ô tô tự đổ 22 tấn129</v>
      </c>
      <c r="D2133" s="630"/>
      <c r="E2133" s="630"/>
      <c r="F2133" s="630"/>
      <c r="G2133" s="630"/>
    </row>
    <row r="2134" spans="1:7" ht="18.75" x14ac:dyDescent="0.25">
      <c r="A2134" s="629" t="s">
        <v>3073</v>
      </c>
      <c r="B2134" s="630">
        <v>130</v>
      </c>
      <c r="C2134" s="631" t="str">
        <f t="shared" ref="C2134:C2197" si="37">A2134&amp;B2134</f>
        <v>Ô tô tự đổ 22 tấn130</v>
      </c>
      <c r="D2134" s="630"/>
      <c r="E2134" s="630"/>
      <c r="F2134" s="630"/>
      <c r="G2134" s="630"/>
    </row>
    <row r="2135" spans="1:7" ht="18.75" x14ac:dyDescent="0.25">
      <c r="A2135" s="629" t="s">
        <v>3073</v>
      </c>
      <c r="B2135" s="630">
        <v>131</v>
      </c>
      <c r="C2135" s="631" t="str">
        <f t="shared" si="37"/>
        <v>Ô tô tự đổ 22 tấn131</v>
      </c>
      <c r="D2135" s="630"/>
      <c r="E2135" s="630"/>
      <c r="F2135" s="630"/>
      <c r="G2135" s="630"/>
    </row>
    <row r="2136" spans="1:7" ht="18.75" x14ac:dyDescent="0.25">
      <c r="A2136" s="629" t="s">
        <v>3073</v>
      </c>
      <c r="B2136" s="630">
        <v>132</v>
      </c>
      <c r="C2136" s="631" t="str">
        <f t="shared" si="37"/>
        <v>Ô tô tự đổ 22 tấn132</v>
      </c>
      <c r="D2136" s="630"/>
      <c r="E2136" s="630"/>
      <c r="F2136" s="630"/>
      <c r="G2136" s="630"/>
    </row>
    <row r="2137" spans="1:7" ht="18.75" x14ac:dyDescent="0.25">
      <c r="A2137" s="629" t="s">
        <v>3073</v>
      </c>
      <c r="B2137" s="630">
        <v>133</v>
      </c>
      <c r="C2137" s="631" t="str">
        <f t="shared" si="37"/>
        <v>Ô tô tự đổ 22 tấn133</v>
      </c>
      <c r="D2137" s="630"/>
      <c r="E2137" s="630"/>
      <c r="F2137" s="630"/>
      <c r="G2137" s="630"/>
    </row>
    <row r="2138" spans="1:7" ht="18.75" x14ac:dyDescent="0.25">
      <c r="A2138" s="629" t="s">
        <v>3073</v>
      </c>
      <c r="B2138" s="630">
        <v>134</v>
      </c>
      <c r="C2138" s="631" t="str">
        <f t="shared" si="37"/>
        <v>Ô tô tự đổ 22 tấn134</v>
      </c>
      <c r="D2138" s="630"/>
      <c r="E2138" s="630"/>
      <c r="F2138" s="630"/>
      <c r="G2138" s="630"/>
    </row>
    <row r="2139" spans="1:7" ht="18.75" x14ac:dyDescent="0.25">
      <c r="A2139" s="629" t="s">
        <v>3073</v>
      </c>
      <c r="B2139" s="630">
        <v>135</v>
      </c>
      <c r="C2139" s="631" t="str">
        <f t="shared" si="37"/>
        <v>Ô tô tự đổ 22 tấn135</v>
      </c>
      <c r="D2139" s="630"/>
      <c r="E2139" s="630"/>
      <c r="F2139" s="630"/>
      <c r="G2139" s="630"/>
    </row>
    <row r="2140" spans="1:7" ht="18.75" x14ac:dyDescent="0.25">
      <c r="A2140" s="629" t="s">
        <v>3073</v>
      </c>
      <c r="B2140" s="630">
        <v>136</v>
      </c>
      <c r="C2140" s="631" t="str">
        <f t="shared" si="37"/>
        <v>Ô tô tự đổ 22 tấn136</v>
      </c>
      <c r="D2140" s="630"/>
      <c r="E2140" s="630"/>
      <c r="F2140" s="630"/>
      <c r="G2140" s="630"/>
    </row>
    <row r="2141" spans="1:7" ht="18.75" x14ac:dyDescent="0.25">
      <c r="A2141" s="629" t="s">
        <v>3073</v>
      </c>
      <c r="B2141" s="630">
        <v>137</v>
      </c>
      <c r="C2141" s="631" t="str">
        <f t="shared" si="37"/>
        <v>Ô tô tự đổ 22 tấn137</v>
      </c>
      <c r="D2141" s="630"/>
      <c r="E2141" s="630"/>
      <c r="F2141" s="630"/>
      <c r="G2141" s="630"/>
    </row>
    <row r="2142" spans="1:7" ht="18.75" x14ac:dyDescent="0.25">
      <c r="A2142" s="629" t="s">
        <v>3073</v>
      </c>
      <c r="B2142" s="630">
        <v>138</v>
      </c>
      <c r="C2142" s="631" t="str">
        <f t="shared" si="37"/>
        <v>Ô tô tự đổ 22 tấn138</v>
      </c>
      <c r="D2142" s="630"/>
      <c r="E2142" s="630"/>
      <c r="F2142" s="630"/>
      <c r="G2142" s="630"/>
    </row>
    <row r="2143" spans="1:7" ht="18.75" x14ac:dyDescent="0.25">
      <c r="A2143" s="629" t="s">
        <v>3073</v>
      </c>
      <c r="B2143" s="630">
        <v>139</v>
      </c>
      <c r="C2143" s="631" t="str">
        <f t="shared" si="37"/>
        <v>Ô tô tự đổ 22 tấn139</v>
      </c>
      <c r="D2143" s="630"/>
      <c r="E2143" s="630"/>
      <c r="F2143" s="630"/>
      <c r="G2143" s="630"/>
    </row>
    <row r="2144" spans="1:7" ht="18.75" x14ac:dyDescent="0.25">
      <c r="A2144" s="629" t="s">
        <v>3073</v>
      </c>
      <c r="B2144" s="630">
        <v>140</v>
      </c>
      <c r="C2144" s="631" t="str">
        <f t="shared" si="37"/>
        <v>Ô tô tự đổ 22 tấn140</v>
      </c>
      <c r="D2144" s="630"/>
      <c r="E2144" s="630"/>
      <c r="F2144" s="630"/>
      <c r="G2144" s="630"/>
    </row>
    <row r="2145" spans="1:7" ht="18.75" x14ac:dyDescent="0.25">
      <c r="A2145" s="629" t="s">
        <v>3073</v>
      </c>
      <c r="B2145" s="630">
        <v>141</v>
      </c>
      <c r="C2145" s="631" t="str">
        <f t="shared" si="37"/>
        <v>Ô tô tự đổ 22 tấn141</v>
      </c>
      <c r="D2145" s="630"/>
      <c r="E2145" s="630"/>
      <c r="F2145" s="630"/>
      <c r="G2145" s="630"/>
    </row>
    <row r="2146" spans="1:7" ht="18.75" x14ac:dyDescent="0.25">
      <c r="A2146" s="629" t="s">
        <v>3073</v>
      </c>
      <c r="B2146" s="630">
        <v>142</v>
      </c>
      <c r="C2146" s="631" t="str">
        <f t="shared" si="37"/>
        <v>Ô tô tự đổ 22 tấn142</v>
      </c>
      <c r="D2146" s="630"/>
      <c r="E2146" s="630"/>
      <c r="F2146" s="630"/>
      <c r="G2146" s="630"/>
    </row>
    <row r="2147" spans="1:7" ht="18.75" x14ac:dyDescent="0.25">
      <c r="A2147" s="629" t="s">
        <v>3073</v>
      </c>
      <c r="B2147" s="630">
        <v>143</v>
      </c>
      <c r="C2147" s="631" t="str">
        <f t="shared" si="37"/>
        <v>Ô tô tự đổ 22 tấn143</v>
      </c>
      <c r="D2147" s="630"/>
      <c r="E2147" s="630"/>
      <c r="F2147" s="630"/>
      <c r="G2147" s="630"/>
    </row>
    <row r="2148" spans="1:7" ht="18.75" x14ac:dyDescent="0.25">
      <c r="A2148" s="629" t="s">
        <v>3073</v>
      </c>
      <c r="B2148" s="630">
        <v>144</v>
      </c>
      <c r="C2148" s="631" t="str">
        <f t="shared" si="37"/>
        <v>Ô tô tự đổ 22 tấn144</v>
      </c>
      <c r="D2148" s="630"/>
      <c r="E2148" s="630"/>
      <c r="F2148" s="630"/>
      <c r="G2148" s="630"/>
    </row>
    <row r="2149" spans="1:7" ht="18.75" x14ac:dyDescent="0.25">
      <c r="A2149" s="629" t="s">
        <v>3073</v>
      </c>
      <c r="B2149" s="630">
        <v>145</v>
      </c>
      <c r="C2149" s="631" t="str">
        <f t="shared" si="37"/>
        <v>Ô tô tự đổ 22 tấn145</v>
      </c>
      <c r="D2149" s="630"/>
      <c r="E2149" s="630"/>
      <c r="F2149" s="630"/>
      <c r="G2149" s="630"/>
    </row>
    <row r="2150" spans="1:7" ht="18.75" x14ac:dyDescent="0.25">
      <c r="A2150" s="629" t="s">
        <v>3073</v>
      </c>
      <c r="B2150" s="630">
        <v>146</v>
      </c>
      <c r="C2150" s="631" t="str">
        <f t="shared" si="37"/>
        <v>Ô tô tự đổ 22 tấn146</v>
      </c>
      <c r="D2150" s="630"/>
      <c r="E2150" s="630"/>
      <c r="F2150" s="630"/>
      <c r="G2150" s="630"/>
    </row>
    <row r="2151" spans="1:7" ht="18.75" x14ac:dyDescent="0.25">
      <c r="A2151" s="629" t="s">
        <v>3073</v>
      </c>
      <c r="B2151" s="630">
        <v>147</v>
      </c>
      <c r="C2151" s="631" t="str">
        <f t="shared" si="37"/>
        <v>Ô tô tự đổ 22 tấn147</v>
      </c>
      <c r="D2151" s="630"/>
      <c r="E2151" s="630"/>
      <c r="F2151" s="630"/>
      <c r="G2151" s="630"/>
    </row>
    <row r="2152" spans="1:7" ht="18.75" x14ac:dyDescent="0.25">
      <c r="A2152" s="629" t="s">
        <v>3073</v>
      </c>
      <c r="B2152" s="630">
        <v>148</v>
      </c>
      <c r="C2152" s="631" t="str">
        <f t="shared" si="37"/>
        <v>Ô tô tự đổ 22 tấn148</v>
      </c>
      <c r="D2152" s="630"/>
      <c r="E2152" s="630"/>
      <c r="F2152" s="630"/>
      <c r="G2152" s="630"/>
    </row>
    <row r="2153" spans="1:7" ht="18.75" x14ac:dyDescent="0.25">
      <c r="A2153" s="629" t="s">
        <v>3073</v>
      </c>
      <c r="B2153" s="630">
        <v>149</v>
      </c>
      <c r="C2153" s="631" t="str">
        <f t="shared" si="37"/>
        <v>Ô tô tự đổ 22 tấn149</v>
      </c>
      <c r="D2153" s="630"/>
      <c r="E2153" s="630"/>
      <c r="F2153" s="630"/>
      <c r="G2153" s="630"/>
    </row>
    <row r="2154" spans="1:7" ht="18.75" x14ac:dyDescent="0.25">
      <c r="A2154" s="629" t="s">
        <v>3073</v>
      </c>
      <c r="B2154" s="630">
        <v>150</v>
      </c>
      <c r="C2154" s="631" t="str">
        <f t="shared" si="37"/>
        <v>Ô tô tự đổ 22 tấn150</v>
      </c>
      <c r="D2154" s="630"/>
      <c r="E2154" s="630"/>
      <c r="F2154" s="630"/>
      <c r="G2154" s="630"/>
    </row>
    <row r="2155" spans="1:7" ht="18.75" x14ac:dyDescent="0.25">
      <c r="A2155" s="629" t="s">
        <v>3073</v>
      </c>
      <c r="B2155" s="630">
        <v>151</v>
      </c>
      <c r="C2155" s="631" t="str">
        <f t="shared" si="37"/>
        <v>Ô tô tự đổ 22 tấn151</v>
      </c>
      <c r="D2155" s="630"/>
      <c r="E2155" s="630"/>
      <c r="F2155" s="630"/>
      <c r="G2155" s="630"/>
    </row>
    <row r="2156" spans="1:7" ht="18.75" x14ac:dyDescent="0.25">
      <c r="A2156" s="629" t="s">
        <v>3073</v>
      </c>
      <c r="B2156" s="630">
        <v>152</v>
      </c>
      <c r="C2156" s="631" t="str">
        <f t="shared" si="37"/>
        <v>Ô tô tự đổ 22 tấn152</v>
      </c>
      <c r="D2156" s="630"/>
      <c r="E2156" s="630"/>
      <c r="F2156" s="630"/>
      <c r="G2156" s="630"/>
    </row>
    <row r="2157" spans="1:7" ht="18.75" x14ac:dyDescent="0.25">
      <c r="A2157" s="629" t="s">
        <v>3073</v>
      </c>
      <c r="B2157" s="630">
        <v>153</v>
      </c>
      <c r="C2157" s="631" t="str">
        <f t="shared" si="37"/>
        <v>Ô tô tự đổ 22 tấn153</v>
      </c>
      <c r="D2157" s="630"/>
      <c r="E2157" s="630"/>
      <c r="F2157" s="630"/>
      <c r="G2157" s="630"/>
    </row>
    <row r="2158" spans="1:7" ht="18.75" x14ac:dyDescent="0.25">
      <c r="A2158" s="629" t="s">
        <v>3073</v>
      </c>
      <c r="B2158" s="630">
        <v>154</v>
      </c>
      <c r="C2158" s="631" t="str">
        <f t="shared" si="37"/>
        <v>Ô tô tự đổ 22 tấn154</v>
      </c>
      <c r="D2158" s="630"/>
      <c r="E2158" s="630"/>
      <c r="F2158" s="630"/>
      <c r="G2158" s="630"/>
    </row>
    <row r="2159" spans="1:7" ht="18.75" x14ac:dyDescent="0.25">
      <c r="A2159" s="629" t="s">
        <v>3073</v>
      </c>
      <c r="B2159" s="630">
        <v>155</v>
      </c>
      <c r="C2159" s="631" t="str">
        <f t="shared" si="37"/>
        <v>Ô tô tự đổ 22 tấn155</v>
      </c>
      <c r="D2159" s="630"/>
      <c r="E2159" s="630"/>
      <c r="F2159" s="630"/>
      <c r="G2159" s="630"/>
    </row>
    <row r="2160" spans="1:7" ht="18.75" x14ac:dyDescent="0.25">
      <c r="A2160" s="629" t="s">
        <v>3073</v>
      </c>
      <c r="B2160" s="630">
        <v>156</v>
      </c>
      <c r="C2160" s="631" t="str">
        <f t="shared" si="37"/>
        <v>Ô tô tự đổ 22 tấn156</v>
      </c>
      <c r="D2160" s="630"/>
      <c r="E2160" s="630"/>
      <c r="F2160" s="630"/>
      <c r="G2160" s="630"/>
    </row>
    <row r="2161" spans="1:7" ht="18.75" x14ac:dyDescent="0.25">
      <c r="A2161" s="629" t="s">
        <v>3073</v>
      </c>
      <c r="B2161" s="630">
        <v>157</v>
      </c>
      <c r="C2161" s="631" t="str">
        <f t="shared" si="37"/>
        <v>Ô tô tự đổ 22 tấn157</v>
      </c>
      <c r="D2161" s="630"/>
      <c r="E2161" s="630"/>
      <c r="F2161" s="630"/>
      <c r="G2161" s="630"/>
    </row>
    <row r="2162" spans="1:7" ht="18.75" x14ac:dyDescent="0.25">
      <c r="A2162" s="629" t="s">
        <v>3073</v>
      </c>
      <c r="B2162" s="630">
        <v>158</v>
      </c>
      <c r="C2162" s="631" t="str">
        <f t="shared" si="37"/>
        <v>Ô tô tự đổ 22 tấn158</v>
      </c>
      <c r="D2162" s="630"/>
      <c r="E2162" s="630"/>
      <c r="F2162" s="630"/>
      <c r="G2162" s="630"/>
    </row>
    <row r="2163" spans="1:7" ht="18.75" x14ac:dyDescent="0.25">
      <c r="A2163" s="629" t="s">
        <v>3073</v>
      </c>
      <c r="B2163" s="630">
        <v>159</v>
      </c>
      <c r="C2163" s="631" t="str">
        <f t="shared" si="37"/>
        <v>Ô tô tự đổ 22 tấn159</v>
      </c>
      <c r="D2163" s="630"/>
      <c r="E2163" s="630"/>
      <c r="F2163" s="630"/>
      <c r="G2163" s="630"/>
    </row>
    <row r="2164" spans="1:7" ht="18.75" x14ac:dyDescent="0.25">
      <c r="A2164" s="629" t="s">
        <v>3073</v>
      </c>
      <c r="B2164" s="630">
        <v>160</v>
      </c>
      <c r="C2164" s="631" t="str">
        <f t="shared" si="37"/>
        <v>Ô tô tự đổ 22 tấn160</v>
      </c>
      <c r="D2164" s="630"/>
      <c r="E2164" s="630"/>
      <c r="F2164" s="630"/>
      <c r="G2164" s="630"/>
    </row>
    <row r="2165" spans="1:7" ht="18.75" x14ac:dyDescent="0.25">
      <c r="A2165" s="629" t="s">
        <v>3073</v>
      </c>
      <c r="B2165" s="630">
        <v>161</v>
      </c>
      <c r="C2165" s="631" t="str">
        <f t="shared" si="37"/>
        <v>Ô tô tự đổ 22 tấn161</v>
      </c>
      <c r="D2165" s="630"/>
      <c r="E2165" s="630"/>
      <c r="F2165" s="630"/>
      <c r="G2165" s="630"/>
    </row>
    <row r="2166" spans="1:7" ht="18.75" x14ac:dyDescent="0.25">
      <c r="A2166" s="629" t="s">
        <v>3073</v>
      </c>
      <c r="B2166" s="630">
        <v>162</v>
      </c>
      <c r="C2166" s="631" t="str">
        <f t="shared" si="37"/>
        <v>Ô tô tự đổ 22 tấn162</v>
      </c>
      <c r="D2166" s="630"/>
      <c r="E2166" s="630"/>
      <c r="F2166" s="630"/>
      <c r="G2166" s="630"/>
    </row>
    <row r="2167" spans="1:7" ht="18.75" x14ac:dyDescent="0.25">
      <c r="A2167" s="629" t="s">
        <v>3073</v>
      </c>
      <c r="B2167" s="630">
        <v>163</v>
      </c>
      <c r="C2167" s="631" t="str">
        <f t="shared" si="37"/>
        <v>Ô tô tự đổ 22 tấn163</v>
      </c>
      <c r="D2167" s="630"/>
      <c r="E2167" s="630"/>
      <c r="F2167" s="630"/>
      <c r="G2167" s="630"/>
    </row>
    <row r="2168" spans="1:7" ht="18.75" x14ac:dyDescent="0.25">
      <c r="A2168" s="629" t="s">
        <v>3073</v>
      </c>
      <c r="B2168" s="630">
        <v>164</v>
      </c>
      <c r="C2168" s="631" t="str">
        <f t="shared" si="37"/>
        <v>Ô tô tự đổ 22 tấn164</v>
      </c>
      <c r="D2168" s="630"/>
      <c r="E2168" s="630"/>
      <c r="F2168" s="630"/>
      <c r="G2168" s="630"/>
    </row>
    <row r="2169" spans="1:7" ht="18.75" x14ac:dyDescent="0.25">
      <c r="A2169" s="629" t="s">
        <v>3073</v>
      </c>
      <c r="B2169" s="630">
        <v>165</v>
      </c>
      <c r="C2169" s="631" t="str">
        <f t="shared" si="37"/>
        <v>Ô tô tự đổ 22 tấn165</v>
      </c>
      <c r="D2169" s="630"/>
      <c r="E2169" s="630"/>
      <c r="F2169" s="630"/>
      <c r="G2169" s="630"/>
    </row>
    <row r="2170" spans="1:7" ht="18.75" x14ac:dyDescent="0.25">
      <c r="A2170" s="629" t="s">
        <v>3073</v>
      </c>
      <c r="B2170" s="630">
        <v>166</v>
      </c>
      <c r="C2170" s="631" t="str">
        <f t="shared" si="37"/>
        <v>Ô tô tự đổ 22 tấn166</v>
      </c>
      <c r="D2170" s="630"/>
      <c r="E2170" s="630"/>
      <c r="F2170" s="630"/>
      <c r="G2170" s="630"/>
    </row>
    <row r="2171" spans="1:7" ht="18.75" x14ac:dyDescent="0.25">
      <c r="A2171" s="629" t="s">
        <v>3073</v>
      </c>
      <c r="B2171" s="630">
        <v>167</v>
      </c>
      <c r="C2171" s="631" t="str">
        <f t="shared" si="37"/>
        <v>Ô tô tự đổ 22 tấn167</v>
      </c>
      <c r="D2171" s="630"/>
      <c r="E2171" s="630"/>
      <c r="F2171" s="630"/>
      <c r="G2171" s="630"/>
    </row>
    <row r="2172" spans="1:7" ht="18.75" x14ac:dyDescent="0.25">
      <c r="A2172" s="629" t="s">
        <v>3073</v>
      </c>
      <c r="B2172" s="630">
        <v>168</v>
      </c>
      <c r="C2172" s="631" t="str">
        <f t="shared" si="37"/>
        <v>Ô tô tự đổ 22 tấn168</v>
      </c>
      <c r="D2172" s="630"/>
      <c r="E2172" s="630"/>
      <c r="F2172" s="630"/>
      <c r="G2172" s="630"/>
    </row>
    <row r="2173" spans="1:7" ht="18.75" x14ac:dyDescent="0.25">
      <c r="A2173" s="629" t="s">
        <v>3073</v>
      </c>
      <c r="B2173" s="630">
        <v>169</v>
      </c>
      <c r="C2173" s="631" t="str">
        <f t="shared" si="37"/>
        <v>Ô tô tự đổ 22 tấn169</v>
      </c>
      <c r="D2173" s="630"/>
      <c r="E2173" s="630"/>
      <c r="F2173" s="630"/>
      <c r="G2173" s="630"/>
    </row>
    <row r="2174" spans="1:7" ht="18.75" x14ac:dyDescent="0.25">
      <c r="A2174" s="629" t="s">
        <v>3073</v>
      </c>
      <c r="B2174" s="630">
        <v>170</v>
      </c>
      <c r="C2174" s="631" t="str">
        <f t="shared" si="37"/>
        <v>Ô tô tự đổ 22 tấn170</v>
      </c>
      <c r="D2174" s="630"/>
      <c r="E2174" s="630"/>
      <c r="F2174" s="630"/>
      <c r="G2174" s="630"/>
    </row>
    <row r="2175" spans="1:7" ht="18.75" x14ac:dyDescent="0.25">
      <c r="A2175" s="629" t="s">
        <v>3073</v>
      </c>
      <c r="B2175" s="630">
        <v>171</v>
      </c>
      <c r="C2175" s="631" t="str">
        <f t="shared" si="37"/>
        <v>Ô tô tự đổ 22 tấn171</v>
      </c>
      <c r="D2175" s="630"/>
      <c r="E2175" s="630"/>
      <c r="F2175" s="630"/>
      <c r="G2175" s="630"/>
    </row>
    <row r="2176" spans="1:7" ht="18.75" x14ac:dyDescent="0.25">
      <c r="A2176" s="629" t="s">
        <v>3073</v>
      </c>
      <c r="B2176" s="630">
        <v>172</v>
      </c>
      <c r="C2176" s="631" t="str">
        <f t="shared" si="37"/>
        <v>Ô tô tự đổ 22 tấn172</v>
      </c>
      <c r="D2176" s="630"/>
      <c r="E2176" s="630"/>
      <c r="F2176" s="630"/>
      <c r="G2176" s="630"/>
    </row>
    <row r="2177" spans="1:7" ht="18.75" x14ac:dyDescent="0.25">
      <c r="A2177" s="629" t="s">
        <v>3073</v>
      </c>
      <c r="B2177" s="630">
        <v>173</v>
      </c>
      <c r="C2177" s="631" t="str">
        <f t="shared" si="37"/>
        <v>Ô tô tự đổ 22 tấn173</v>
      </c>
      <c r="D2177" s="630"/>
      <c r="E2177" s="630"/>
      <c r="F2177" s="630"/>
      <c r="G2177" s="630"/>
    </row>
    <row r="2178" spans="1:7" ht="18.75" x14ac:dyDescent="0.25">
      <c r="A2178" s="629" t="s">
        <v>3073</v>
      </c>
      <c r="B2178" s="630">
        <v>174</v>
      </c>
      <c r="C2178" s="631" t="str">
        <f t="shared" si="37"/>
        <v>Ô tô tự đổ 22 tấn174</v>
      </c>
      <c r="D2178" s="630"/>
      <c r="E2178" s="630"/>
      <c r="F2178" s="630"/>
      <c r="G2178" s="630"/>
    </row>
    <row r="2179" spans="1:7" ht="18.75" x14ac:dyDescent="0.25">
      <c r="A2179" s="629" t="s">
        <v>3073</v>
      </c>
      <c r="B2179" s="630">
        <v>175</v>
      </c>
      <c r="C2179" s="631" t="str">
        <f t="shared" si="37"/>
        <v>Ô tô tự đổ 22 tấn175</v>
      </c>
      <c r="D2179" s="630"/>
      <c r="E2179" s="630"/>
      <c r="F2179" s="630"/>
      <c r="G2179" s="630"/>
    </row>
    <row r="2180" spans="1:7" ht="18.75" x14ac:dyDescent="0.25">
      <c r="A2180" s="629" t="s">
        <v>3073</v>
      </c>
      <c r="B2180" s="630">
        <v>176</v>
      </c>
      <c r="C2180" s="631" t="str">
        <f t="shared" si="37"/>
        <v>Ô tô tự đổ 22 tấn176</v>
      </c>
      <c r="D2180" s="630"/>
      <c r="E2180" s="630"/>
      <c r="F2180" s="630"/>
      <c r="G2180" s="630"/>
    </row>
    <row r="2181" spans="1:7" ht="18.75" x14ac:dyDescent="0.25">
      <c r="A2181" s="629" t="s">
        <v>3073</v>
      </c>
      <c r="B2181" s="630">
        <v>177</v>
      </c>
      <c r="C2181" s="631" t="str">
        <f t="shared" si="37"/>
        <v>Ô tô tự đổ 22 tấn177</v>
      </c>
      <c r="D2181" s="630"/>
      <c r="E2181" s="630"/>
      <c r="F2181" s="630"/>
      <c r="G2181" s="630"/>
    </row>
    <row r="2182" spans="1:7" ht="18.75" x14ac:dyDescent="0.25">
      <c r="A2182" s="629" t="s">
        <v>3073</v>
      </c>
      <c r="B2182" s="630">
        <v>178</v>
      </c>
      <c r="C2182" s="631" t="str">
        <f t="shared" si="37"/>
        <v>Ô tô tự đổ 22 tấn178</v>
      </c>
      <c r="D2182" s="630"/>
      <c r="E2182" s="630"/>
      <c r="F2182" s="630"/>
      <c r="G2182" s="630"/>
    </row>
    <row r="2183" spans="1:7" ht="18.75" x14ac:dyDescent="0.25">
      <c r="A2183" s="629" t="s">
        <v>3073</v>
      </c>
      <c r="B2183" s="630">
        <v>179</v>
      </c>
      <c r="C2183" s="631" t="str">
        <f t="shared" si="37"/>
        <v>Ô tô tự đổ 22 tấn179</v>
      </c>
      <c r="D2183" s="630"/>
      <c r="E2183" s="630"/>
      <c r="F2183" s="630"/>
      <c r="G2183" s="630"/>
    </row>
    <row r="2184" spans="1:7" ht="18.75" x14ac:dyDescent="0.25">
      <c r="A2184" s="629" t="s">
        <v>3073</v>
      </c>
      <c r="B2184" s="630">
        <v>180</v>
      </c>
      <c r="C2184" s="631" t="str">
        <f t="shared" si="37"/>
        <v>Ô tô tự đổ 22 tấn180</v>
      </c>
      <c r="D2184" s="630"/>
      <c r="E2184" s="630"/>
      <c r="F2184" s="630"/>
      <c r="G2184" s="630"/>
    </row>
    <row r="2185" spans="1:7" ht="18.75" x14ac:dyDescent="0.25">
      <c r="A2185" s="629" t="s">
        <v>3073</v>
      </c>
      <c r="B2185" s="630">
        <v>181</v>
      </c>
      <c r="C2185" s="631" t="str">
        <f t="shared" si="37"/>
        <v>Ô tô tự đổ 22 tấn181</v>
      </c>
      <c r="D2185" s="630"/>
      <c r="E2185" s="630"/>
      <c r="F2185" s="630"/>
      <c r="G2185" s="630"/>
    </row>
    <row r="2186" spans="1:7" ht="18.75" x14ac:dyDescent="0.25">
      <c r="A2186" s="629" t="s">
        <v>3073</v>
      </c>
      <c r="B2186" s="630">
        <v>182</v>
      </c>
      <c r="C2186" s="631" t="str">
        <f t="shared" si="37"/>
        <v>Ô tô tự đổ 22 tấn182</v>
      </c>
      <c r="D2186" s="630"/>
      <c r="E2186" s="630"/>
      <c r="F2186" s="630"/>
      <c r="G2186" s="630"/>
    </row>
    <row r="2187" spans="1:7" ht="18.75" x14ac:dyDescent="0.25">
      <c r="A2187" s="629" t="s">
        <v>3073</v>
      </c>
      <c r="B2187" s="630">
        <v>183</v>
      </c>
      <c r="C2187" s="631" t="str">
        <f t="shared" si="37"/>
        <v>Ô tô tự đổ 22 tấn183</v>
      </c>
      <c r="D2187" s="630"/>
      <c r="E2187" s="630"/>
      <c r="F2187" s="630"/>
      <c r="G2187" s="630"/>
    </row>
    <row r="2188" spans="1:7" ht="18.75" x14ac:dyDescent="0.25">
      <c r="A2188" s="629" t="s">
        <v>3073</v>
      </c>
      <c r="B2188" s="630">
        <v>184</v>
      </c>
      <c r="C2188" s="631" t="str">
        <f t="shared" si="37"/>
        <v>Ô tô tự đổ 22 tấn184</v>
      </c>
      <c r="D2188" s="630"/>
      <c r="E2188" s="630"/>
      <c r="F2188" s="630"/>
      <c r="G2188" s="630"/>
    </row>
    <row r="2189" spans="1:7" ht="18.75" x14ac:dyDescent="0.25">
      <c r="A2189" s="629" t="s">
        <v>3073</v>
      </c>
      <c r="B2189" s="630">
        <v>185</v>
      </c>
      <c r="C2189" s="631" t="str">
        <f t="shared" si="37"/>
        <v>Ô tô tự đổ 22 tấn185</v>
      </c>
      <c r="D2189" s="630"/>
      <c r="E2189" s="630"/>
      <c r="F2189" s="630"/>
      <c r="G2189" s="630"/>
    </row>
    <row r="2190" spans="1:7" ht="18.75" x14ac:dyDescent="0.25">
      <c r="A2190" s="629" t="s">
        <v>3073</v>
      </c>
      <c r="B2190" s="630">
        <v>186</v>
      </c>
      <c r="C2190" s="631" t="str">
        <f t="shared" si="37"/>
        <v>Ô tô tự đổ 22 tấn186</v>
      </c>
      <c r="D2190" s="630"/>
      <c r="E2190" s="630"/>
      <c r="F2190" s="630"/>
      <c r="G2190" s="630"/>
    </row>
    <row r="2191" spans="1:7" ht="18.75" x14ac:dyDescent="0.25">
      <c r="A2191" s="629" t="s">
        <v>3073</v>
      </c>
      <c r="B2191" s="630">
        <v>187</v>
      </c>
      <c r="C2191" s="631" t="str">
        <f t="shared" si="37"/>
        <v>Ô tô tự đổ 22 tấn187</v>
      </c>
      <c r="D2191" s="630"/>
      <c r="E2191" s="630"/>
      <c r="F2191" s="630"/>
      <c r="G2191" s="630"/>
    </row>
    <row r="2192" spans="1:7" ht="18.75" x14ac:dyDescent="0.25">
      <c r="A2192" s="629" t="s">
        <v>3073</v>
      </c>
      <c r="B2192" s="630">
        <v>188</v>
      </c>
      <c r="C2192" s="631" t="str">
        <f t="shared" si="37"/>
        <v>Ô tô tự đổ 22 tấn188</v>
      </c>
      <c r="D2192" s="630"/>
      <c r="E2192" s="630"/>
      <c r="F2192" s="630"/>
      <c r="G2192" s="630"/>
    </row>
    <row r="2193" spans="1:7" ht="18.75" x14ac:dyDescent="0.25">
      <c r="A2193" s="629" t="s">
        <v>3073</v>
      </c>
      <c r="B2193" s="630">
        <v>189</v>
      </c>
      <c r="C2193" s="631" t="str">
        <f t="shared" si="37"/>
        <v>Ô tô tự đổ 22 tấn189</v>
      </c>
      <c r="D2193" s="630"/>
      <c r="E2193" s="630"/>
      <c r="F2193" s="630"/>
      <c r="G2193" s="630"/>
    </row>
    <row r="2194" spans="1:7" ht="18.75" x14ac:dyDescent="0.25">
      <c r="A2194" s="629" t="s">
        <v>3073</v>
      </c>
      <c r="B2194" s="630">
        <v>190</v>
      </c>
      <c r="C2194" s="631" t="str">
        <f t="shared" si="37"/>
        <v>Ô tô tự đổ 22 tấn190</v>
      </c>
      <c r="D2194" s="630"/>
      <c r="E2194" s="630"/>
      <c r="F2194" s="630"/>
      <c r="G2194" s="630"/>
    </row>
    <row r="2195" spans="1:7" ht="18.75" x14ac:dyDescent="0.25">
      <c r="A2195" s="629" t="s">
        <v>3073</v>
      </c>
      <c r="B2195" s="630">
        <v>191</v>
      </c>
      <c r="C2195" s="631" t="str">
        <f t="shared" si="37"/>
        <v>Ô tô tự đổ 22 tấn191</v>
      </c>
      <c r="D2195" s="630"/>
      <c r="E2195" s="630"/>
      <c r="F2195" s="630"/>
      <c r="G2195" s="630"/>
    </row>
    <row r="2196" spans="1:7" ht="18.75" x14ac:dyDescent="0.25">
      <c r="A2196" s="629" t="s">
        <v>3073</v>
      </c>
      <c r="B2196" s="630">
        <v>192</v>
      </c>
      <c r="C2196" s="631" t="str">
        <f t="shared" si="37"/>
        <v>Ô tô tự đổ 22 tấn192</v>
      </c>
      <c r="D2196" s="630"/>
      <c r="E2196" s="630"/>
      <c r="F2196" s="630"/>
      <c r="G2196" s="630"/>
    </row>
    <row r="2197" spans="1:7" ht="18.75" x14ac:dyDescent="0.25">
      <c r="A2197" s="629" t="s">
        <v>3073</v>
      </c>
      <c r="B2197" s="630">
        <v>193</v>
      </c>
      <c r="C2197" s="631" t="str">
        <f t="shared" si="37"/>
        <v>Ô tô tự đổ 22 tấn193</v>
      </c>
      <c r="D2197" s="630"/>
      <c r="E2197" s="630"/>
      <c r="F2197" s="630"/>
      <c r="G2197" s="630"/>
    </row>
    <row r="2198" spans="1:7" ht="18.75" x14ac:dyDescent="0.25">
      <c r="A2198" s="629" t="s">
        <v>3073</v>
      </c>
      <c r="B2198" s="630">
        <v>194</v>
      </c>
      <c r="C2198" s="631" t="str">
        <f t="shared" ref="C2198:C2261" si="38">A2198&amp;B2198</f>
        <v>Ô tô tự đổ 22 tấn194</v>
      </c>
      <c r="D2198" s="630"/>
      <c r="E2198" s="630"/>
      <c r="F2198" s="630"/>
      <c r="G2198" s="630"/>
    </row>
    <row r="2199" spans="1:7" ht="18.75" x14ac:dyDescent="0.25">
      <c r="A2199" s="629" t="s">
        <v>3073</v>
      </c>
      <c r="B2199" s="630">
        <v>195</v>
      </c>
      <c r="C2199" s="631" t="str">
        <f t="shared" si="38"/>
        <v>Ô tô tự đổ 22 tấn195</v>
      </c>
      <c r="D2199" s="630"/>
      <c r="E2199" s="630"/>
      <c r="F2199" s="630"/>
      <c r="G2199" s="630"/>
    </row>
    <row r="2200" spans="1:7" ht="18.75" x14ac:dyDescent="0.25">
      <c r="A2200" s="629" t="s">
        <v>3073</v>
      </c>
      <c r="B2200" s="630">
        <v>196</v>
      </c>
      <c r="C2200" s="631" t="str">
        <f t="shared" si="38"/>
        <v>Ô tô tự đổ 22 tấn196</v>
      </c>
      <c r="D2200" s="630"/>
      <c r="E2200" s="630"/>
      <c r="F2200" s="630"/>
      <c r="G2200" s="630"/>
    </row>
    <row r="2201" spans="1:7" ht="18.75" x14ac:dyDescent="0.25">
      <c r="A2201" s="629" t="s">
        <v>3073</v>
      </c>
      <c r="B2201" s="630">
        <v>197</v>
      </c>
      <c r="C2201" s="631" t="str">
        <f t="shared" si="38"/>
        <v>Ô tô tự đổ 22 tấn197</v>
      </c>
      <c r="D2201" s="630"/>
      <c r="E2201" s="630"/>
      <c r="F2201" s="630"/>
      <c r="G2201" s="630"/>
    </row>
    <row r="2202" spans="1:7" ht="18.75" x14ac:dyDescent="0.25">
      <c r="A2202" s="629" t="s">
        <v>3073</v>
      </c>
      <c r="B2202" s="630">
        <v>198</v>
      </c>
      <c r="C2202" s="631" t="str">
        <f t="shared" si="38"/>
        <v>Ô tô tự đổ 22 tấn198</v>
      </c>
      <c r="D2202" s="630"/>
      <c r="E2202" s="630"/>
      <c r="F2202" s="630"/>
      <c r="G2202" s="630"/>
    </row>
    <row r="2203" spans="1:7" ht="18.75" x14ac:dyDescent="0.25">
      <c r="A2203" s="629" t="s">
        <v>3073</v>
      </c>
      <c r="B2203" s="630">
        <v>199</v>
      </c>
      <c r="C2203" s="631" t="str">
        <f t="shared" si="38"/>
        <v>Ô tô tự đổ 22 tấn199</v>
      </c>
      <c r="D2203" s="630"/>
      <c r="E2203" s="630"/>
      <c r="F2203" s="630"/>
      <c r="G2203" s="630"/>
    </row>
    <row r="2204" spans="1:7" ht="18.75" x14ac:dyDescent="0.25">
      <c r="A2204" s="629" t="s">
        <v>3073</v>
      </c>
      <c r="B2204" s="630">
        <v>200</v>
      </c>
      <c r="C2204" s="631" t="str">
        <f t="shared" si="38"/>
        <v>Ô tô tự đổ 22 tấn200</v>
      </c>
      <c r="D2204" s="630"/>
      <c r="E2204" s="630"/>
      <c r="F2204" s="630"/>
      <c r="G2204" s="630"/>
    </row>
    <row r="2205" spans="1:7" ht="18.75" x14ac:dyDescent="0.25">
      <c r="A2205" s="629" t="s">
        <v>3073</v>
      </c>
      <c r="B2205" s="630">
        <v>201</v>
      </c>
      <c r="C2205" s="631" t="str">
        <f t="shared" si="38"/>
        <v>Ô tô tự đổ 22 tấn201</v>
      </c>
      <c r="D2205" s="630"/>
      <c r="E2205" s="630"/>
      <c r="F2205" s="630"/>
      <c r="G2205" s="630"/>
    </row>
    <row r="2206" spans="1:7" ht="18.75" x14ac:dyDescent="0.25">
      <c r="A2206" s="629" t="s">
        <v>3073</v>
      </c>
      <c r="B2206" s="630">
        <v>202</v>
      </c>
      <c r="C2206" s="631" t="str">
        <f t="shared" si="38"/>
        <v>Ô tô tự đổ 22 tấn202</v>
      </c>
      <c r="D2206" s="630"/>
      <c r="E2206" s="630"/>
      <c r="F2206" s="630"/>
      <c r="G2206" s="630"/>
    </row>
    <row r="2207" spans="1:7" ht="18.75" x14ac:dyDescent="0.25">
      <c r="A2207" s="629" t="s">
        <v>3073</v>
      </c>
      <c r="B2207" s="630">
        <v>203</v>
      </c>
      <c r="C2207" s="631" t="str">
        <f t="shared" si="38"/>
        <v>Ô tô tự đổ 22 tấn203</v>
      </c>
      <c r="D2207" s="630"/>
      <c r="E2207" s="630"/>
      <c r="F2207" s="630"/>
      <c r="G2207" s="630"/>
    </row>
    <row r="2208" spans="1:7" ht="18.75" x14ac:dyDescent="0.25">
      <c r="A2208" s="629" t="s">
        <v>3073</v>
      </c>
      <c r="B2208" s="630">
        <v>204</v>
      </c>
      <c r="C2208" s="631" t="str">
        <f t="shared" si="38"/>
        <v>Ô tô tự đổ 22 tấn204</v>
      </c>
      <c r="D2208" s="630"/>
      <c r="E2208" s="630"/>
      <c r="F2208" s="630"/>
      <c r="G2208" s="630"/>
    </row>
    <row r="2209" spans="1:7" ht="18.75" x14ac:dyDescent="0.25">
      <c r="A2209" s="629" t="s">
        <v>3073</v>
      </c>
      <c r="B2209" s="630">
        <v>205</v>
      </c>
      <c r="C2209" s="631" t="str">
        <f t="shared" si="38"/>
        <v>Ô tô tự đổ 22 tấn205</v>
      </c>
      <c r="D2209" s="630"/>
      <c r="E2209" s="630"/>
      <c r="F2209" s="630"/>
      <c r="G2209" s="630"/>
    </row>
    <row r="2210" spans="1:7" ht="18.75" x14ac:dyDescent="0.25">
      <c r="A2210" s="629" t="s">
        <v>3073</v>
      </c>
      <c r="B2210" s="630">
        <v>206</v>
      </c>
      <c r="C2210" s="631" t="str">
        <f t="shared" si="38"/>
        <v>Ô tô tự đổ 22 tấn206</v>
      </c>
      <c r="D2210" s="630"/>
      <c r="E2210" s="630"/>
      <c r="F2210" s="630"/>
      <c r="G2210" s="630"/>
    </row>
    <row r="2211" spans="1:7" ht="18.75" x14ac:dyDescent="0.25">
      <c r="A2211" s="629" t="s">
        <v>3073</v>
      </c>
      <c r="B2211" s="630">
        <v>207</v>
      </c>
      <c r="C2211" s="631" t="str">
        <f t="shared" si="38"/>
        <v>Ô tô tự đổ 22 tấn207</v>
      </c>
      <c r="D2211" s="630"/>
      <c r="E2211" s="630"/>
      <c r="F2211" s="630"/>
      <c r="G2211" s="630"/>
    </row>
    <row r="2212" spans="1:7" ht="18.75" x14ac:dyDescent="0.25">
      <c r="A2212" s="629" t="s">
        <v>3073</v>
      </c>
      <c r="B2212" s="630">
        <v>208</v>
      </c>
      <c r="C2212" s="631" t="str">
        <f t="shared" si="38"/>
        <v>Ô tô tự đổ 22 tấn208</v>
      </c>
      <c r="D2212" s="630"/>
      <c r="E2212" s="630"/>
      <c r="F2212" s="630"/>
      <c r="G2212" s="630"/>
    </row>
    <row r="2213" spans="1:7" ht="18.75" x14ac:dyDescent="0.25">
      <c r="A2213" s="629" t="s">
        <v>3073</v>
      </c>
      <c r="B2213" s="630">
        <v>209</v>
      </c>
      <c r="C2213" s="631" t="str">
        <f t="shared" si="38"/>
        <v>Ô tô tự đổ 22 tấn209</v>
      </c>
      <c r="D2213" s="630"/>
      <c r="E2213" s="630"/>
      <c r="F2213" s="630"/>
      <c r="G2213" s="630"/>
    </row>
    <row r="2214" spans="1:7" ht="18.75" x14ac:dyDescent="0.25">
      <c r="A2214" s="629" t="s">
        <v>3073</v>
      </c>
      <c r="B2214" s="630">
        <v>210</v>
      </c>
      <c r="C2214" s="631" t="str">
        <f t="shared" si="38"/>
        <v>Ô tô tự đổ 22 tấn210</v>
      </c>
      <c r="D2214" s="630"/>
      <c r="E2214" s="630"/>
      <c r="F2214" s="630"/>
      <c r="G2214" s="630"/>
    </row>
    <row r="2215" spans="1:7" ht="18.75" x14ac:dyDescent="0.25">
      <c r="A2215" s="629" t="s">
        <v>3073</v>
      </c>
      <c r="B2215" s="630">
        <v>211</v>
      </c>
      <c r="C2215" s="631" t="str">
        <f t="shared" si="38"/>
        <v>Ô tô tự đổ 22 tấn211</v>
      </c>
      <c r="D2215" s="630"/>
      <c r="E2215" s="630"/>
      <c r="F2215" s="630"/>
      <c r="G2215" s="630"/>
    </row>
    <row r="2216" spans="1:7" ht="18.75" x14ac:dyDescent="0.25">
      <c r="A2216" s="629" t="s">
        <v>3073</v>
      </c>
      <c r="B2216" s="630">
        <v>212</v>
      </c>
      <c r="C2216" s="631" t="str">
        <f t="shared" si="38"/>
        <v>Ô tô tự đổ 22 tấn212</v>
      </c>
      <c r="D2216" s="630"/>
      <c r="E2216" s="630"/>
      <c r="F2216" s="630"/>
      <c r="G2216" s="630"/>
    </row>
    <row r="2217" spans="1:7" ht="18.75" x14ac:dyDescent="0.25">
      <c r="A2217" s="629" t="s">
        <v>3073</v>
      </c>
      <c r="B2217" s="630">
        <v>213</v>
      </c>
      <c r="C2217" s="631" t="str">
        <f t="shared" si="38"/>
        <v>Ô tô tự đổ 22 tấn213</v>
      </c>
      <c r="D2217" s="630"/>
      <c r="E2217" s="630"/>
      <c r="F2217" s="630"/>
      <c r="G2217" s="630"/>
    </row>
    <row r="2218" spans="1:7" ht="18.75" x14ac:dyDescent="0.25">
      <c r="A2218" s="629" t="s">
        <v>3073</v>
      </c>
      <c r="B2218" s="630">
        <v>214</v>
      </c>
      <c r="C2218" s="631" t="str">
        <f t="shared" si="38"/>
        <v>Ô tô tự đổ 22 tấn214</v>
      </c>
      <c r="D2218" s="630"/>
      <c r="E2218" s="630"/>
      <c r="F2218" s="630"/>
      <c r="G2218" s="630"/>
    </row>
    <row r="2219" spans="1:7" ht="18.75" x14ac:dyDescent="0.25">
      <c r="A2219" s="629" t="s">
        <v>3073</v>
      </c>
      <c r="B2219" s="630">
        <v>215</v>
      </c>
      <c r="C2219" s="631" t="str">
        <f t="shared" si="38"/>
        <v>Ô tô tự đổ 22 tấn215</v>
      </c>
      <c r="D2219" s="630"/>
      <c r="E2219" s="630"/>
      <c r="F2219" s="630"/>
      <c r="G2219" s="630"/>
    </row>
    <row r="2220" spans="1:7" ht="18.75" x14ac:dyDescent="0.25">
      <c r="A2220" s="629" t="s">
        <v>3073</v>
      </c>
      <c r="B2220" s="630">
        <v>216</v>
      </c>
      <c r="C2220" s="631" t="str">
        <f t="shared" si="38"/>
        <v>Ô tô tự đổ 22 tấn216</v>
      </c>
      <c r="D2220" s="630"/>
      <c r="E2220" s="630"/>
      <c r="F2220" s="630"/>
      <c r="G2220" s="630"/>
    </row>
    <row r="2221" spans="1:7" ht="18.75" x14ac:dyDescent="0.25">
      <c r="A2221" s="629" t="s">
        <v>3073</v>
      </c>
      <c r="B2221" s="630">
        <v>217</v>
      </c>
      <c r="C2221" s="631" t="str">
        <f t="shared" si="38"/>
        <v>Ô tô tự đổ 22 tấn217</v>
      </c>
      <c r="D2221" s="630"/>
      <c r="E2221" s="630"/>
      <c r="F2221" s="630"/>
      <c r="G2221" s="630"/>
    </row>
    <row r="2222" spans="1:7" ht="18.75" x14ac:dyDescent="0.25">
      <c r="A2222" s="629" t="s">
        <v>3073</v>
      </c>
      <c r="B2222" s="630">
        <v>218</v>
      </c>
      <c r="C2222" s="631" t="str">
        <f t="shared" si="38"/>
        <v>Ô tô tự đổ 22 tấn218</v>
      </c>
      <c r="D2222" s="630"/>
      <c r="E2222" s="630"/>
      <c r="F2222" s="630"/>
      <c r="G2222" s="630"/>
    </row>
    <row r="2223" spans="1:7" ht="18.75" x14ac:dyDescent="0.25">
      <c r="A2223" s="629" t="s">
        <v>3073</v>
      </c>
      <c r="B2223" s="630">
        <v>219</v>
      </c>
      <c r="C2223" s="631" t="str">
        <f t="shared" si="38"/>
        <v>Ô tô tự đổ 22 tấn219</v>
      </c>
      <c r="D2223" s="630"/>
      <c r="E2223" s="630"/>
      <c r="F2223" s="630"/>
      <c r="G2223" s="630"/>
    </row>
    <row r="2224" spans="1:7" ht="18.75" x14ac:dyDescent="0.25">
      <c r="A2224" s="629" t="s">
        <v>3073</v>
      </c>
      <c r="B2224" s="630">
        <v>220</v>
      </c>
      <c r="C2224" s="631" t="str">
        <f t="shared" si="38"/>
        <v>Ô tô tự đổ 22 tấn220</v>
      </c>
      <c r="D2224" s="630"/>
      <c r="E2224" s="630"/>
      <c r="F2224" s="630"/>
      <c r="G2224" s="630"/>
    </row>
    <row r="2225" spans="1:7" ht="18.75" x14ac:dyDescent="0.25">
      <c r="A2225" s="629" t="s">
        <v>3073</v>
      </c>
      <c r="B2225" s="630">
        <v>221</v>
      </c>
      <c r="C2225" s="631" t="str">
        <f t="shared" si="38"/>
        <v>Ô tô tự đổ 22 tấn221</v>
      </c>
      <c r="D2225" s="630"/>
      <c r="E2225" s="630"/>
      <c r="F2225" s="630"/>
      <c r="G2225" s="630"/>
    </row>
    <row r="2226" spans="1:7" ht="18.75" x14ac:dyDescent="0.25">
      <c r="A2226" s="629" t="s">
        <v>3073</v>
      </c>
      <c r="B2226" s="630">
        <v>222</v>
      </c>
      <c r="C2226" s="631" t="str">
        <f t="shared" si="38"/>
        <v>Ô tô tự đổ 22 tấn222</v>
      </c>
      <c r="D2226" s="630"/>
      <c r="E2226" s="630"/>
      <c r="F2226" s="630"/>
      <c r="G2226" s="630"/>
    </row>
    <row r="2227" spans="1:7" ht="18.75" x14ac:dyDescent="0.25">
      <c r="A2227" s="629" t="s">
        <v>3073</v>
      </c>
      <c r="B2227" s="630">
        <v>223</v>
      </c>
      <c r="C2227" s="631" t="str">
        <f t="shared" si="38"/>
        <v>Ô tô tự đổ 22 tấn223</v>
      </c>
      <c r="D2227" s="630"/>
      <c r="E2227" s="630"/>
      <c r="F2227" s="630"/>
      <c r="G2227" s="630"/>
    </row>
    <row r="2228" spans="1:7" ht="18.75" x14ac:dyDescent="0.25">
      <c r="A2228" s="629" t="s">
        <v>3073</v>
      </c>
      <c r="B2228" s="630">
        <v>224</v>
      </c>
      <c r="C2228" s="631" t="str">
        <f t="shared" si="38"/>
        <v>Ô tô tự đổ 22 tấn224</v>
      </c>
      <c r="D2228" s="630"/>
      <c r="E2228" s="630"/>
      <c r="F2228" s="630"/>
      <c r="G2228" s="630"/>
    </row>
    <row r="2229" spans="1:7" ht="18.75" x14ac:dyDescent="0.25">
      <c r="A2229" s="629" t="s">
        <v>3073</v>
      </c>
      <c r="B2229" s="630">
        <v>225</v>
      </c>
      <c r="C2229" s="631" t="str">
        <f t="shared" si="38"/>
        <v>Ô tô tự đổ 22 tấn225</v>
      </c>
      <c r="D2229" s="630"/>
      <c r="E2229" s="630"/>
      <c r="F2229" s="630"/>
      <c r="G2229" s="630"/>
    </row>
    <row r="2230" spans="1:7" ht="18.75" x14ac:dyDescent="0.25">
      <c r="A2230" s="629" t="s">
        <v>3073</v>
      </c>
      <c r="B2230" s="630">
        <v>226</v>
      </c>
      <c r="C2230" s="631" t="str">
        <f t="shared" si="38"/>
        <v>Ô tô tự đổ 22 tấn226</v>
      </c>
      <c r="D2230" s="630"/>
      <c r="E2230" s="630"/>
      <c r="F2230" s="630"/>
      <c r="G2230" s="630"/>
    </row>
    <row r="2231" spans="1:7" ht="18.75" x14ac:dyDescent="0.25">
      <c r="A2231" s="629" t="s">
        <v>3073</v>
      </c>
      <c r="B2231" s="630">
        <v>227</v>
      </c>
      <c r="C2231" s="631" t="str">
        <f t="shared" si="38"/>
        <v>Ô tô tự đổ 22 tấn227</v>
      </c>
      <c r="D2231" s="630"/>
      <c r="E2231" s="630"/>
      <c r="F2231" s="630"/>
      <c r="G2231" s="630"/>
    </row>
    <row r="2232" spans="1:7" ht="18.75" x14ac:dyDescent="0.25">
      <c r="A2232" s="629" t="s">
        <v>3073</v>
      </c>
      <c r="B2232" s="630">
        <v>228</v>
      </c>
      <c r="C2232" s="631" t="str">
        <f t="shared" si="38"/>
        <v>Ô tô tự đổ 22 tấn228</v>
      </c>
      <c r="D2232" s="630"/>
      <c r="E2232" s="630"/>
      <c r="F2232" s="630"/>
      <c r="G2232" s="630"/>
    </row>
    <row r="2233" spans="1:7" ht="18.75" x14ac:dyDescent="0.25">
      <c r="A2233" s="629" t="s">
        <v>3073</v>
      </c>
      <c r="B2233" s="630">
        <v>229</v>
      </c>
      <c r="C2233" s="631" t="str">
        <f t="shared" si="38"/>
        <v>Ô tô tự đổ 22 tấn229</v>
      </c>
      <c r="D2233" s="630"/>
      <c r="E2233" s="630"/>
      <c r="F2233" s="630"/>
      <c r="G2233" s="630"/>
    </row>
    <row r="2234" spans="1:7" ht="18.75" x14ac:dyDescent="0.25">
      <c r="A2234" s="629" t="s">
        <v>3073</v>
      </c>
      <c r="B2234" s="630">
        <v>230</v>
      </c>
      <c r="C2234" s="631" t="str">
        <f t="shared" si="38"/>
        <v>Ô tô tự đổ 22 tấn230</v>
      </c>
      <c r="D2234" s="630"/>
      <c r="E2234" s="630"/>
      <c r="F2234" s="630"/>
      <c r="G2234" s="630"/>
    </row>
    <row r="2235" spans="1:7" ht="18.75" x14ac:dyDescent="0.25">
      <c r="A2235" s="629" t="s">
        <v>3073</v>
      </c>
      <c r="B2235" s="630">
        <v>231</v>
      </c>
      <c r="C2235" s="631" t="str">
        <f t="shared" si="38"/>
        <v>Ô tô tự đổ 22 tấn231</v>
      </c>
      <c r="D2235" s="630"/>
      <c r="E2235" s="630"/>
      <c r="F2235" s="630"/>
      <c r="G2235" s="630"/>
    </row>
    <row r="2236" spans="1:7" ht="18.75" x14ac:dyDescent="0.25">
      <c r="A2236" s="629" t="s">
        <v>3073</v>
      </c>
      <c r="B2236" s="630">
        <v>232</v>
      </c>
      <c r="C2236" s="631" t="str">
        <f t="shared" si="38"/>
        <v>Ô tô tự đổ 22 tấn232</v>
      </c>
      <c r="D2236" s="630"/>
      <c r="E2236" s="630"/>
      <c r="F2236" s="630"/>
      <c r="G2236" s="630"/>
    </row>
    <row r="2237" spans="1:7" ht="18.75" x14ac:dyDescent="0.25">
      <c r="A2237" s="629" t="s">
        <v>3073</v>
      </c>
      <c r="B2237" s="630">
        <v>233</v>
      </c>
      <c r="C2237" s="631" t="str">
        <f t="shared" si="38"/>
        <v>Ô tô tự đổ 22 tấn233</v>
      </c>
      <c r="D2237" s="630"/>
      <c r="E2237" s="630"/>
      <c r="F2237" s="630"/>
      <c r="G2237" s="630"/>
    </row>
    <row r="2238" spans="1:7" ht="18.75" x14ac:dyDescent="0.25">
      <c r="A2238" s="629" t="s">
        <v>3073</v>
      </c>
      <c r="B2238" s="630">
        <v>234</v>
      </c>
      <c r="C2238" s="631" t="str">
        <f t="shared" si="38"/>
        <v>Ô tô tự đổ 22 tấn234</v>
      </c>
      <c r="D2238" s="630"/>
      <c r="E2238" s="630"/>
      <c r="F2238" s="630"/>
      <c r="G2238" s="630"/>
    </row>
    <row r="2239" spans="1:7" ht="18.75" x14ac:dyDescent="0.25">
      <c r="A2239" s="629" t="s">
        <v>3073</v>
      </c>
      <c r="B2239" s="630">
        <v>235</v>
      </c>
      <c r="C2239" s="631" t="str">
        <f t="shared" si="38"/>
        <v>Ô tô tự đổ 22 tấn235</v>
      </c>
      <c r="D2239" s="630"/>
      <c r="E2239" s="630"/>
      <c r="F2239" s="630"/>
      <c r="G2239" s="630"/>
    </row>
    <row r="2240" spans="1:7" ht="18.75" x14ac:dyDescent="0.25">
      <c r="A2240" s="629" t="s">
        <v>3073</v>
      </c>
      <c r="B2240" s="630">
        <v>236</v>
      </c>
      <c r="C2240" s="631" t="str">
        <f t="shared" si="38"/>
        <v>Ô tô tự đổ 22 tấn236</v>
      </c>
      <c r="D2240" s="630"/>
      <c r="E2240" s="630"/>
      <c r="F2240" s="630"/>
      <c r="G2240" s="630"/>
    </row>
    <row r="2241" spans="1:7" ht="18.75" x14ac:dyDescent="0.25">
      <c r="A2241" s="629" t="s">
        <v>3073</v>
      </c>
      <c r="B2241" s="630">
        <v>237</v>
      </c>
      <c r="C2241" s="631" t="str">
        <f t="shared" si="38"/>
        <v>Ô tô tự đổ 22 tấn237</v>
      </c>
      <c r="D2241" s="630"/>
      <c r="E2241" s="630"/>
      <c r="F2241" s="630"/>
      <c r="G2241" s="630"/>
    </row>
    <row r="2242" spans="1:7" ht="18.75" x14ac:dyDescent="0.25">
      <c r="A2242" s="629" t="s">
        <v>3073</v>
      </c>
      <c r="B2242" s="630">
        <v>238</v>
      </c>
      <c r="C2242" s="631" t="str">
        <f t="shared" si="38"/>
        <v>Ô tô tự đổ 22 tấn238</v>
      </c>
      <c r="D2242" s="630"/>
      <c r="E2242" s="630"/>
      <c r="F2242" s="630"/>
      <c r="G2242" s="630"/>
    </row>
    <row r="2243" spans="1:7" ht="18.75" x14ac:dyDescent="0.25">
      <c r="A2243" s="629" t="s">
        <v>3073</v>
      </c>
      <c r="B2243" s="630">
        <v>239</v>
      </c>
      <c r="C2243" s="631" t="str">
        <f t="shared" si="38"/>
        <v>Ô tô tự đổ 22 tấn239</v>
      </c>
      <c r="D2243" s="630"/>
      <c r="E2243" s="630"/>
      <c r="F2243" s="630"/>
      <c r="G2243" s="630"/>
    </row>
    <row r="2244" spans="1:7" ht="18.75" x14ac:dyDescent="0.25">
      <c r="A2244" s="629" t="s">
        <v>3073</v>
      </c>
      <c r="B2244" s="630">
        <v>240</v>
      </c>
      <c r="C2244" s="631" t="str">
        <f t="shared" si="38"/>
        <v>Ô tô tự đổ 22 tấn240</v>
      </c>
      <c r="D2244" s="630"/>
      <c r="E2244" s="630"/>
      <c r="F2244" s="630"/>
      <c r="G2244" s="630"/>
    </row>
    <row r="2245" spans="1:7" ht="18.75" x14ac:dyDescent="0.25">
      <c r="A2245" s="629" t="s">
        <v>3073</v>
      </c>
      <c r="B2245" s="630">
        <v>241</v>
      </c>
      <c r="C2245" s="631" t="str">
        <f t="shared" si="38"/>
        <v>Ô tô tự đổ 22 tấn241</v>
      </c>
      <c r="D2245" s="630"/>
      <c r="E2245" s="630"/>
      <c r="F2245" s="630"/>
      <c r="G2245" s="630"/>
    </row>
    <row r="2246" spans="1:7" ht="18.75" x14ac:dyDescent="0.25">
      <c r="A2246" s="629" t="s">
        <v>3073</v>
      </c>
      <c r="B2246" s="630">
        <v>242</v>
      </c>
      <c r="C2246" s="631" t="str">
        <f t="shared" si="38"/>
        <v>Ô tô tự đổ 22 tấn242</v>
      </c>
      <c r="D2246" s="630"/>
      <c r="E2246" s="630"/>
      <c r="F2246" s="630"/>
      <c r="G2246" s="630"/>
    </row>
    <row r="2247" spans="1:7" ht="18.75" x14ac:dyDescent="0.25">
      <c r="A2247" s="629" t="s">
        <v>3073</v>
      </c>
      <c r="B2247" s="630">
        <v>243</v>
      </c>
      <c r="C2247" s="631" t="str">
        <f t="shared" si="38"/>
        <v>Ô tô tự đổ 22 tấn243</v>
      </c>
      <c r="D2247" s="630"/>
      <c r="E2247" s="630"/>
      <c r="F2247" s="630"/>
      <c r="G2247" s="630"/>
    </row>
    <row r="2248" spans="1:7" ht="18.75" x14ac:dyDescent="0.25">
      <c r="A2248" s="629" t="s">
        <v>3073</v>
      </c>
      <c r="B2248" s="630">
        <v>244</v>
      </c>
      <c r="C2248" s="631" t="str">
        <f t="shared" si="38"/>
        <v>Ô tô tự đổ 22 tấn244</v>
      </c>
      <c r="D2248" s="630"/>
      <c r="E2248" s="630"/>
      <c r="F2248" s="630"/>
      <c r="G2248" s="630"/>
    </row>
    <row r="2249" spans="1:7" ht="18.75" x14ac:dyDescent="0.25">
      <c r="A2249" s="629" t="s">
        <v>3073</v>
      </c>
      <c r="B2249" s="630">
        <v>245</v>
      </c>
      <c r="C2249" s="631" t="str">
        <f t="shared" si="38"/>
        <v>Ô tô tự đổ 22 tấn245</v>
      </c>
      <c r="D2249" s="630"/>
      <c r="E2249" s="630"/>
      <c r="F2249" s="630"/>
      <c r="G2249" s="630"/>
    </row>
    <row r="2250" spans="1:7" ht="18.75" x14ac:dyDescent="0.25">
      <c r="A2250" s="629" t="s">
        <v>3073</v>
      </c>
      <c r="B2250" s="630">
        <v>246</v>
      </c>
      <c r="C2250" s="631" t="str">
        <f t="shared" si="38"/>
        <v>Ô tô tự đổ 22 tấn246</v>
      </c>
      <c r="D2250" s="630"/>
      <c r="E2250" s="630"/>
      <c r="F2250" s="630"/>
      <c r="G2250" s="630"/>
    </row>
    <row r="2251" spans="1:7" ht="18.75" x14ac:dyDescent="0.25">
      <c r="A2251" s="629" t="s">
        <v>3073</v>
      </c>
      <c r="B2251" s="630">
        <v>247</v>
      </c>
      <c r="C2251" s="631" t="str">
        <f t="shared" si="38"/>
        <v>Ô tô tự đổ 22 tấn247</v>
      </c>
      <c r="D2251" s="630"/>
      <c r="E2251" s="630"/>
      <c r="F2251" s="630"/>
      <c r="G2251" s="630"/>
    </row>
    <row r="2252" spans="1:7" ht="18.75" x14ac:dyDescent="0.25">
      <c r="A2252" s="629" t="s">
        <v>3073</v>
      </c>
      <c r="B2252" s="630">
        <v>248</v>
      </c>
      <c r="C2252" s="631" t="str">
        <f t="shared" si="38"/>
        <v>Ô tô tự đổ 22 tấn248</v>
      </c>
      <c r="D2252" s="630"/>
      <c r="E2252" s="630"/>
      <c r="F2252" s="630"/>
      <c r="G2252" s="630"/>
    </row>
    <row r="2253" spans="1:7" ht="18.75" x14ac:dyDescent="0.25">
      <c r="A2253" s="629" t="s">
        <v>3073</v>
      </c>
      <c r="B2253" s="630">
        <v>249</v>
      </c>
      <c r="C2253" s="631" t="str">
        <f t="shared" si="38"/>
        <v>Ô tô tự đổ 22 tấn249</v>
      </c>
      <c r="D2253" s="630"/>
      <c r="E2253" s="630"/>
      <c r="F2253" s="630"/>
      <c r="G2253" s="630"/>
    </row>
    <row r="2254" spans="1:7" ht="18.75" x14ac:dyDescent="0.25">
      <c r="A2254" s="629" t="s">
        <v>3073</v>
      </c>
      <c r="B2254" s="630">
        <v>250</v>
      </c>
      <c r="C2254" s="631" t="str">
        <f t="shared" si="38"/>
        <v>Ô tô tự đổ 22 tấn250</v>
      </c>
      <c r="D2254" s="630"/>
      <c r="E2254" s="630"/>
      <c r="F2254" s="630"/>
      <c r="G2254" s="630"/>
    </row>
    <row r="2255" spans="1:7" ht="18.75" x14ac:dyDescent="0.25">
      <c r="A2255" s="629" t="s">
        <v>3073</v>
      </c>
      <c r="B2255" s="630">
        <v>251</v>
      </c>
      <c r="C2255" s="631" t="str">
        <f t="shared" si="38"/>
        <v>Ô tô tự đổ 22 tấn251</v>
      </c>
      <c r="D2255" s="630"/>
      <c r="E2255" s="630"/>
      <c r="F2255" s="630"/>
      <c r="G2255" s="630"/>
    </row>
    <row r="2256" spans="1:7" ht="18.75" x14ac:dyDescent="0.25">
      <c r="A2256" s="629" t="s">
        <v>3073</v>
      </c>
      <c r="B2256" s="630">
        <v>252</v>
      </c>
      <c r="C2256" s="631" t="str">
        <f t="shared" si="38"/>
        <v>Ô tô tự đổ 22 tấn252</v>
      </c>
      <c r="D2256" s="630"/>
      <c r="E2256" s="630"/>
      <c r="F2256" s="630"/>
      <c r="G2256" s="630"/>
    </row>
    <row r="2257" spans="1:7" ht="18.75" x14ac:dyDescent="0.25">
      <c r="A2257" s="629" t="s">
        <v>3073</v>
      </c>
      <c r="B2257" s="630">
        <v>253</v>
      </c>
      <c r="C2257" s="631" t="str">
        <f t="shared" si="38"/>
        <v>Ô tô tự đổ 22 tấn253</v>
      </c>
      <c r="D2257" s="630"/>
      <c r="E2257" s="630"/>
      <c r="F2257" s="630"/>
      <c r="G2257" s="630"/>
    </row>
    <row r="2258" spans="1:7" ht="18.75" x14ac:dyDescent="0.25">
      <c r="A2258" s="629" t="s">
        <v>3073</v>
      </c>
      <c r="B2258" s="630">
        <v>254</v>
      </c>
      <c r="C2258" s="631" t="str">
        <f t="shared" si="38"/>
        <v>Ô tô tự đổ 22 tấn254</v>
      </c>
      <c r="D2258" s="630"/>
      <c r="E2258" s="630"/>
      <c r="F2258" s="630"/>
      <c r="G2258" s="630"/>
    </row>
    <row r="2259" spans="1:7" ht="18.75" x14ac:dyDescent="0.25">
      <c r="A2259" s="629" t="s">
        <v>3073</v>
      </c>
      <c r="B2259" s="630">
        <v>255</v>
      </c>
      <c r="C2259" s="631" t="str">
        <f t="shared" si="38"/>
        <v>Ô tô tự đổ 22 tấn255</v>
      </c>
      <c r="D2259" s="630"/>
      <c r="E2259" s="630"/>
      <c r="F2259" s="630"/>
      <c r="G2259" s="630"/>
    </row>
    <row r="2260" spans="1:7" ht="18.75" x14ac:dyDescent="0.25">
      <c r="A2260" s="629" t="s">
        <v>3073</v>
      </c>
      <c r="B2260" s="630">
        <v>256</v>
      </c>
      <c r="C2260" s="631" t="str">
        <f t="shared" si="38"/>
        <v>Ô tô tự đổ 22 tấn256</v>
      </c>
      <c r="D2260" s="630"/>
      <c r="E2260" s="630"/>
      <c r="F2260" s="630"/>
      <c r="G2260" s="630"/>
    </row>
    <row r="2261" spans="1:7" ht="18.75" x14ac:dyDescent="0.25">
      <c r="A2261" s="629" t="s">
        <v>3073</v>
      </c>
      <c r="B2261" s="630">
        <v>257</v>
      </c>
      <c r="C2261" s="631" t="str">
        <f t="shared" si="38"/>
        <v>Ô tô tự đổ 22 tấn257</v>
      </c>
      <c r="D2261" s="630"/>
      <c r="E2261" s="630"/>
      <c r="F2261" s="630"/>
      <c r="G2261" s="630"/>
    </row>
    <row r="2262" spans="1:7" ht="18.75" x14ac:dyDescent="0.25">
      <c r="A2262" s="629" t="s">
        <v>3073</v>
      </c>
      <c r="B2262" s="630">
        <v>258</v>
      </c>
      <c r="C2262" s="631" t="str">
        <f t="shared" ref="C2262:C2325" si="39">A2262&amp;B2262</f>
        <v>Ô tô tự đổ 22 tấn258</v>
      </c>
      <c r="D2262" s="630"/>
      <c r="E2262" s="630"/>
      <c r="F2262" s="630"/>
      <c r="G2262" s="630"/>
    </row>
    <row r="2263" spans="1:7" ht="18.75" x14ac:dyDescent="0.25">
      <c r="A2263" s="629" t="s">
        <v>3073</v>
      </c>
      <c r="B2263" s="630">
        <v>259</v>
      </c>
      <c r="C2263" s="631" t="str">
        <f t="shared" si="39"/>
        <v>Ô tô tự đổ 22 tấn259</v>
      </c>
      <c r="D2263" s="630"/>
      <c r="E2263" s="630"/>
      <c r="F2263" s="630"/>
      <c r="G2263" s="630"/>
    </row>
    <row r="2264" spans="1:7" ht="18.75" x14ac:dyDescent="0.25">
      <c r="A2264" s="629" t="s">
        <v>3073</v>
      </c>
      <c r="B2264" s="630">
        <v>260</v>
      </c>
      <c r="C2264" s="631" t="str">
        <f t="shared" si="39"/>
        <v>Ô tô tự đổ 22 tấn260</v>
      </c>
      <c r="D2264" s="630"/>
      <c r="E2264" s="630"/>
      <c r="F2264" s="630"/>
      <c r="G2264" s="630"/>
    </row>
    <row r="2265" spans="1:7" ht="18.75" x14ac:dyDescent="0.25">
      <c r="A2265" s="629" t="s">
        <v>3073</v>
      </c>
      <c r="B2265" s="630">
        <v>261</v>
      </c>
      <c r="C2265" s="631" t="str">
        <f t="shared" si="39"/>
        <v>Ô tô tự đổ 22 tấn261</v>
      </c>
      <c r="D2265" s="630"/>
      <c r="E2265" s="630"/>
      <c r="F2265" s="630"/>
      <c r="G2265" s="630"/>
    </row>
    <row r="2266" spans="1:7" ht="18.75" x14ac:dyDescent="0.25">
      <c r="A2266" s="629" t="s">
        <v>3073</v>
      </c>
      <c r="B2266" s="630">
        <v>262</v>
      </c>
      <c r="C2266" s="631" t="str">
        <f t="shared" si="39"/>
        <v>Ô tô tự đổ 22 tấn262</v>
      </c>
      <c r="D2266" s="630"/>
      <c r="E2266" s="630"/>
      <c r="F2266" s="630"/>
      <c r="G2266" s="630"/>
    </row>
    <row r="2267" spans="1:7" ht="18.75" x14ac:dyDescent="0.25">
      <c r="A2267" s="629" t="s">
        <v>3073</v>
      </c>
      <c r="B2267" s="630">
        <v>263</v>
      </c>
      <c r="C2267" s="631" t="str">
        <f t="shared" si="39"/>
        <v>Ô tô tự đổ 22 tấn263</v>
      </c>
      <c r="D2267" s="630"/>
      <c r="E2267" s="630"/>
      <c r="F2267" s="630"/>
      <c r="G2267" s="630"/>
    </row>
    <row r="2268" spans="1:7" ht="18.75" x14ac:dyDescent="0.25">
      <c r="A2268" s="629" t="s">
        <v>3073</v>
      </c>
      <c r="B2268" s="630">
        <v>264</v>
      </c>
      <c r="C2268" s="631" t="str">
        <f t="shared" si="39"/>
        <v>Ô tô tự đổ 22 tấn264</v>
      </c>
      <c r="D2268" s="630"/>
      <c r="E2268" s="630"/>
      <c r="F2268" s="630"/>
      <c r="G2268" s="630"/>
    </row>
    <row r="2269" spans="1:7" ht="18.75" x14ac:dyDescent="0.25">
      <c r="A2269" s="629" t="s">
        <v>3073</v>
      </c>
      <c r="B2269" s="630">
        <v>265</v>
      </c>
      <c r="C2269" s="631" t="str">
        <f t="shared" si="39"/>
        <v>Ô tô tự đổ 22 tấn265</v>
      </c>
      <c r="D2269" s="630"/>
      <c r="E2269" s="630"/>
      <c r="F2269" s="630"/>
      <c r="G2269" s="630"/>
    </row>
    <row r="2270" spans="1:7" ht="18.75" x14ac:dyDescent="0.25">
      <c r="A2270" s="629" t="s">
        <v>3073</v>
      </c>
      <c r="B2270" s="630">
        <v>266</v>
      </c>
      <c r="C2270" s="631" t="str">
        <f t="shared" si="39"/>
        <v>Ô tô tự đổ 22 tấn266</v>
      </c>
      <c r="D2270" s="630"/>
      <c r="E2270" s="630"/>
      <c r="F2270" s="630"/>
      <c r="G2270" s="630"/>
    </row>
    <row r="2271" spans="1:7" ht="18.75" x14ac:dyDescent="0.25">
      <c r="A2271" s="629" t="s">
        <v>3073</v>
      </c>
      <c r="B2271" s="630">
        <v>267</v>
      </c>
      <c r="C2271" s="631" t="str">
        <f t="shared" si="39"/>
        <v>Ô tô tự đổ 22 tấn267</v>
      </c>
      <c r="D2271" s="630"/>
      <c r="E2271" s="630"/>
      <c r="F2271" s="630"/>
      <c r="G2271" s="630"/>
    </row>
    <row r="2272" spans="1:7" ht="18.75" x14ac:dyDescent="0.25">
      <c r="A2272" s="629" t="s">
        <v>3073</v>
      </c>
      <c r="B2272" s="630">
        <v>268</v>
      </c>
      <c r="C2272" s="631" t="str">
        <f t="shared" si="39"/>
        <v>Ô tô tự đổ 22 tấn268</v>
      </c>
      <c r="D2272" s="630"/>
      <c r="E2272" s="630"/>
      <c r="F2272" s="630"/>
      <c r="G2272" s="630"/>
    </row>
    <row r="2273" spans="1:7" ht="18.75" x14ac:dyDescent="0.25">
      <c r="A2273" s="629" t="s">
        <v>3073</v>
      </c>
      <c r="B2273" s="630">
        <v>269</v>
      </c>
      <c r="C2273" s="631" t="str">
        <f t="shared" si="39"/>
        <v>Ô tô tự đổ 22 tấn269</v>
      </c>
      <c r="D2273" s="630"/>
      <c r="E2273" s="630"/>
      <c r="F2273" s="630"/>
      <c r="G2273" s="630"/>
    </row>
    <row r="2274" spans="1:7" ht="18.75" x14ac:dyDescent="0.25">
      <c r="A2274" s="629" t="s">
        <v>3073</v>
      </c>
      <c r="B2274" s="630">
        <v>270</v>
      </c>
      <c r="C2274" s="631" t="str">
        <f t="shared" si="39"/>
        <v>Ô tô tự đổ 22 tấn270</v>
      </c>
      <c r="D2274" s="630"/>
      <c r="E2274" s="630"/>
      <c r="F2274" s="630"/>
      <c r="G2274" s="630"/>
    </row>
    <row r="2275" spans="1:7" ht="18.75" x14ac:dyDescent="0.25">
      <c r="A2275" s="629" t="s">
        <v>3073</v>
      </c>
      <c r="B2275" s="630">
        <v>271</v>
      </c>
      <c r="C2275" s="631" t="str">
        <f t="shared" si="39"/>
        <v>Ô tô tự đổ 22 tấn271</v>
      </c>
      <c r="D2275" s="630"/>
      <c r="E2275" s="630"/>
      <c r="F2275" s="630"/>
      <c r="G2275" s="630"/>
    </row>
    <row r="2276" spans="1:7" ht="18.75" x14ac:dyDescent="0.25">
      <c r="A2276" s="629" t="s">
        <v>3073</v>
      </c>
      <c r="B2276" s="630">
        <v>272</v>
      </c>
      <c r="C2276" s="631" t="str">
        <f t="shared" si="39"/>
        <v>Ô tô tự đổ 22 tấn272</v>
      </c>
      <c r="D2276" s="630"/>
      <c r="E2276" s="630"/>
      <c r="F2276" s="630"/>
      <c r="G2276" s="630"/>
    </row>
    <row r="2277" spans="1:7" ht="18.75" x14ac:dyDescent="0.25">
      <c r="A2277" s="629" t="s">
        <v>3073</v>
      </c>
      <c r="B2277" s="630">
        <v>273</v>
      </c>
      <c r="C2277" s="631" t="str">
        <f t="shared" si="39"/>
        <v>Ô tô tự đổ 22 tấn273</v>
      </c>
      <c r="D2277" s="630"/>
      <c r="E2277" s="630"/>
      <c r="F2277" s="630"/>
      <c r="G2277" s="630"/>
    </row>
    <row r="2278" spans="1:7" ht="18.75" x14ac:dyDescent="0.25">
      <c r="A2278" s="629" t="s">
        <v>3073</v>
      </c>
      <c r="B2278" s="630">
        <v>274</v>
      </c>
      <c r="C2278" s="631" t="str">
        <f t="shared" si="39"/>
        <v>Ô tô tự đổ 22 tấn274</v>
      </c>
      <c r="D2278" s="630"/>
      <c r="E2278" s="630"/>
      <c r="F2278" s="630"/>
      <c r="G2278" s="630"/>
    </row>
    <row r="2279" spans="1:7" ht="18.75" x14ac:dyDescent="0.25">
      <c r="A2279" s="629" t="s">
        <v>3073</v>
      </c>
      <c r="B2279" s="630">
        <v>275</v>
      </c>
      <c r="C2279" s="631" t="str">
        <f t="shared" si="39"/>
        <v>Ô tô tự đổ 22 tấn275</v>
      </c>
      <c r="D2279" s="630"/>
      <c r="E2279" s="630"/>
      <c r="F2279" s="630"/>
      <c r="G2279" s="630"/>
    </row>
    <row r="2280" spans="1:7" ht="18.75" x14ac:dyDescent="0.25">
      <c r="A2280" s="629" t="s">
        <v>3073</v>
      </c>
      <c r="B2280" s="630">
        <v>276</v>
      </c>
      <c r="C2280" s="631" t="str">
        <f t="shared" si="39"/>
        <v>Ô tô tự đổ 22 tấn276</v>
      </c>
      <c r="D2280" s="630"/>
      <c r="E2280" s="630"/>
      <c r="F2280" s="630"/>
      <c r="G2280" s="630"/>
    </row>
    <row r="2281" spans="1:7" ht="18.75" x14ac:dyDescent="0.25">
      <c r="A2281" s="629" t="s">
        <v>3073</v>
      </c>
      <c r="B2281" s="630">
        <v>277</v>
      </c>
      <c r="C2281" s="631" t="str">
        <f t="shared" si="39"/>
        <v>Ô tô tự đổ 22 tấn277</v>
      </c>
      <c r="D2281" s="630"/>
      <c r="E2281" s="630"/>
      <c r="F2281" s="630"/>
      <c r="G2281" s="630"/>
    </row>
    <row r="2282" spans="1:7" ht="18.75" x14ac:dyDescent="0.25">
      <c r="A2282" s="629" t="s">
        <v>3073</v>
      </c>
      <c r="B2282" s="630">
        <v>278</v>
      </c>
      <c r="C2282" s="631" t="str">
        <f t="shared" si="39"/>
        <v>Ô tô tự đổ 22 tấn278</v>
      </c>
      <c r="D2282" s="630"/>
      <c r="E2282" s="630"/>
      <c r="F2282" s="630"/>
      <c r="G2282" s="630"/>
    </row>
    <row r="2283" spans="1:7" ht="18.75" x14ac:dyDescent="0.25">
      <c r="A2283" s="629" t="s">
        <v>3073</v>
      </c>
      <c r="B2283" s="630">
        <v>279</v>
      </c>
      <c r="C2283" s="631" t="str">
        <f t="shared" si="39"/>
        <v>Ô tô tự đổ 22 tấn279</v>
      </c>
      <c r="D2283" s="630"/>
      <c r="E2283" s="630"/>
      <c r="F2283" s="630"/>
      <c r="G2283" s="630"/>
    </row>
    <row r="2284" spans="1:7" ht="18.75" x14ac:dyDescent="0.25">
      <c r="A2284" s="629" t="s">
        <v>3073</v>
      </c>
      <c r="B2284" s="630">
        <v>280</v>
      </c>
      <c r="C2284" s="631" t="str">
        <f t="shared" si="39"/>
        <v>Ô tô tự đổ 22 tấn280</v>
      </c>
      <c r="D2284" s="630"/>
      <c r="E2284" s="630"/>
      <c r="F2284" s="630"/>
      <c r="G2284" s="630"/>
    </row>
    <row r="2285" spans="1:7" ht="18.75" x14ac:dyDescent="0.25">
      <c r="A2285" s="629" t="s">
        <v>3073</v>
      </c>
      <c r="B2285" s="630">
        <v>281</v>
      </c>
      <c r="C2285" s="631" t="str">
        <f t="shared" si="39"/>
        <v>Ô tô tự đổ 22 tấn281</v>
      </c>
      <c r="D2285" s="630"/>
      <c r="E2285" s="630"/>
      <c r="F2285" s="630"/>
      <c r="G2285" s="630"/>
    </row>
    <row r="2286" spans="1:7" ht="18.75" x14ac:dyDescent="0.25">
      <c r="A2286" s="629" t="s">
        <v>3073</v>
      </c>
      <c r="B2286" s="630">
        <v>282</v>
      </c>
      <c r="C2286" s="631" t="str">
        <f t="shared" si="39"/>
        <v>Ô tô tự đổ 22 tấn282</v>
      </c>
      <c r="D2286" s="630"/>
      <c r="E2286" s="630"/>
      <c r="F2286" s="630"/>
      <c r="G2286" s="630"/>
    </row>
    <row r="2287" spans="1:7" ht="18.75" x14ac:dyDescent="0.25">
      <c r="A2287" s="629" t="s">
        <v>3073</v>
      </c>
      <c r="B2287" s="630">
        <v>283</v>
      </c>
      <c r="C2287" s="631" t="str">
        <f t="shared" si="39"/>
        <v>Ô tô tự đổ 22 tấn283</v>
      </c>
      <c r="D2287" s="630"/>
      <c r="E2287" s="630"/>
      <c r="F2287" s="630"/>
      <c r="G2287" s="630"/>
    </row>
    <row r="2288" spans="1:7" ht="18.75" x14ac:dyDescent="0.25">
      <c r="A2288" s="629" t="s">
        <v>3073</v>
      </c>
      <c r="B2288" s="630">
        <v>284</v>
      </c>
      <c r="C2288" s="631" t="str">
        <f t="shared" si="39"/>
        <v>Ô tô tự đổ 22 tấn284</v>
      </c>
      <c r="D2288" s="630"/>
      <c r="E2288" s="630"/>
      <c r="F2288" s="630"/>
      <c r="G2288" s="630"/>
    </row>
    <row r="2289" spans="1:7" ht="18.75" x14ac:dyDescent="0.25">
      <c r="A2289" s="629" t="s">
        <v>3073</v>
      </c>
      <c r="B2289" s="630">
        <v>285</v>
      </c>
      <c r="C2289" s="631" t="str">
        <f t="shared" si="39"/>
        <v>Ô tô tự đổ 22 tấn285</v>
      </c>
      <c r="D2289" s="630"/>
      <c r="E2289" s="630"/>
      <c r="F2289" s="630"/>
      <c r="G2289" s="630"/>
    </row>
    <row r="2290" spans="1:7" ht="18.75" x14ac:dyDescent="0.25">
      <c r="A2290" s="629" t="s">
        <v>3073</v>
      </c>
      <c r="B2290" s="630">
        <v>286</v>
      </c>
      <c r="C2290" s="631" t="str">
        <f t="shared" si="39"/>
        <v>Ô tô tự đổ 22 tấn286</v>
      </c>
      <c r="D2290" s="630"/>
      <c r="E2290" s="630"/>
      <c r="F2290" s="630"/>
      <c r="G2290" s="630"/>
    </row>
    <row r="2291" spans="1:7" ht="18.75" x14ac:dyDescent="0.25">
      <c r="A2291" s="629" t="s">
        <v>3073</v>
      </c>
      <c r="B2291" s="630">
        <v>287</v>
      </c>
      <c r="C2291" s="631" t="str">
        <f t="shared" si="39"/>
        <v>Ô tô tự đổ 22 tấn287</v>
      </c>
      <c r="D2291" s="630"/>
      <c r="E2291" s="630"/>
      <c r="F2291" s="630"/>
      <c r="G2291" s="630"/>
    </row>
    <row r="2292" spans="1:7" ht="18.75" x14ac:dyDescent="0.25">
      <c r="A2292" s="629" t="s">
        <v>3073</v>
      </c>
      <c r="B2292" s="630">
        <v>288</v>
      </c>
      <c r="C2292" s="631" t="str">
        <f t="shared" si="39"/>
        <v>Ô tô tự đổ 22 tấn288</v>
      </c>
      <c r="D2292" s="630"/>
      <c r="E2292" s="630"/>
      <c r="F2292" s="630"/>
      <c r="G2292" s="630"/>
    </row>
    <row r="2293" spans="1:7" ht="18.75" x14ac:dyDescent="0.25">
      <c r="A2293" s="629" t="s">
        <v>3073</v>
      </c>
      <c r="B2293" s="630">
        <v>289</v>
      </c>
      <c r="C2293" s="631" t="str">
        <f t="shared" si="39"/>
        <v>Ô tô tự đổ 22 tấn289</v>
      </c>
      <c r="D2293" s="630"/>
      <c r="E2293" s="630"/>
      <c r="F2293" s="630"/>
      <c r="G2293" s="630"/>
    </row>
    <row r="2294" spans="1:7" ht="18.75" x14ac:dyDescent="0.25">
      <c r="A2294" s="629" t="s">
        <v>3073</v>
      </c>
      <c r="B2294" s="630">
        <v>290</v>
      </c>
      <c r="C2294" s="631" t="str">
        <f t="shared" si="39"/>
        <v>Ô tô tự đổ 22 tấn290</v>
      </c>
      <c r="D2294" s="630"/>
      <c r="E2294" s="630"/>
      <c r="F2294" s="630"/>
      <c r="G2294" s="630"/>
    </row>
    <row r="2295" spans="1:7" ht="18.75" x14ac:dyDescent="0.25">
      <c r="A2295" s="629" t="s">
        <v>3073</v>
      </c>
      <c r="B2295" s="630">
        <v>291</v>
      </c>
      <c r="C2295" s="631" t="str">
        <f t="shared" si="39"/>
        <v>Ô tô tự đổ 22 tấn291</v>
      </c>
      <c r="D2295" s="630"/>
      <c r="E2295" s="630"/>
      <c r="F2295" s="630"/>
      <c r="G2295" s="630"/>
    </row>
    <row r="2296" spans="1:7" ht="18.75" x14ac:dyDescent="0.25">
      <c r="A2296" s="629" t="s">
        <v>3073</v>
      </c>
      <c r="B2296" s="630">
        <v>292</v>
      </c>
      <c r="C2296" s="631" t="str">
        <f t="shared" si="39"/>
        <v>Ô tô tự đổ 22 tấn292</v>
      </c>
      <c r="D2296" s="630"/>
      <c r="E2296" s="630"/>
      <c r="F2296" s="630"/>
      <c r="G2296" s="630"/>
    </row>
    <row r="2297" spans="1:7" ht="18.75" x14ac:dyDescent="0.25">
      <c r="A2297" s="629" t="s">
        <v>3073</v>
      </c>
      <c r="B2297" s="630">
        <v>293</v>
      </c>
      <c r="C2297" s="631" t="str">
        <f t="shared" si="39"/>
        <v>Ô tô tự đổ 22 tấn293</v>
      </c>
      <c r="D2297" s="630"/>
      <c r="E2297" s="630"/>
      <c r="F2297" s="630"/>
      <c r="G2297" s="630"/>
    </row>
    <row r="2298" spans="1:7" ht="18.75" x14ac:dyDescent="0.25">
      <c r="A2298" s="629" t="s">
        <v>3073</v>
      </c>
      <c r="B2298" s="630">
        <v>294</v>
      </c>
      <c r="C2298" s="631" t="str">
        <f t="shared" si="39"/>
        <v>Ô tô tự đổ 22 tấn294</v>
      </c>
      <c r="D2298" s="630"/>
      <c r="E2298" s="630"/>
      <c r="F2298" s="630"/>
      <c r="G2298" s="630"/>
    </row>
    <row r="2299" spans="1:7" ht="18.75" x14ac:dyDescent="0.25">
      <c r="A2299" s="629" t="s">
        <v>3073</v>
      </c>
      <c r="B2299" s="630">
        <v>295</v>
      </c>
      <c r="C2299" s="631" t="str">
        <f t="shared" si="39"/>
        <v>Ô tô tự đổ 22 tấn295</v>
      </c>
      <c r="D2299" s="630"/>
      <c r="E2299" s="630"/>
      <c r="F2299" s="630"/>
      <c r="G2299" s="630"/>
    </row>
    <row r="2300" spans="1:7" ht="18.75" x14ac:dyDescent="0.25">
      <c r="A2300" s="629" t="s">
        <v>3073</v>
      </c>
      <c r="B2300" s="630">
        <v>296</v>
      </c>
      <c r="C2300" s="631" t="str">
        <f t="shared" si="39"/>
        <v>Ô tô tự đổ 22 tấn296</v>
      </c>
      <c r="D2300" s="630"/>
      <c r="E2300" s="630"/>
      <c r="F2300" s="630"/>
      <c r="G2300" s="630"/>
    </row>
    <row r="2301" spans="1:7" ht="18.75" x14ac:dyDescent="0.25">
      <c r="A2301" s="629" t="s">
        <v>3073</v>
      </c>
      <c r="B2301" s="630">
        <v>297</v>
      </c>
      <c r="C2301" s="631" t="str">
        <f t="shared" si="39"/>
        <v>Ô tô tự đổ 22 tấn297</v>
      </c>
      <c r="D2301" s="630"/>
      <c r="E2301" s="630"/>
      <c r="F2301" s="630"/>
      <c r="G2301" s="630"/>
    </row>
    <row r="2302" spans="1:7" ht="18.75" x14ac:dyDescent="0.25">
      <c r="A2302" s="629" t="s">
        <v>3073</v>
      </c>
      <c r="B2302" s="630">
        <v>298</v>
      </c>
      <c r="C2302" s="631" t="str">
        <f t="shared" si="39"/>
        <v>Ô tô tự đổ 22 tấn298</v>
      </c>
      <c r="D2302" s="630"/>
      <c r="E2302" s="630"/>
      <c r="F2302" s="630"/>
      <c r="G2302" s="630"/>
    </row>
    <row r="2303" spans="1:7" ht="18.75" x14ac:dyDescent="0.25">
      <c r="A2303" s="629" t="s">
        <v>3073</v>
      </c>
      <c r="B2303" s="630">
        <v>299</v>
      </c>
      <c r="C2303" s="631" t="str">
        <f t="shared" si="39"/>
        <v>Ô tô tự đổ 22 tấn299</v>
      </c>
      <c r="D2303" s="630"/>
      <c r="E2303" s="630"/>
      <c r="F2303" s="630"/>
      <c r="G2303" s="630"/>
    </row>
    <row r="2304" spans="1:7" ht="18.75" x14ac:dyDescent="0.25">
      <c r="A2304" s="629" t="s">
        <v>3073</v>
      </c>
      <c r="B2304" s="630">
        <v>300</v>
      </c>
      <c r="C2304" s="631" t="str">
        <f t="shared" si="39"/>
        <v>Ô tô tự đổ 22 tấn300</v>
      </c>
      <c r="D2304" s="630"/>
      <c r="E2304" s="630"/>
      <c r="F2304" s="630"/>
      <c r="G2304" s="630"/>
    </row>
    <row r="2305" spans="1:7" ht="18.75" x14ac:dyDescent="0.25">
      <c r="A2305" s="629" t="s">
        <v>3073</v>
      </c>
      <c r="B2305" s="630">
        <v>301</v>
      </c>
      <c r="C2305" s="631" t="str">
        <f t="shared" si="39"/>
        <v>Ô tô tự đổ 22 tấn301</v>
      </c>
      <c r="D2305" s="630"/>
      <c r="E2305" s="630"/>
      <c r="F2305" s="630"/>
      <c r="G2305" s="630"/>
    </row>
    <row r="2306" spans="1:7" ht="18.75" x14ac:dyDescent="0.25">
      <c r="A2306" s="629" t="s">
        <v>3073</v>
      </c>
      <c r="B2306" s="630">
        <v>302</v>
      </c>
      <c r="C2306" s="631" t="str">
        <f t="shared" si="39"/>
        <v>Ô tô tự đổ 22 tấn302</v>
      </c>
      <c r="D2306" s="630"/>
      <c r="E2306" s="630"/>
      <c r="F2306" s="630"/>
      <c r="G2306" s="630"/>
    </row>
    <row r="2307" spans="1:7" ht="18.75" x14ac:dyDescent="0.25">
      <c r="A2307" s="629" t="s">
        <v>3073</v>
      </c>
      <c r="B2307" s="630">
        <v>303</v>
      </c>
      <c r="C2307" s="631" t="str">
        <f t="shared" si="39"/>
        <v>Ô tô tự đổ 22 tấn303</v>
      </c>
      <c r="D2307" s="630"/>
      <c r="E2307" s="630"/>
      <c r="F2307" s="630"/>
      <c r="G2307" s="630"/>
    </row>
    <row r="2308" spans="1:7" ht="18.75" x14ac:dyDescent="0.25">
      <c r="A2308" s="629" t="s">
        <v>3073</v>
      </c>
      <c r="B2308" s="630">
        <v>304</v>
      </c>
      <c r="C2308" s="631" t="str">
        <f t="shared" si="39"/>
        <v>Ô tô tự đổ 22 tấn304</v>
      </c>
      <c r="D2308" s="630"/>
      <c r="E2308" s="630"/>
      <c r="F2308" s="630"/>
      <c r="G2308" s="630"/>
    </row>
    <row r="2309" spans="1:7" ht="18.75" x14ac:dyDescent="0.25">
      <c r="A2309" s="629" t="s">
        <v>3073</v>
      </c>
      <c r="B2309" s="630">
        <v>305</v>
      </c>
      <c r="C2309" s="631" t="str">
        <f t="shared" si="39"/>
        <v>Ô tô tự đổ 22 tấn305</v>
      </c>
      <c r="D2309" s="630"/>
      <c r="E2309" s="630"/>
      <c r="F2309" s="630"/>
      <c r="G2309" s="630"/>
    </row>
    <row r="2310" spans="1:7" ht="18.75" x14ac:dyDescent="0.25">
      <c r="A2310" s="629" t="s">
        <v>3073</v>
      </c>
      <c r="B2310" s="630">
        <v>306</v>
      </c>
      <c r="C2310" s="631" t="str">
        <f t="shared" si="39"/>
        <v>Ô tô tự đổ 22 tấn306</v>
      </c>
      <c r="D2310" s="630"/>
      <c r="E2310" s="630"/>
      <c r="F2310" s="630"/>
      <c r="G2310" s="630"/>
    </row>
    <row r="2311" spans="1:7" ht="18.75" x14ac:dyDescent="0.25">
      <c r="A2311" s="629" t="s">
        <v>3073</v>
      </c>
      <c r="B2311" s="630">
        <v>307</v>
      </c>
      <c r="C2311" s="631" t="str">
        <f t="shared" si="39"/>
        <v>Ô tô tự đổ 22 tấn307</v>
      </c>
      <c r="D2311" s="630"/>
      <c r="E2311" s="630"/>
      <c r="F2311" s="630"/>
      <c r="G2311" s="630"/>
    </row>
    <row r="2312" spans="1:7" ht="18.75" x14ac:dyDescent="0.25">
      <c r="A2312" s="629" t="s">
        <v>3073</v>
      </c>
      <c r="B2312" s="630">
        <v>308</v>
      </c>
      <c r="C2312" s="631" t="str">
        <f t="shared" si="39"/>
        <v>Ô tô tự đổ 22 tấn308</v>
      </c>
      <c r="D2312" s="630"/>
      <c r="E2312" s="630"/>
      <c r="F2312" s="630"/>
      <c r="G2312" s="630"/>
    </row>
    <row r="2313" spans="1:7" ht="18.75" x14ac:dyDescent="0.25">
      <c r="A2313" s="629" t="s">
        <v>3073</v>
      </c>
      <c r="B2313" s="630">
        <v>309</v>
      </c>
      <c r="C2313" s="631" t="str">
        <f t="shared" si="39"/>
        <v>Ô tô tự đổ 22 tấn309</v>
      </c>
      <c r="D2313" s="630"/>
      <c r="E2313" s="630"/>
      <c r="F2313" s="630"/>
      <c r="G2313" s="630"/>
    </row>
    <row r="2314" spans="1:7" ht="18.75" x14ac:dyDescent="0.25">
      <c r="A2314" s="629" t="s">
        <v>3073</v>
      </c>
      <c r="B2314" s="630">
        <v>310</v>
      </c>
      <c r="C2314" s="631" t="str">
        <f t="shared" si="39"/>
        <v>Ô tô tự đổ 22 tấn310</v>
      </c>
      <c r="D2314" s="630"/>
      <c r="E2314" s="630"/>
      <c r="F2314" s="630"/>
      <c r="G2314" s="630"/>
    </row>
    <row r="2315" spans="1:7" ht="18.75" x14ac:dyDescent="0.25">
      <c r="A2315" s="629" t="s">
        <v>3073</v>
      </c>
      <c r="B2315" s="630">
        <v>311</v>
      </c>
      <c r="C2315" s="631" t="str">
        <f t="shared" si="39"/>
        <v>Ô tô tự đổ 22 tấn311</v>
      </c>
      <c r="D2315" s="630"/>
      <c r="E2315" s="630"/>
      <c r="F2315" s="630"/>
      <c r="G2315" s="630"/>
    </row>
    <row r="2316" spans="1:7" ht="18.75" x14ac:dyDescent="0.25">
      <c r="A2316" s="629" t="s">
        <v>3073</v>
      </c>
      <c r="B2316" s="630">
        <v>312</v>
      </c>
      <c r="C2316" s="631" t="str">
        <f t="shared" si="39"/>
        <v>Ô tô tự đổ 22 tấn312</v>
      </c>
      <c r="D2316" s="630"/>
      <c r="E2316" s="630"/>
      <c r="F2316" s="630"/>
      <c r="G2316" s="630"/>
    </row>
    <row r="2317" spans="1:7" ht="18.75" x14ac:dyDescent="0.25">
      <c r="A2317" s="629" t="s">
        <v>3073</v>
      </c>
      <c r="B2317" s="630">
        <v>313</v>
      </c>
      <c r="C2317" s="631" t="str">
        <f t="shared" si="39"/>
        <v>Ô tô tự đổ 22 tấn313</v>
      </c>
      <c r="D2317" s="630"/>
      <c r="E2317" s="630"/>
      <c r="F2317" s="630"/>
      <c r="G2317" s="630"/>
    </row>
    <row r="2318" spans="1:7" ht="18.75" x14ac:dyDescent="0.25">
      <c r="A2318" s="629" t="s">
        <v>3073</v>
      </c>
      <c r="B2318" s="630">
        <v>314</v>
      </c>
      <c r="C2318" s="631" t="str">
        <f t="shared" si="39"/>
        <v>Ô tô tự đổ 22 tấn314</v>
      </c>
      <c r="D2318" s="630"/>
      <c r="E2318" s="630"/>
      <c r="F2318" s="630"/>
      <c r="G2318" s="630"/>
    </row>
    <row r="2319" spans="1:7" ht="18.75" x14ac:dyDescent="0.25">
      <c r="A2319" s="629" t="s">
        <v>3073</v>
      </c>
      <c r="B2319" s="630">
        <v>315</v>
      </c>
      <c r="C2319" s="631" t="str">
        <f t="shared" si="39"/>
        <v>Ô tô tự đổ 22 tấn315</v>
      </c>
      <c r="D2319" s="630"/>
      <c r="E2319" s="630"/>
      <c r="F2319" s="630"/>
      <c r="G2319" s="630"/>
    </row>
    <row r="2320" spans="1:7" ht="18.75" x14ac:dyDescent="0.25">
      <c r="A2320" s="629" t="s">
        <v>3073</v>
      </c>
      <c r="B2320" s="630">
        <v>316</v>
      </c>
      <c r="C2320" s="631" t="str">
        <f t="shared" si="39"/>
        <v>Ô tô tự đổ 22 tấn316</v>
      </c>
      <c r="D2320" s="630"/>
      <c r="E2320" s="630"/>
      <c r="F2320" s="630"/>
      <c r="G2320" s="630"/>
    </row>
    <row r="2321" spans="1:7" ht="18.75" x14ac:dyDescent="0.25">
      <c r="A2321" s="629" t="s">
        <v>3073</v>
      </c>
      <c r="B2321" s="630">
        <v>317</v>
      </c>
      <c r="C2321" s="631" t="str">
        <f t="shared" si="39"/>
        <v>Ô tô tự đổ 22 tấn317</v>
      </c>
      <c r="D2321" s="630"/>
      <c r="E2321" s="630"/>
      <c r="F2321" s="630"/>
      <c r="G2321" s="630"/>
    </row>
    <row r="2322" spans="1:7" ht="18.75" x14ac:dyDescent="0.25">
      <c r="A2322" s="629" t="s">
        <v>3073</v>
      </c>
      <c r="B2322" s="630">
        <v>318</v>
      </c>
      <c r="C2322" s="631" t="str">
        <f t="shared" si="39"/>
        <v>Ô tô tự đổ 22 tấn318</v>
      </c>
      <c r="D2322" s="630"/>
      <c r="E2322" s="630"/>
      <c r="F2322" s="630"/>
      <c r="G2322" s="630"/>
    </row>
    <row r="2323" spans="1:7" ht="18.75" x14ac:dyDescent="0.25">
      <c r="A2323" s="629" t="s">
        <v>3073</v>
      </c>
      <c r="B2323" s="630">
        <v>319</v>
      </c>
      <c r="C2323" s="631" t="str">
        <f t="shared" si="39"/>
        <v>Ô tô tự đổ 22 tấn319</v>
      </c>
      <c r="D2323" s="630"/>
      <c r="E2323" s="630"/>
      <c r="F2323" s="630"/>
      <c r="G2323" s="630"/>
    </row>
    <row r="2324" spans="1:7" ht="18.75" x14ac:dyDescent="0.25">
      <c r="A2324" s="629" t="s">
        <v>3073</v>
      </c>
      <c r="B2324" s="630">
        <v>320</v>
      </c>
      <c r="C2324" s="631" t="str">
        <f t="shared" si="39"/>
        <v>Ô tô tự đổ 22 tấn320</v>
      </c>
      <c r="D2324" s="630"/>
      <c r="E2324" s="630"/>
      <c r="F2324" s="630"/>
      <c r="G2324" s="630"/>
    </row>
    <row r="2325" spans="1:7" ht="18.75" x14ac:dyDescent="0.25">
      <c r="A2325" s="629" t="s">
        <v>3073</v>
      </c>
      <c r="B2325" s="630">
        <v>321</v>
      </c>
      <c r="C2325" s="631" t="str">
        <f t="shared" si="39"/>
        <v>Ô tô tự đổ 22 tấn321</v>
      </c>
      <c r="D2325" s="630"/>
      <c r="E2325" s="630"/>
      <c r="F2325" s="630"/>
      <c r="G2325" s="630"/>
    </row>
    <row r="2326" spans="1:7" ht="18.75" x14ac:dyDescent="0.25">
      <c r="A2326" s="629" t="s">
        <v>3073</v>
      </c>
      <c r="B2326" s="630">
        <v>322</v>
      </c>
      <c r="C2326" s="631" t="str">
        <f t="shared" ref="C2326:C2389" si="40">A2326&amp;B2326</f>
        <v>Ô tô tự đổ 22 tấn322</v>
      </c>
      <c r="D2326" s="630"/>
      <c r="E2326" s="630"/>
      <c r="F2326" s="630"/>
      <c r="G2326" s="630"/>
    </row>
    <row r="2327" spans="1:7" ht="18.75" x14ac:dyDescent="0.25">
      <c r="A2327" s="629" t="s">
        <v>3073</v>
      </c>
      <c r="B2327" s="630">
        <v>323</v>
      </c>
      <c r="C2327" s="631" t="str">
        <f t="shared" si="40"/>
        <v>Ô tô tự đổ 22 tấn323</v>
      </c>
      <c r="D2327" s="630"/>
      <c r="E2327" s="630"/>
      <c r="F2327" s="630"/>
      <c r="G2327" s="630"/>
    </row>
    <row r="2328" spans="1:7" ht="18.75" x14ac:dyDescent="0.25">
      <c r="A2328" s="629" t="s">
        <v>3073</v>
      </c>
      <c r="B2328" s="630">
        <v>324</v>
      </c>
      <c r="C2328" s="631" t="str">
        <f t="shared" si="40"/>
        <v>Ô tô tự đổ 22 tấn324</v>
      </c>
      <c r="D2328" s="630"/>
      <c r="E2328" s="630"/>
      <c r="F2328" s="630"/>
      <c r="G2328" s="630"/>
    </row>
    <row r="2329" spans="1:7" ht="18.75" x14ac:dyDescent="0.25">
      <c r="A2329" s="629" t="s">
        <v>3073</v>
      </c>
      <c r="B2329" s="630">
        <v>325</v>
      </c>
      <c r="C2329" s="631" t="str">
        <f t="shared" si="40"/>
        <v>Ô tô tự đổ 22 tấn325</v>
      </c>
      <c r="D2329" s="630"/>
      <c r="E2329" s="630"/>
      <c r="F2329" s="630"/>
      <c r="G2329" s="630"/>
    </row>
    <row r="2330" spans="1:7" ht="18.75" x14ac:dyDescent="0.25">
      <c r="A2330" s="629" t="s">
        <v>3073</v>
      </c>
      <c r="B2330" s="630">
        <v>326</v>
      </c>
      <c r="C2330" s="631" t="str">
        <f t="shared" si="40"/>
        <v>Ô tô tự đổ 22 tấn326</v>
      </c>
      <c r="D2330" s="630"/>
      <c r="E2330" s="630"/>
      <c r="F2330" s="630"/>
      <c r="G2330" s="630"/>
    </row>
    <row r="2331" spans="1:7" ht="18.75" x14ac:dyDescent="0.25">
      <c r="A2331" s="629" t="s">
        <v>3073</v>
      </c>
      <c r="B2331" s="630">
        <v>327</v>
      </c>
      <c r="C2331" s="631" t="str">
        <f t="shared" si="40"/>
        <v>Ô tô tự đổ 22 tấn327</v>
      </c>
      <c r="D2331" s="630"/>
      <c r="E2331" s="630"/>
      <c r="F2331" s="630"/>
      <c r="G2331" s="630"/>
    </row>
    <row r="2332" spans="1:7" ht="18.75" x14ac:dyDescent="0.25">
      <c r="A2332" s="629" t="s">
        <v>3073</v>
      </c>
      <c r="B2332" s="630">
        <v>328</v>
      </c>
      <c r="C2332" s="631" t="str">
        <f t="shared" si="40"/>
        <v>Ô tô tự đổ 22 tấn328</v>
      </c>
      <c r="D2332" s="630"/>
      <c r="E2332" s="630"/>
      <c r="F2332" s="630"/>
      <c r="G2332" s="630"/>
    </row>
    <row r="2333" spans="1:7" ht="18.75" x14ac:dyDescent="0.25">
      <c r="A2333" s="629" t="s">
        <v>3073</v>
      </c>
      <c r="B2333" s="630">
        <v>329</v>
      </c>
      <c r="C2333" s="631" t="str">
        <f t="shared" si="40"/>
        <v>Ô tô tự đổ 22 tấn329</v>
      </c>
      <c r="D2333" s="630"/>
      <c r="E2333" s="630"/>
      <c r="F2333" s="630"/>
      <c r="G2333" s="630"/>
    </row>
    <row r="2334" spans="1:7" ht="18.75" x14ac:dyDescent="0.25">
      <c r="A2334" s="629" t="s">
        <v>3073</v>
      </c>
      <c r="B2334" s="630">
        <v>330</v>
      </c>
      <c r="C2334" s="631" t="str">
        <f t="shared" si="40"/>
        <v>Ô tô tự đổ 22 tấn330</v>
      </c>
      <c r="D2334" s="630"/>
      <c r="E2334" s="630"/>
      <c r="F2334" s="630"/>
      <c r="G2334" s="630"/>
    </row>
    <row r="2335" spans="1:7" ht="18.75" x14ac:dyDescent="0.25">
      <c r="A2335" s="629" t="s">
        <v>3073</v>
      </c>
      <c r="B2335" s="630">
        <v>331</v>
      </c>
      <c r="C2335" s="631" t="str">
        <f t="shared" si="40"/>
        <v>Ô tô tự đổ 22 tấn331</v>
      </c>
      <c r="D2335" s="630"/>
      <c r="E2335" s="630"/>
      <c r="F2335" s="630"/>
      <c r="G2335" s="630"/>
    </row>
    <row r="2336" spans="1:7" ht="18.75" x14ac:dyDescent="0.25">
      <c r="A2336" s="629" t="s">
        <v>3073</v>
      </c>
      <c r="B2336" s="630">
        <v>332</v>
      </c>
      <c r="C2336" s="631" t="str">
        <f t="shared" si="40"/>
        <v>Ô tô tự đổ 22 tấn332</v>
      </c>
      <c r="D2336" s="630"/>
      <c r="E2336" s="630"/>
      <c r="F2336" s="630"/>
      <c r="G2336" s="630"/>
    </row>
    <row r="2337" spans="1:7" ht="18.75" x14ac:dyDescent="0.25">
      <c r="A2337" s="629" t="s">
        <v>3073</v>
      </c>
      <c r="B2337" s="630">
        <v>333</v>
      </c>
      <c r="C2337" s="631" t="str">
        <f t="shared" si="40"/>
        <v>Ô tô tự đổ 22 tấn333</v>
      </c>
      <c r="D2337" s="630"/>
      <c r="E2337" s="630"/>
      <c r="F2337" s="630"/>
      <c r="G2337" s="630"/>
    </row>
    <row r="2338" spans="1:7" ht="18.75" x14ac:dyDescent="0.25">
      <c r="A2338" s="629" t="s">
        <v>3073</v>
      </c>
      <c r="B2338" s="630">
        <v>334</v>
      </c>
      <c r="C2338" s="631" t="str">
        <f t="shared" si="40"/>
        <v>Ô tô tự đổ 22 tấn334</v>
      </c>
      <c r="D2338" s="630"/>
      <c r="E2338" s="630"/>
      <c r="F2338" s="630"/>
      <c r="G2338" s="630"/>
    </row>
    <row r="2339" spans="1:7" ht="18.75" x14ac:dyDescent="0.25">
      <c r="A2339" s="629" t="s">
        <v>3073</v>
      </c>
      <c r="B2339" s="630">
        <v>335</v>
      </c>
      <c r="C2339" s="631" t="str">
        <f t="shared" si="40"/>
        <v>Ô tô tự đổ 22 tấn335</v>
      </c>
      <c r="D2339" s="630"/>
      <c r="E2339" s="630"/>
      <c r="F2339" s="630"/>
      <c r="G2339" s="630"/>
    </row>
    <row r="2340" spans="1:7" ht="18.75" x14ac:dyDescent="0.25">
      <c r="A2340" s="629" t="s">
        <v>3073</v>
      </c>
      <c r="B2340" s="630">
        <v>336</v>
      </c>
      <c r="C2340" s="631" t="str">
        <f t="shared" si="40"/>
        <v>Ô tô tự đổ 22 tấn336</v>
      </c>
      <c r="D2340" s="630"/>
      <c r="E2340" s="630"/>
      <c r="F2340" s="630"/>
      <c r="G2340" s="630"/>
    </row>
    <row r="2341" spans="1:7" ht="18.75" x14ac:dyDescent="0.25">
      <c r="A2341" s="629" t="s">
        <v>3073</v>
      </c>
      <c r="B2341" s="630">
        <v>337</v>
      </c>
      <c r="C2341" s="631" t="str">
        <f t="shared" si="40"/>
        <v>Ô tô tự đổ 22 tấn337</v>
      </c>
      <c r="D2341" s="630"/>
      <c r="E2341" s="630"/>
      <c r="F2341" s="630"/>
      <c r="G2341" s="630"/>
    </row>
    <row r="2342" spans="1:7" ht="18.75" x14ac:dyDescent="0.25">
      <c r="A2342" s="629" t="s">
        <v>3073</v>
      </c>
      <c r="B2342" s="630">
        <v>338</v>
      </c>
      <c r="C2342" s="631" t="str">
        <f t="shared" si="40"/>
        <v>Ô tô tự đổ 22 tấn338</v>
      </c>
      <c r="D2342" s="630"/>
      <c r="E2342" s="630"/>
      <c r="F2342" s="630"/>
      <c r="G2342" s="630"/>
    </row>
    <row r="2343" spans="1:7" ht="18.75" x14ac:dyDescent="0.25">
      <c r="A2343" s="629" t="s">
        <v>3073</v>
      </c>
      <c r="B2343" s="630">
        <v>339</v>
      </c>
      <c r="C2343" s="631" t="str">
        <f t="shared" si="40"/>
        <v>Ô tô tự đổ 22 tấn339</v>
      </c>
      <c r="D2343" s="630"/>
      <c r="E2343" s="630"/>
      <c r="F2343" s="630"/>
      <c r="G2343" s="630"/>
    </row>
    <row r="2344" spans="1:7" ht="18.75" x14ac:dyDescent="0.25">
      <c r="A2344" s="629" t="s">
        <v>3073</v>
      </c>
      <c r="B2344" s="630">
        <v>340</v>
      </c>
      <c r="C2344" s="631" t="str">
        <f t="shared" si="40"/>
        <v>Ô tô tự đổ 22 tấn340</v>
      </c>
      <c r="D2344" s="630"/>
      <c r="E2344" s="630"/>
      <c r="F2344" s="630"/>
      <c r="G2344" s="630"/>
    </row>
    <row r="2345" spans="1:7" ht="18.75" x14ac:dyDescent="0.25">
      <c r="A2345" s="629" t="s">
        <v>3073</v>
      </c>
      <c r="B2345" s="630">
        <v>341</v>
      </c>
      <c r="C2345" s="631" t="str">
        <f t="shared" si="40"/>
        <v>Ô tô tự đổ 22 tấn341</v>
      </c>
      <c r="D2345" s="630"/>
      <c r="E2345" s="630"/>
      <c r="F2345" s="630"/>
      <c r="G2345" s="630"/>
    </row>
    <row r="2346" spans="1:7" ht="18.75" x14ac:dyDescent="0.25">
      <c r="A2346" s="629" t="s">
        <v>3073</v>
      </c>
      <c r="B2346" s="630">
        <v>342</v>
      </c>
      <c r="C2346" s="631" t="str">
        <f t="shared" si="40"/>
        <v>Ô tô tự đổ 22 tấn342</v>
      </c>
      <c r="D2346" s="630"/>
      <c r="E2346" s="630"/>
      <c r="F2346" s="630"/>
      <c r="G2346" s="630"/>
    </row>
    <row r="2347" spans="1:7" ht="18.75" x14ac:dyDescent="0.25">
      <c r="A2347" s="629" t="s">
        <v>3073</v>
      </c>
      <c r="B2347" s="630">
        <v>343</v>
      </c>
      <c r="C2347" s="631" t="str">
        <f t="shared" si="40"/>
        <v>Ô tô tự đổ 22 tấn343</v>
      </c>
      <c r="D2347" s="630"/>
      <c r="E2347" s="630"/>
      <c r="F2347" s="630"/>
      <c r="G2347" s="630"/>
    </row>
    <row r="2348" spans="1:7" ht="18.75" x14ac:dyDescent="0.25">
      <c r="A2348" s="629" t="s">
        <v>3073</v>
      </c>
      <c r="B2348" s="630">
        <v>344</v>
      </c>
      <c r="C2348" s="631" t="str">
        <f t="shared" si="40"/>
        <v>Ô tô tự đổ 22 tấn344</v>
      </c>
      <c r="D2348" s="630"/>
      <c r="E2348" s="630"/>
      <c r="F2348" s="630"/>
      <c r="G2348" s="630"/>
    </row>
    <row r="2349" spans="1:7" ht="18.75" x14ac:dyDescent="0.25">
      <c r="A2349" s="629" t="s">
        <v>3073</v>
      </c>
      <c r="B2349" s="630">
        <v>345</v>
      </c>
      <c r="C2349" s="631" t="str">
        <f t="shared" si="40"/>
        <v>Ô tô tự đổ 22 tấn345</v>
      </c>
      <c r="D2349" s="630"/>
      <c r="E2349" s="630"/>
      <c r="F2349" s="630"/>
      <c r="G2349" s="630"/>
    </row>
    <row r="2350" spans="1:7" ht="18.75" x14ac:dyDescent="0.25">
      <c r="A2350" s="629" t="s">
        <v>3073</v>
      </c>
      <c r="B2350" s="630">
        <v>346</v>
      </c>
      <c r="C2350" s="631" t="str">
        <f t="shared" si="40"/>
        <v>Ô tô tự đổ 22 tấn346</v>
      </c>
      <c r="D2350" s="630"/>
      <c r="E2350" s="630"/>
      <c r="F2350" s="630"/>
      <c r="G2350" s="630"/>
    </row>
    <row r="2351" spans="1:7" ht="18.75" x14ac:dyDescent="0.25">
      <c r="A2351" s="629" t="s">
        <v>3073</v>
      </c>
      <c r="B2351" s="630">
        <v>347</v>
      </c>
      <c r="C2351" s="631" t="str">
        <f t="shared" si="40"/>
        <v>Ô tô tự đổ 22 tấn347</v>
      </c>
      <c r="D2351" s="630"/>
      <c r="E2351" s="630"/>
      <c r="F2351" s="630"/>
      <c r="G2351" s="630"/>
    </row>
    <row r="2352" spans="1:7" ht="18.75" x14ac:dyDescent="0.25">
      <c r="A2352" s="629" t="s">
        <v>3073</v>
      </c>
      <c r="B2352" s="630">
        <v>348</v>
      </c>
      <c r="C2352" s="631" t="str">
        <f t="shared" si="40"/>
        <v>Ô tô tự đổ 22 tấn348</v>
      </c>
      <c r="D2352" s="630"/>
      <c r="E2352" s="630"/>
      <c r="F2352" s="630"/>
      <c r="G2352" s="630"/>
    </row>
    <row r="2353" spans="1:7" ht="18.75" x14ac:dyDescent="0.25">
      <c r="A2353" s="629" t="s">
        <v>3073</v>
      </c>
      <c r="B2353" s="630">
        <v>349</v>
      </c>
      <c r="C2353" s="631" t="str">
        <f t="shared" si="40"/>
        <v>Ô tô tự đổ 22 tấn349</v>
      </c>
      <c r="D2353" s="630"/>
      <c r="E2353" s="630"/>
      <c r="F2353" s="630"/>
      <c r="G2353" s="630"/>
    </row>
    <row r="2354" spans="1:7" ht="18.75" x14ac:dyDescent="0.25">
      <c r="A2354" s="629" t="s">
        <v>3073</v>
      </c>
      <c r="B2354" s="630">
        <v>350</v>
      </c>
      <c r="C2354" s="631" t="str">
        <f t="shared" si="40"/>
        <v>Ô tô tự đổ 22 tấn350</v>
      </c>
      <c r="D2354" s="630"/>
      <c r="E2354" s="630"/>
      <c r="F2354" s="630"/>
      <c r="G2354" s="630"/>
    </row>
    <row r="2355" spans="1:7" ht="18.75" x14ac:dyDescent="0.25">
      <c r="A2355" s="629" t="s">
        <v>3073</v>
      </c>
      <c r="B2355" s="630">
        <v>351</v>
      </c>
      <c r="C2355" s="631" t="str">
        <f t="shared" si="40"/>
        <v>Ô tô tự đổ 22 tấn351</v>
      </c>
      <c r="D2355" s="630"/>
      <c r="E2355" s="630"/>
      <c r="F2355" s="630"/>
      <c r="G2355" s="630"/>
    </row>
    <row r="2356" spans="1:7" ht="18.75" x14ac:dyDescent="0.25">
      <c r="A2356" s="629" t="s">
        <v>3073</v>
      </c>
      <c r="B2356" s="630">
        <v>352</v>
      </c>
      <c r="C2356" s="631" t="str">
        <f t="shared" si="40"/>
        <v>Ô tô tự đổ 22 tấn352</v>
      </c>
      <c r="D2356" s="630"/>
      <c r="E2356" s="630"/>
      <c r="F2356" s="630"/>
      <c r="G2356" s="630"/>
    </row>
    <row r="2357" spans="1:7" ht="18.75" x14ac:dyDescent="0.25">
      <c r="A2357" s="629" t="s">
        <v>3073</v>
      </c>
      <c r="B2357" s="630">
        <v>353</v>
      </c>
      <c r="C2357" s="631" t="str">
        <f t="shared" si="40"/>
        <v>Ô tô tự đổ 22 tấn353</v>
      </c>
      <c r="D2357" s="630"/>
      <c r="E2357" s="630"/>
      <c r="F2357" s="630"/>
      <c r="G2357" s="630"/>
    </row>
    <row r="2358" spans="1:7" ht="18.75" x14ac:dyDescent="0.25">
      <c r="A2358" s="629" t="s">
        <v>3073</v>
      </c>
      <c r="B2358" s="630">
        <v>354</v>
      </c>
      <c r="C2358" s="631" t="str">
        <f t="shared" si="40"/>
        <v>Ô tô tự đổ 22 tấn354</v>
      </c>
      <c r="D2358" s="630"/>
      <c r="E2358" s="630"/>
      <c r="F2358" s="630"/>
      <c r="G2358" s="630"/>
    </row>
    <row r="2359" spans="1:7" ht="18.75" x14ac:dyDescent="0.25">
      <c r="A2359" s="629" t="s">
        <v>3073</v>
      </c>
      <c r="B2359" s="630">
        <v>355</v>
      </c>
      <c r="C2359" s="631" t="str">
        <f t="shared" si="40"/>
        <v>Ô tô tự đổ 22 tấn355</v>
      </c>
      <c r="D2359" s="630"/>
      <c r="E2359" s="630"/>
      <c r="F2359" s="630"/>
      <c r="G2359" s="630"/>
    </row>
    <row r="2360" spans="1:7" ht="18.75" x14ac:dyDescent="0.25">
      <c r="A2360" s="629" t="s">
        <v>3073</v>
      </c>
      <c r="B2360" s="630">
        <v>356</v>
      </c>
      <c r="C2360" s="631" t="str">
        <f t="shared" si="40"/>
        <v>Ô tô tự đổ 22 tấn356</v>
      </c>
      <c r="D2360" s="630"/>
      <c r="E2360" s="630"/>
      <c r="F2360" s="630"/>
      <c r="G2360" s="630"/>
    </row>
    <row r="2361" spans="1:7" ht="18.75" x14ac:dyDescent="0.25">
      <c r="A2361" s="629" t="s">
        <v>3073</v>
      </c>
      <c r="B2361" s="630">
        <v>357</v>
      </c>
      <c r="C2361" s="631" t="str">
        <f t="shared" si="40"/>
        <v>Ô tô tự đổ 22 tấn357</v>
      </c>
      <c r="D2361" s="630"/>
      <c r="E2361" s="630"/>
      <c r="F2361" s="630"/>
      <c r="G2361" s="630"/>
    </row>
    <row r="2362" spans="1:7" ht="18.75" x14ac:dyDescent="0.25">
      <c r="A2362" s="629" t="s">
        <v>3073</v>
      </c>
      <c r="B2362" s="630">
        <v>358</v>
      </c>
      <c r="C2362" s="631" t="str">
        <f t="shared" si="40"/>
        <v>Ô tô tự đổ 22 tấn358</v>
      </c>
      <c r="D2362" s="630"/>
      <c r="E2362" s="630"/>
      <c r="F2362" s="630"/>
      <c r="G2362" s="630"/>
    </row>
    <row r="2363" spans="1:7" ht="18.75" x14ac:dyDescent="0.25">
      <c r="A2363" s="629" t="s">
        <v>3073</v>
      </c>
      <c r="B2363" s="630">
        <v>359</v>
      </c>
      <c r="C2363" s="631" t="str">
        <f t="shared" si="40"/>
        <v>Ô tô tự đổ 22 tấn359</v>
      </c>
      <c r="D2363" s="630"/>
      <c r="E2363" s="630"/>
      <c r="F2363" s="630"/>
      <c r="G2363" s="630"/>
    </row>
    <row r="2364" spans="1:7" ht="18.75" x14ac:dyDescent="0.25">
      <c r="A2364" s="629" t="s">
        <v>3073</v>
      </c>
      <c r="B2364" s="630">
        <v>360</v>
      </c>
      <c r="C2364" s="631" t="str">
        <f t="shared" si="40"/>
        <v>Ô tô tự đổ 22 tấn360</v>
      </c>
      <c r="D2364" s="630"/>
      <c r="E2364" s="630"/>
      <c r="F2364" s="630"/>
      <c r="G2364" s="630"/>
    </row>
    <row r="2365" spans="1:7" ht="18.75" x14ac:dyDescent="0.25">
      <c r="A2365" s="629" t="s">
        <v>3073</v>
      </c>
      <c r="B2365" s="630">
        <v>361</v>
      </c>
      <c r="C2365" s="631" t="str">
        <f t="shared" si="40"/>
        <v>Ô tô tự đổ 22 tấn361</v>
      </c>
      <c r="D2365" s="630"/>
      <c r="E2365" s="630"/>
      <c r="F2365" s="630"/>
      <c r="G2365" s="630"/>
    </row>
    <row r="2366" spans="1:7" ht="18.75" x14ac:dyDescent="0.25">
      <c r="A2366" s="629" t="s">
        <v>3073</v>
      </c>
      <c r="B2366" s="630">
        <v>362</v>
      </c>
      <c r="C2366" s="631" t="str">
        <f t="shared" si="40"/>
        <v>Ô tô tự đổ 22 tấn362</v>
      </c>
      <c r="D2366" s="630"/>
      <c r="E2366" s="630"/>
      <c r="F2366" s="630"/>
      <c r="G2366" s="630"/>
    </row>
    <row r="2367" spans="1:7" ht="18.75" x14ac:dyDescent="0.25">
      <c r="A2367" s="629" t="s">
        <v>3073</v>
      </c>
      <c r="B2367" s="630">
        <v>363</v>
      </c>
      <c r="C2367" s="631" t="str">
        <f t="shared" si="40"/>
        <v>Ô tô tự đổ 22 tấn363</v>
      </c>
      <c r="D2367" s="630"/>
      <c r="E2367" s="630"/>
      <c r="F2367" s="630"/>
      <c r="G2367" s="630"/>
    </row>
    <row r="2368" spans="1:7" ht="18.75" x14ac:dyDescent="0.25">
      <c r="A2368" s="629" t="s">
        <v>3073</v>
      </c>
      <c r="B2368" s="630">
        <v>364</v>
      </c>
      <c r="C2368" s="631" t="str">
        <f t="shared" si="40"/>
        <v>Ô tô tự đổ 22 tấn364</v>
      </c>
      <c r="D2368" s="630"/>
      <c r="E2368" s="630"/>
      <c r="F2368" s="630"/>
      <c r="G2368" s="630"/>
    </row>
    <row r="2369" spans="1:7" ht="18.75" x14ac:dyDescent="0.25">
      <c r="A2369" s="629" t="s">
        <v>3073</v>
      </c>
      <c r="B2369" s="630">
        <v>365</v>
      </c>
      <c r="C2369" s="631" t="str">
        <f t="shared" si="40"/>
        <v>Ô tô tự đổ 22 tấn365</v>
      </c>
      <c r="D2369" s="630"/>
      <c r="E2369" s="630"/>
      <c r="F2369" s="630"/>
      <c r="G2369" s="630"/>
    </row>
    <row r="2370" spans="1:7" ht="18.75" x14ac:dyDescent="0.25">
      <c r="A2370" s="629" t="s">
        <v>3073</v>
      </c>
      <c r="B2370" s="630">
        <v>366</v>
      </c>
      <c r="C2370" s="631" t="str">
        <f t="shared" si="40"/>
        <v>Ô tô tự đổ 22 tấn366</v>
      </c>
      <c r="D2370" s="630"/>
      <c r="E2370" s="630"/>
      <c r="F2370" s="630"/>
      <c r="G2370" s="630"/>
    </row>
    <row r="2371" spans="1:7" ht="18.75" x14ac:dyDescent="0.25">
      <c r="A2371" s="629" t="s">
        <v>3073</v>
      </c>
      <c r="B2371" s="630">
        <v>367</v>
      </c>
      <c r="C2371" s="631" t="str">
        <f t="shared" si="40"/>
        <v>Ô tô tự đổ 22 tấn367</v>
      </c>
      <c r="D2371" s="630"/>
      <c r="E2371" s="630"/>
      <c r="F2371" s="630"/>
      <c r="G2371" s="630"/>
    </row>
    <row r="2372" spans="1:7" ht="18.75" x14ac:dyDescent="0.25">
      <c r="A2372" s="629" t="s">
        <v>3073</v>
      </c>
      <c r="B2372" s="630">
        <v>368</v>
      </c>
      <c r="C2372" s="631" t="str">
        <f t="shared" si="40"/>
        <v>Ô tô tự đổ 22 tấn368</v>
      </c>
      <c r="D2372" s="630"/>
      <c r="E2372" s="630"/>
      <c r="F2372" s="630"/>
      <c r="G2372" s="630"/>
    </row>
    <row r="2373" spans="1:7" ht="18.75" x14ac:dyDescent="0.25">
      <c r="A2373" s="629" t="s">
        <v>3073</v>
      </c>
      <c r="B2373" s="630">
        <v>369</v>
      </c>
      <c r="C2373" s="631" t="str">
        <f t="shared" si="40"/>
        <v>Ô tô tự đổ 22 tấn369</v>
      </c>
      <c r="D2373" s="630"/>
      <c r="E2373" s="630"/>
      <c r="F2373" s="630"/>
      <c r="G2373" s="630"/>
    </row>
    <row r="2374" spans="1:7" ht="18.75" x14ac:dyDescent="0.25">
      <c r="A2374" s="629" t="s">
        <v>3073</v>
      </c>
      <c r="B2374" s="630">
        <v>370</v>
      </c>
      <c r="C2374" s="631" t="str">
        <f t="shared" si="40"/>
        <v>Ô tô tự đổ 22 tấn370</v>
      </c>
      <c r="D2374" s="630"/>
      <c r="E2374" s="630"/>
      <c r="F2374" s="630"/>
      <c r="G2374" s="630"/>
    </row>
    <row r="2375" spans="1:7" ht="18.75" x14ac:dyDescent="0.25">
      <c r="A2375" s="629" t="s">
        <v>3073</v>
      </c>
      <c r="B2375" s="630">
        <v>371</v>
      </c>
      <c r="C2375" s="631" t="str">
        <f t="shared" si="40"/>
        <v>Ô tô tự đổ 22 tấn371</v>
      </c>
      <c r="D2375" s="630"/>
      <c r="E2375" s="630"/>
      <c r="F2375" s="630"/>
      <c r="G2375" s="630"/>
    </row>
    <row r="2376" spans="1:7" ht="18.75" x14ac:dyDescent="0.25">
      <c r="A2376" s="629" t="s">
        <v>3073</v>
      </c>
      <c r="B2376" s="630">
        <v>372</v>
      </c>
      <c r="C2376" s="631" t="str">
        <f t="shared" si="40"/>
        <v>Ô tô tự đổ 22 tấn372</v>
      </c>
      <c r="D2376" s="630"/>
      <c r="E2376" s="630"/>
      <c r="F2376" s="630"/>
      <c r="G2376" s="630"/>
    </row>
    <row r="2377" spans="1:7" ht="18.75" x14ac:dyDescent="0.25">
      <c r="A2377" s="629" t="s">
        <v>3073</v>
      </c>
      <c r="B2377" s="630">
        <v>373</v>
      </c>
      <c r="C2377" s="631" t="str">
        <f t="shared" si="40"/>
        <v>Ô tô tự đổ 22 tấn373</v>
      </c>
      <c r="D2377" s="630"/>
      <c r="E2377" s="630"/>
      <c r="F2377" s="630"/>
      <c r="G2377" s="630"/>
    </row>
    <row r="2378" spans="1:7" ht="18.75" x14ac:dyDescent="0.25">
      <c r="A2378" s="629" t="s">
        <v>3073</v>
      </c>
      <c r="B2378" s="630">
        <v>374</v>
      </c>
      <c r="C2378" s="631" t="str">
        <f t="shared" si="40"/>
        <v>Ô tô tự đổ 22 tấn374</v>
      </c>
      <c r="D2378" s="630"/>
      <c r="E2378" s="630"/>
      <c r="F2378" s="630"/>
      <c r="G2378" s="630"/>
    </row>
    <row r="2379" spans="1:7" ht="18.75" x14ac:dyDescent="0.25">
      <c r="A2379" s="629" t="s">
        <v>3073</v>
      </c>
      <c r="B2379" s="630">
        <v>375</v>
      </c>
      <c r="C2379" s="631" t="str">
        <f t="shared" si="40"/>
        <v>Ô tô tự đổ 22 tấn375</v>
      </c>
      <c r="D2379" s="630"/>
      <c r="E2379" s="630"/>
      <c r="F2379" s="630"/>
      <c r="G2379" s="630"/>
    </row>
    <row r="2380" spans="1:7" ht="18.75" x14ac:dyDescent="0.25">
      <c r="A2380" s="629" t="s">
        <v>3073</v>
      </c>
      <c r="B2380" s="630">
        <v>376</v>
      </c>
      <c r="C2380" s="631" t="str">
        <f t="shared" si="40"/>
        <v>Ô tô tự đổ 22 tấn376</v>
      </c>
      <c r="D2380" s="630"/>
      <c r="E2380" s="630"/>
      <c r="F2380" s="630"/>
      <c r="G2380" s="630"/>
    </row>
    <row r="2381" spans="1:7" ht="18.75" x14ac:dyDescent="0.25">
      <c r="A2381" s="629" t="s">
        <v>3073</v>
      </c>
      <c r="B2381" s="630">
        <v>377</v>
      </c>
      <c r="C2381" s="631" t="str">
        <f t="shared" si="40"/>
        <v>Ô tô tự đổ 22 tấn377</v>
      </c>
      <c r="D2381" s="630"/>
      <c r="E2381" s="630"/>
      <c r="F2381" s="630"/>
      <c r="G2381" s="630"/>
    </row>
    <row r="2382" spans="1:7" ht="18.75" x14ac:dyDescent="0.25">
      <c r="A2382" s="629" t="s">
        <v>3073</v>
      </c>
      <c r="B2382" s="630">
        <v>378</v>
      </c>
      <c r="C2382" s="631" t="str">
        <f t="shared" si="40"/>
        <v>Ô tô tự đổ 22 tấn378</v>
      </c>
      <c r="D2382" s="630"/>
      <c r="E2382" s="630"/>
      <c r="F2382" s="630"/>
      <c r="G2382" s="630"/>
    </row>
    <row r="2383" spans="1:7" ht="18.75" x14ac:dyDescent="0.25">
      <c r="A2383" s="629" t="s">
        <v>3073</v>
      </c>
      <c r="B2383" s="630">
        <v>379</v>
      </c>
      <c r="C2383" s="631" t="str">
        <f t="shared" si="40"/>
        <v>Ô tô tự đổ 22 tấn379</v>
      </c>
      <c r="D2383" s="630"/>
      <c r="E2383" s="630"/>
      <c r="F2383" s="630"/>
      <c r="G2383" s="630"/>
    </row>
    <row r="2384" spans="1:7" ht="18.75" x14ac:dyDescent="0.25">
      <c r="A2384" s="629" t="s">
        <v>3073</v>
      </c>
      <c r="B2384" s="630">
        <v>380</v>
      </c>
      <c r="C2384" s="631" t="str">
        <f t="shared" si="40"/>
        <v>Ô tô tự đổ 22 tấn380</v>
      </c>
      <c r="D2384" s="630"/>
      <c r="E2384" s="630"/>
      <c r="F2384" s="630"/>
      <c r="G2384" s="630"/>
    </row>
    <row r="2385" spans="1:7" ht="18.75" x14ac:dyDescent="0.25">
      <c r="A2385" s="629" t="s">
        <v>3073</v>
      </c>
      <c r="B2385" s="630">
        <v>381</v>
      </c>
      <c r="C2385" s="631" t="str">
        <f t="shared" si="40"/>
        <v>Ô tô tự đổ 22 tấn381</v>
      </c>
      <c r="D2385" s="630"/>
      <c r="E2385" s="630"/>
      <c r="F2385" s="630"/>
      <c r="G2385" s="630"/>
    </row>
    <row r="2386" spans="1:7" ht="18.75" x14ac:dyDescent="0.25">
      <c r="A2386" s="629" t="s">
        <v>3073</v>
      </c>
      <c r="B2386" s="630">
        <v>382</v>
      </c>
      <c r="C2386" s="631" t="str">
        <f t="shared" si="40"/>
        <v>Ô tô tự đổ 22 tấn382</v>
      </c>
      <c r="D2386" s="630"/>
      <c r="E2386" s="630"/>
      <c r="F2386" s="630"/>
      <c r="G2386" s="630"/>
    </row>
    <row r="2387" spans="1:7" ht="18.75" x14ac:dyDescent="0.25">
      <c r="A2387" s="629" t="s">
        <v>3073</v>
      </c>
      <c r="B2387" s="630">
        <v>383</v>
      </c>
      <c r="C2387" s="631" t="str">
        <f t="shared" si="40"/>
        <v>Ô tô tự đổ 22 tấn383</v>
      </c>
      <c r="D2387" s="630"/>
      <c r="E2387" s="630"/>
      <c r="F2387" s="630"/>
      <c r="G2387" s="630"/>
    </row>
    <row r="2388" spans="1:7" ht="18.75" x14ac:dyDescent="0.25">
      <c r="A2388" s="629" t="s">
        <v>3073</v>
      </c>
      <c r="B2388" s="630">
        <v>384</v>
      </c>
      <c r="C2388" s="631" t="str">
        <f t="shared" si="40"/>
        <v>Ô tô tự đổ 22 tấn384</v>
      </c>
      <c r="D2388" s="630"/>
      <c r="E2388" s="630"/>
      <c r="F2388" s="630"/>
      <c r="G2388" s="630"/>
    </row>
    <row r="2389" spans="1:7" ht="18.75" x14ac:dyDescent="0.25">
      <c r="A2389" s="629" t="s">
        <v>3073</v>
      </c>
      <c r="B2389" s="630">
        <v>385</v>
      </c>
      <c r="C2389" s="631" t="str">
        <f t="shared" si="40"/>
        <v>Ô tô tự đổ 22 tấn385</v>
      </c>
      <c r="D2389" s="630"/>
      <c r="E2389" s="630"/>
      <c r="F2389" s="630"/>
      <c r="G2389" s="630"/>
    </row>
    <row r="2390" spans="1:7" ht="18.75" x14ac:dyDescent="0.25">
      <c r="A2390" s="629" t="s">
        <v>3073</v>
      </c>
      <c r="B2390" s="630">
        <v>386</v>
      </c>
      <c r="C2390" s="631" t="str">
        <f t="shared" ref="C2390:C2453" si="41">A2390&amp;B2390</f>
        <v>Ô tô tự đổ 22 tấn386</v>
      </c>
      <c r="D2390" s="630"/>
      <c r="E2390" s="630"/>
      <c r="F2390" s="630"/>
      <c r="G2390" s="630"/>
    </row>
    <row r="2391" spans="1:7" ht="18.75" x14ac:dyDescent="0.25">
      <c r="A2391" s="629" t="s">
        <v>3073</v>
      </c>
      <c r="B2391" s="630">
        <v>387</v>
      </c>
      <c r="C2391" s="631" t="str">
        <f t="shared" si="41"/>
        <v>Ô tô tự đổ 22 tấn387</v>
      </c>
      <c r="D2391" s="630"/>
      <c r="E2391" s="630"/>
      <c r="F2391" s="630"/>
      <c r="G2391" s="630"/>
    </row>
    <row r="2392" spans="1:7" ht="18.75" x14ac:dyDescent="0.25">
      <c r="A2392" s="629" t="s">
        <v>3073</v>
      </c>
      <c r="B2392" s="630">
        <v>388</v>
      </c>
      <c r="C2392" s="631" t="str">
        <f t="shared" si="41"/>
        <v>Ô tô tự đổ 22 tấn388</v>
      </c>
      <c r="D2392" s="630"/>
      <c r="E2392" s="630"/>
      <c r="F2392" s="630"/>
      <c r="G2392" s="630"/>
    </row>
    <row r="2393" spans="1:7" ht="18.75" x14ac:dyDescent="0.25">
      <c r="A2393" s="629" t="s">
        <v>3073</v>
      </c>
      <c r="B2393" s="630">
        <v>389</v>
      </c>
      <c r="C2393" s="631" t="str">
        <f t="shared" si="41"/>
        <v>Ô tô tự đổ 22 tấn389</v>
      </c>
      <c r="D2393" s="630"/>
      <c r="E2393" s="630"/>
      <c r="F2393" s="630"/>
      <c r="G2393" s="630"/>
    </row>
    <row r="2394" spans="1:7" ht="18.75" x14ac:dyDescent="0.25">
      <c r="A2394" s="629" t="s">
        <v>3073</v>
      </c>
      <c r="B2394" s="630">
        <v>390</v>
      </c>
      <c r="C2394" s="631" t="str">
        <f t="shared" si="41"/>
        <v>Ô tô tự đổ 22 tấn390</v>
      </c>
      <c r="D2394" s="630"/>
      <c r="E2394" s="630"/>
      <c r="F2394" s="630"/>
      <c r="G2394" s="630"/>
    </row>
    <row r="2395" spans="1:7" ht="18.75" x14ac:dyDescent="0.25">
      <c r="A2395" s="629" t="s">
        <v>3073</v>
      </c>
      <c r="B2395" s="630">
        <v>391</v>
      </c>
      <c r="C2395" s="631" t="str">
        <f t="shared" si="41"/>
        <v>Ô tô tự đổ 22 tấn391</v>
      </c>
      <c r="D2395" s="630"/>
      <c r="E2395" s="630"/>
      <c r="F2395" s="630"/>
      <c r="G2395" s="630"/>
    </row>
    <row r="2396" spans="1:7" ht="18.75" x14ac:dyDescent="0.25">
      <c r="A2396" s="629" t="s">
        <v>3073</v>
      </c>
      <c r="B2396" s="630">
        <v>392</v>
      </c>
      <c r="C2396" s="631" t="str">
        <f t="shared" si="41"/>
        <v>Ô tô tự đổ 22 tấn392</v>
      </c>
      <c r="D2396" s="630"/>
      <c r="E2396" s="630"/>
      <c r="F2396" s="630"/>
      <c r="G2396" s="630"/>
    </row>
    <row r="2397" spans="1:7" ht="18.75" x14ac:dyDescent="0.25">
      <c r="A2397" s="629" t="s">
        <v>3073</v>
      </c>
      <c r="B2397" s="630">
        <v>393</v>
      </c>
      <c r="C2397" s="631" t="str">
        <f t="shared" si="41"/>
        <v>Ô tô tự đổ 22 tấn393</v>
      </c>
      <c r="D2397" s="630"/>
      <c r="E2397" s="630"/>
      <c r="F2397" s="630"/>
      <c r="G2397" s="630"/>
    </row>
    <row r="2398" spans="1:7" ht="18.75" x14ac:dyDescent="0.25">
      <c r="A2398" s="629" t="s">
        <v>3073</v>
      </c>
      <c r="B2398" s="630">
        <v>394</v>
      </c>
      <c r="C2398" s="631" t="str">
        <f t="shared" si="41"/>
        <v>Ô tô tự đổ 22 tấn394</v>
      </c>
      <c r="D2398" s="630"/>
      <c r="E2398" s="630"/>
      <c r="F2398" s="630"/>
      <c r="G2398" s="630"/>
    </row>
    <row r="2399" spans="1:7" ht="18.75" x14ac:dyDescent="0.25">
      <c r="A2399" s="629" t="s">
        <v>3073</v>
      </c>
      <c r="B2399" s="630">
        <v>395</v>
      </c>
      <c r="C2399" s="631" t="str">
        <f t="shared" si="41"/>
        <v>Ô tô tự đổ 22 tấn395</v>
      </c>
      <c r="D2399" s="630"/>
      <c r="E2399" s="630"/>
      <c r="F2399" s="630"/>
      <c r="G2399" s="630"/>
    </row>
    <row r="2400" spans="1:7" ht="18.75" x14ac:dyDescent="0.25">
      <c r="A2400" s="629" t="s">
        <v>3073</v>
      </c>
      <c r="B2400" s="630">
        <v>396</v>
      </c>
      <c r="C2400" s="631" t="str">
        <f t="shared" si="41"/>
        <v>Ô tô tự đổ 22 tấn396</v>
      </c>
      <c r="D2400" s="630"/>
      <c r="E2400" s="630"/>
      <c r="F2400" s="630"/>
      <c r="G2400" s="630"/>
    </row>
    <row r="2401" spans="1:7" ht="18.75" x14ac:dyDescent="0.25">
      <c r="A2401" s="629" t="s">
        <v>3073</v>
      </c>
      <c r="B2401" s="630">
        <v>397</v>
      </c>
      <c r="C2401" s="631" t="str">
        <f t="shared" si="41"/>
        <v>Ô tô tự đổ 22 tấn397</v>
      </c>
      <c r="D2401" s="630"/>
      <c r="E2401" s="630"/>
      <c r="F2401" s="630"/>
      <c r="G2401" s="630"/>
    </row>
    <row r="2402" spans="1:7" ht="18.75" x14ac:dyDescent="0.25">
      <c r="A2402" s="629" t="s">
        <v>3073</v>
      </c>
      <c r="B2402" s="630">
        <v>398</v>
      </c>
      <c r="C2402" s="631" t="str">
        <f t="shared" si="41"/>
        <v>Ô tô tự đổ 22 tấn398</v>
      </c>
      <c r="D2402" s="630"/>
      <c r="E2402" s="630"/>
      <c r="F2402" s="630"/>
      <c r="G2402" s="630"/>
    </row>
    <row r="2403" spans="1:7" ht="18.75" x14ac:dyDescent="0.25">
      <c r="A2403" s="629" t="s">
        <v>3073</v>
      </c>
      <c r="B2403" s="630">
        <v>399</v>
      </c>
      <c r="C2403" s="631" t="str">
        <f t="shared" si="41"/>
        <v>Ô tô tự đổ 22 tấn399</v>
      </c>
      <c r="D2403" s="630"/>
      <c r="E2403" s="630"/>
      <c r="F2403" s="630"/>
      <c r="G2403" s="630"/>
    </row>
    <row r="2404" spans="1:7" ht="18.75" x14ac:dyDescent="0.25">
      <c r="A2404" s="629" t="s">
        <v>3073</v>
      </c>
      <c r="B2404" s="630">
        <v>400</v>
      </c>
      <c r="C2404" s="631" t="str">
        <f t="shared" si="41"/>
        <v>Ô tô tự đổ 22 tấn400</v>
      </c>
      <c r="D2404" s="630"/>
      <c r="E2404" s="630"/>
      <c r="F2404" s="630"/>
      <c r="G2404" s="630"/>
    </row>
    <row r="2405" spans="1:7" ht="18.75" x14ac:dyDescent="0.25">
      <c r="A2405" s="629" t="s">
        <v>3073</v>
      </c>
      <c r="B2405" s="630">
        <v>401</v>
      </c>
      <c r="C2405" s="631" t="str">
        <f t="shared" si="41"/>
        <v>Ô tô tự đổ 22 tấn401</v>
      </c>
      <c r="D2405" s="630"/>
      <c r="E2405" s="630"/>
      <c r="F2405" s="630"/>
      <c r="G2405" s="630"/>
    </row>
    <row r="2406" spans="1:7" ht="18.75" x14ac:dyDescent="0.25">
      <c r="A2406" s="629" t="s">
        <v>3073</v>
      </c>
      <c r="B2406" s="630">
        <v>402</v>
      </c>
      <c r="C2406" s="631" t="str">
        <f t="shared" si="41"/>
        <v>Ô tô tự đổ 22 tấn402</v>
      </c>
      <c r="D2406" s="630"/>
      <c r="E2406" s="630"/>
      <c r="F2406" s="630"/>
      <c r="G2406" s="630"/>
    </row>
    <row r="2407" spans="1:7" ht="18.75" x14ac:dyDescent="0.25">
      <c r="A2407" s="629" t="s">
        <v>3073</v>
      </c>
      <c r="B2407" s="630">
        <v>403</v>
      </c>
      <c r="C2407" s="631" t="str">
        <f t="shared" si="41"/>
        <v>Ô tô tự đổ 22 tấn403</v>
      </c>
      <c r="D2407" s="630"/>
      <c r="E2407" s="630"/>
      <c r="F2407" s="630"/>
      <c r="G2407" s="630"/>
    </row>
    <row r="2408" spans="1:7" ht="18.75" x14ac:dyDescent="0.25">
      <c r="A2408" s="629" t="s">
        <v>3073</v>
      </c>
      <c r="B2408" s="630">
        <v>404</v>
      </c>
      <c r="C2408" s="631" t="str">
        <f t="shared" si="41"/>
        <v>Ô tô tự đổ 22 tấn404</v>
      </c>
      <c r="D2408" s="630"/>
      <c r="E2408" s="630"/>
      <c r="F2408" s="630"/>
      <c r="G2408" s="630"/>
    </row>
    <row r="2409" spans="1:7" ht="18.75" x14ac:dyDescent="0.25">
      <c r="A2409" s="629" t="s">
        <v>3073</v>
      </c>
      <c r="B2409" s="630">
        <v>405</v>
      </c>
      <c r="C2409" s="631" t="str">
        <f t="shared" si="41"/>
        <v>Ô tô tự đổ 22 tấn405</v>
      </c>
      <c r="D2409" s="630"/>
      <c r="E2409" s="630"/>
      <c r="F2409" s="630"/>
      <c r="G2409" s="630"/>
    </row>
    <row r="2410" spans="1:7" ht="18.75" x14ac:dyDescent="0.25">
      <c r="A2410" s="629" t="s">
        <v>3073</v>
      </c>
      <c r="B2410" s="630">
        <v>406</v>
      </c>
      <c r="C2410" s="631" t="str">
        <f t="shared" si="41"/>
        <v>Ô tô tự đổ 22 tấn406</v>
      </c>
      <c r="D2410" s="630"/>
      <c r="E2410" s="630"/>
      <c r="F2410" s="630"/>
      <c r="G2410" s="630"/>
    </row>
    <row r="2411" spans="1:7" ht="18.75" x14ac:dyDescent="0.25">
      <c r="A2411" s="629" t="s">
        <v>3073</v>
      </c>
      <c r="B2411" s="630">
        <v>407</v>
      </c>
      <c r="C2411" s="631" t="str">
        <f t="shared" si="41"/>
        <v>Ô tô tự đổ 22 tấn407</v>
      </c>
      <c r="D2411" s="630"/>
      <c r="E2411" s="630"/>
      <c r="F2411" s="630"/>
      <c r="G2411" s="630"/>
    </row>
    <row r="2412" spans="1:7" ht="18.75" x14ac:dyDescent="0.25">
      <c r="A2412" s="629" t="s">
        <v>3073</v>
      </c>
      <c r="B2412" s="630">
        <v>408</v>
      </c>
      <c r="C2412" s="631" t="str">
        <f t="shared" si="41"/>
        <v>Ô tô tự đổ 22 tấn408</v>
      </c>
      <c r="D2412" s="630"/>
      <c r="E2412" s="630"/>
      <c r="F2412" s="630"/>
      <c r="G2412" s="630"/>
    </row>
    <row r="2413" spans="1:7" ht="18.75" x14ac:dyDescent="0.25">
      <c r="A2413" s="629" t="s">
        <v>3073</v>
      </c>
      <c r="B2413" s="630">
        <v>409</v>
      </c>
      <c r="C2413" s="631" t="str">
        <f t="shared" si="41"/>
        <v>Ô tô tự đổ 22 tấn409</v>
      </c>
      <c r="D2413" s="630"/>
      <c r="E2413" s="630"/>
      <c r="F2413" s="630"/>
      <c r="G2413" s="630"/>
    </row>
    <row r="2414" spans="1:7" ht="18.75" x14ac:dyDescent="0.25">
      <c r="A2414" s="629" t="s">
        <v>3073</v>
      </c>
      <c r="B2414" s="630">
        <v>410</v>
      </c>
      <c r="C2414" s="631" t="str">
        <f t="shared" si="41"/>
        <v>Ô tô tự đổ 22 tấn410</v>
      </c>
      <c r="D2414" s="630"/>
      <c r="E2414" s="630"/>
      <c r="F2414" s="630"/>
      <c r="G2414" s="630"/>
    </row>
    <row r="2415" spans="1:7" ht="18.75" x14ac:dyDescent="0.25">
      <c r="A2415" s="629" t="s">
        <v>3073</v>
      </c>
      <c r="B2415" s="630">
        <v>411</v>
      </c>
      <c r="C2415" s="631" t="str">
        <f t="shared" si="41"/>
        <v>Ô tô tự đổ 22 tấn411</v>
      </c>
      <c r="D2415" s="630"/>
      <c r="E2415" s="630"/>
      <c r="F2415" s="630"/>
      <c r="G2415" s="630"/>
    </row>
    <row r="2416" spans="1:7" ht="18.75" x14ac:dyDescent="0.25">
      <c r="A2416" s="629" t="s">
        <v>3073</v>
      </c>
      <c r="B2416" s="630">
        <v>412</v>
      </c>
      <c r="C2416" s="631" t="str">
        <f t="shared" si="41"/>
        <v>Ô tô tự đổ 22 tấn412</v>
      </c>
      <c r="D2416" s="630"/>
      <c r="E2416" s="630"/>
      <c r="F2416" s="630"/>
      <c r="G2416" s="630"/>
    </row>
    <row r="2417" spans="1:7" ht="18.75" x14ac:dyDescent="0.25">
      <c r="A2417" s="629" t="s">
        <v>3073</v>
      </c>
      <c r="B2417" s="630">
        <v>413</v>
      </c>
      <c r="C2417" s="631" t="str">
        <f t="shared" si="41"/>
        <v>Ô tô tự đổ 22 tấn413</v>
      </c>
      <c r="D2417" s="630"/>
      <c r="E2417" s="630"/>
      <c r="F2417" s="630"/>
      <c r="G2417" s="630"/>
    </row>
    <row r="2418" spans="1:7" ht="18.75" x14ac:dyDescent="0.25">
      <c r="A2418" s="629" t="s">
        <v>3073</v>
      </c>
      <c r="B2418" s="630">
        <v>414</v>
      </c>
      <c r="C2418" s="631" t="str">
        <f t="shared" si="41"/>
        <v>Ô tô tự đổ 22 tấn414</v>
      </c>
      <c r="D2418" s="630"/>
      <c r="E2418" s="630"/>
      <c r="F2418" s="630"/>
      <c r="G2418" s="630"/>
    </row>
    <row r="2419" spans="1:7" ht="18.75" x14ac:dyDescent="0.25">
      <c r="A2419" s="629" t="s">
        <v>3073</v>
      </c>
      <c r="B2419" s="630">
        <v>415</v>
      </c>
      <c r="C2419" s="631" t="str">
        <f t="shared" si="41"/>
        <v>Ô tô tự đổ 22 tấn415</v>
      </c>
      <c r="D2419" s="630"/>
      <c r="E2419" s="630"/>
      <c r="F2419" s="630"/>
      <c r="G2419" s="630"/>
    </row>
    <row r="2420" spans="1:7" ht="18.75" x14ac:dyDescent="0.25">
      <c r="A2420" s="629" t="s">
        <v>3073</v>
      </c>
      <c r="B2420" s="630">
        <v>416</v>
      </c>
      <c r="C2420" s="631" t="str">
        <f t="shared" si="41"/>
        <v>Ô tô tự đổ 22 tấn416</v>
      </c>
      <c r="D2420" s="630"/>
      <c r="E2420" s="630"/>
      <c r="F2420" s="630"/>
      <c r="G2420" s="630"/>
    </row>
    <row r="2421" spans="1:7" ht="18.75" x14ac:dyDescent="0.25">
      <c r="A2421" s="629" t="s">
        <v>3073</v>
      </c>
      <c r="B2421" s="630">
        <v>417</v>
      </c>
      <c r="C2421" s="631" t="str">
        <f t="shared" si="41"/>
        <v>Ô tô tự đổ 22 tấn417</v>
      </c>
      <c r="D2421" s="630"/>
      <c r="E2421" s="630"/>
      <c r="F2421" s="630"/>
      <c r="G2421" s="630"/>
    </row>
    <row r="2422" spans="1:7" ht="18.75" x14ac:dyDescent="0.25">
      <c r="A2422" s="629" t="s">
        <v>3073</v>
      </c>
      <c r="B2422" s="630">
        <v>418</v>
      </c>
      <c r="C2422" s="631" t="str">
        <f t="shared" si="41"/>
        <v>Ô tô tự đổ 22 tấn418</v>
      </c>
      <c r="D2422" s="630"/>
      <c r="E2422" s="630"/>
      <c r="F2422" s="630"/>
      <c r="G2422" s="630"/>
    </row>
    <row r="2423" spans="1:7" ht="18.75" x14ac:dyDescent="0.25">
      <c r="A2423" s="629" t="s">
        <v>3073</v>
      </c>
      <c r="B2423" s="630">
        <v>419</v>
      </c>
      <c r="C2423" s="631" t="str">
        <f t="shared" si="41"/>
        <v>Ô tô tự đổ 22 tấn419</v>
      </c>
      <c r="D2423" s="630"/>
      <c r="E2423" s="630"/>
      <c r="F2423" s="630"/>
      <c r="G2423" s="630"/>
    </row>
    <row r="2424" spans="1:7" ht="18.75" x14ac:dyDescent="0.25">
      <c r="A2424" s="629" t="s">
        <v>3073</v>
      </c>
      <c r="B2424" s="630">
        <v>420</v>
      </c>
      <c r="C2424" s="631" t="str">
        <f t="shared" si="41"/>
        <v>Ô tô tự đổ 22 tấn420</v>
      </c>
      <c r="D2424" s="630"/>
      <c r="E2424" s="630"/>
      <c r="F2424" s="630"/>
      <c r="G2424" s="630"/>
    </row>
    <row r="2425" spans="1:7" ht="18.75" x14ac:dyDescent="0.25">
      <c r="A2425" s="629" t="s">
        <v>3073</v>
      </c>
      <c r="B2425" s="630">
        <v>421</v>
      </c>
      <c r="C2425" s="631" t="str">
        <f t="shared" si="41"/>
        <v>Ô tô tự đổ 22 tấn421</v>
      </c>
      <c r="D2425" s="630"/>
      <c r="E2425" s="630"/>
      <c r="F2425" s="630"/>
      <c r="G2425" s="630"/>
    </row>
    <row r="2426" spans="1:7" ht="18.75" x14ac:dyDescent="0.25">
      <c r="A2426" s="629" t="s">
        <v>3073</v>
      </c>
      <c r="B2426" s="630">
        <v>422</v>
      </c>
      <c r="C2426" s="631" t="str">
        <f t="shared" si="41"/>
        <v>Ô tô tự đổ 22 tấn422</v>
      </c>
      <c r="D2426" s="630"/>
      <c r="E2426" s="630"/>
      <c r="F2426" s="630"/>
      <c r="G2426" s="630"/>
    </row>
    <row r="2427" spans="1:7" ht="18.75" x14ac:dyDescent="0.25">
      <c r="A2427" s="629" t="s">
        <v>3073</v>
      </c>
      <c r="B2427" s="630">
        <v>423</v>
      </c>
      <c r="C2427" s="631" t="str">
        <f t="shared" si="41"/>
        <v>Ô tô tự đổ 22 tấn423</v>
      </c>
      <c r="D2427" s="630"/>
      <c r="E2427" s="630"/>
      <c r="F2427" s="630"/>
      <c r="G2427" s="630"/>
    </row>
    <row r="2428" spans="1:7" ht="18.75" x14ac:dyDescent="0.25">
      <c r="A2428" s="629" t="s">
        <v>3073</v>
      </c>
      <c r="B2428" s="630">
        <v>424</v>
      </c>
      <c r="C2428" s="631" t="str">
        <f t="shared" si="41"/>
        <v>Ô tô tự đổ 22 tấn424</v>
      </c>
      <c r="D2428" s="630"/>
      <c r="E2428" s="630"/>
      <c r="F2428" s="630"/>
      <c r="G2428" s="630"/>
    </row>
    <row r="2429" spans="1:7" ht="18.75" x14ac:dyDescent="0.25">
      <c r="A2429" s="629" t="s">
        <v>3073</v>
      </c>
      <c r="B2429" s="630">
        <v>425</v>
      </c>
      <c r="C2429" s="631" t="str">
        <f t="shared" si="41"/>
        <v>Ô tô tự đổ 22 tấn425</v>
      </c>
      <c r="D2429" s="630"/>
      <c r="E2429" s="630"/>
      <c r="F2429" s="630"/>
      <c r="G2429" s="630"/>
    </row>
    <row r="2430" spans="1:7" ht="18.75" x14ac:dyDescent="0.25">
      <c r="A2430" s="629" t="s">
        <v>3073</v>
      </c>
      <c r="B2430" s="630">
        <v>426</v>
      </c>
      <c r="C2430" s="631" t="str">
        <f t="shared" si="41"/>
        <v>Ô tô tự đổ 22 tấn426</v>
      </c>
      <c r="D2430" s="630"/>
      <c r="E2430" s="630"/>
      <c r="F2430" s="630"/>
      <c r="G2430" s="630"/>
    </row>
    <row r="2431" spans="1:7" ht="18.75" x14ac:dyDescent="0.25">
      <c r="A2431" s="629" t="s">
        <v>3073</v>
      </c>
      <c r="B2431" s="630">
        <v>427</v>
      </c>
      <c r="C2431" s="631" t="str">
        <f t="shared" si="41"/>
        <v>Ô tô tự đổ 22 tấn427</v>
      </c>
      <c r="D2431" s="630"/>
      <c r="E2431" s="630"/>
      <c r="F2431" s="630"/>
      <c r="G2431" s="630"/>
    </row>
    <row r="2432" spans="1:7" ht="18.75" x14ac:dyDescent="0.25">
      <c r="A2432" s="629" t="s">
        <v>3073</v>
      </c>
      <c r="B2432" s="630">
        <v>428</v>
      </c>
      <c r="C2432" s="631" t="str">
        <f t="shared" si="41"/>
        <v>Ô tô tự đổ 22 tấn428</v>
      </c>
      <c r="D2432" s="630"/>
      <c r="E2432" s="630"/>
      <c r="F2432" s="630"/>
      <c r="G2432" s="630"/>
    </row>
    <row r="2433" spans="1:7" ht="18.75" x14ac:dyDescent="0.25">
      <c r="A2433" s="629" t="s">
        <v>3073</v>
      </c>
      <c r="B2433" s="630">
        <v>429</v>
      </c>
      <c r="C2433" s="631" t="str">
        <f t="shared" si="41"/>
        <v>Ô tô tự đổ 22 tấn429</v>
      </c>
      <c r="D2433" s="630"/>
      <c r="E2433" s="630"/>
      <c r="F2433" s="630"/>
      <c r="G2433" s="630"/>
    </row>
    <row r="2434" spans="1:7" ht="18.75" x14ac:dyDescent="0.25">
      <c r="A2434" s="629" t="s">
        <v>3073</v>
      </c>
      <c r="B2434" s="630">
        <v>430</v>
      </c>
      <c r="C2434" s="631" t="str">
        <f t="shared" si="41"/>
        <v>Ô tô tự đổ 22 tấn430</v>
      </c>
      <c r="D2434" s="630"/>
      <c r="E2434" s="630"/>
      <c r="F2434" s="630"/>
      <c r="G2434" s="630"/>
    </row>
    <row r="2435" spans="1:7" ht="18.75" x14ac:dyDescent="0.25">
      <c r="A2435" s="629" t="s">
        <v>3073</v>
      </c>
      <c r="B2435" s="630">
        <v>431</v>
      </c>
      <c r="C2435" s="631" t="str">
        <f t="shared" si="41"/>
        <v>Ô tô tự đổ 22 tấn431</v>
      </c>
      <c r="D2435" s="630"/>
      <c r="E2435" s="630"/>
      <c r="F2435" s="630"/>
      <c r="G2435" s="630"/>
    </row>
    <row r="2436" spans="1:7" ht="18.75" x14ac:dyDescent="0.25">
      <c r="A2436" s="629" t="s">
        <v>3073</v>
      </c>
      <c r="B2436" s="630">
        <v>432</v>
      </c>
      <c r="C2436" s="631" t="str">
        <f t="shared" si="41"/>
        <v>Ô tô tự đổ 22 tấn432</v>
      </c>
      <c r="D2436" s="630"/>
      <c r="E2436" s="630"/>
      <c r="F2436" s="630"/>
      <c r="G2436" s="630"/>
    </row>
    <row r="2437" spans="1:7" ht="18.75" x14ac:dyDescent="0.25">
      <c r="A2437" s="629" t="s">
        <v>3073</v>
      </c>
      <c r="B2437" s="630">
        <v>433</v>
      </c>
      <c r="C2437" s="631" t="str">
        <f t="shared" si="41"/>
        <v>Ô tô tự đổ 22 tấn433</v>
      </c>
      <c r="D2437" s="630"/>
      <c r="E2437" s="630"/>
      <c r="F2437" s="630"/>
      <c r="G2437" s="630"/>
    </row>
    <row r="2438" spans="1:7" ht="18.75" x14ac:dyDescent="0.25">
      <c r="A2438" s="629" t="s">
        <v>3073</v>
      </c>
      <c r="B2438" s="630">
        <v>434</v>
      </c>
      <c r="C2438" s="631" t="str">
        <f t="shared" si="41"/>
        <v>Ô tô tự đổ 22 tấn434</v>
      </c>
      <c r="D2438" s="630"/>
      <c r="E2438" s="630"/>
      <c r="F2438" s="630"/>
      <c r="G2438" s="630"/>
    </row>
    <row r="2439" spans="1:7" ht="18.75" x14ac:dyDescent="0.25">
      <c r="A2439" s="629" t="s">
        <v>3073</v>
      </c>
      <c r="B2439" s="630">
        <v>435</v>
      </c>
      <c r="C2439" s="631" t="str">
        <f t="shared" si="41"/>
        <v>Ô tô tự đổ 22 tấn435</v>
      </c>
      <c r="D2439" s="630"/>
      <c r="E2439" s="630"/>
      <c r="F2439" s="630"/>
      <c r="G2439" s="630"/>
    </row>
    <row r="2440" spans="1:7" ht="18.75" x14ac:dyDescent="0.25">
      <c r="A2440" s="629" t="s">
        <v>3073</v>
      </c>
      <c r="B2440" s="630">
        <v>436</v>
      </c>
      <c r="C2440" s="631" t="str">
        <f t="shared" si="41"/>
        <v>Ô tô tự đổ 22 tấn436</v>
      </c>
      <c r="D2440" s="630"/>
      <c r="E2440" s="630"/>
      <c r="F2440" s="630"/>
      <c r="G2440" s="630"/>
    </row>
    <row r="2441" spans="1:7" ht="18.75" x14ac:dyDescent="0.25">
      <c r="A2441" s="629" t="s">
        <v>3073</v>
      </c>
      <c r="B2441" s="630">
        <v>437</v>
      </c>
      <c r="C2441" s="631" t="str">
        <f t="shared" si="41"/>
        <v>Ô tô tự đổ 22 tấn437</v>
      </c>
      <c r="D2441" s="630"/>
      <c r="E2441" s="630"/>
      <c r="F2441" s="630"/>
      <c r="G2441" s="630"/>
    </row>
    <row r="2442" spans="1:7" ht="18.75" x14ac:dyDescent="0.25">
      <c r="A2442" s="629" t="s">
        <v>3073</v>
      </c>
      <c r="B2442" s="630">
        <v>438</v>
      </c>
      <c r="C2442" s="631" t="str">
        <f t="shared" si="41"/>
        <v>Ô tô tự đổ 22 tấn438</v>
      </c>
      <c r="D2442" s="630"/>
      <c r="E2442" s="630"/>
      <c r="F2442" s="630"/>
      <c r="G2442" s="630"/>
    </row>
    <row r="2443" spans="1:7" ht="18.75" x14ac:dyDescent="0.25">
      <c r="A2443" s="629" t="s">
        <v>3073</v>
      </c>
      <c r="B2443" s="630">
        <v>439</v>
      </c>
      <c r="C2443" s="631" t="str">
        <f t="shared" si="41"/>
        <v>Ô tô tự đổ 22 tấn439</v>
      </c>
      <c r="D2443" s="630"/>
      <c r="E2443" s="630"/>
      <c r="F2443" s="630"/>
      <c r="G2443" s="630"/>
    </row>
    <row r="2444" spans="1:7" ht="18.75" x14ac:dyDescent="0.25">
      <c r="A2444" s="629" t="s">
        <v>3073</v>
      </c>
      <c r="B2444" s="630">
        <v>440</v>
      </c>
      <c r="C2444" s="631" t="str">
        <f t="shared" si="41"/>
        <v>Ô tô tự đổ 22 tấn440</v>
      </c>
      <c r="D2444" s="630"/>
      <c r="E2444" s="630"/>
      <c r="F2444" s="630"/>
      <c r="G2444" s="630"/>
    </row>
    <row r="2445" spans="1:7" ht="18.75" x14ac:dyDescent="0.25">
      <c r="A2445" s="629" t="s">
        <v>3073</v>
      </c>
      <c r="B2445" s="630">
        <v>441</v>
      </c>
      <c r="C2445" s="631" t="str">
        <f t="shared" si="41"/>
        <v>Ô tô tự đổ 22 tấn441</v>
      </c>
      <c r="D2445" s="630"/>
      <c r="E2445" s="630"/>
      <c r="F2445" s="630"/>
      <c r="G2445" s="630"/>
    </row>
    <row r="2446" spans="1:7" ht="18.75" x14ac:dyDescent="0.25">
      <c r="A2446" s="629" t="s">
        <v>3073</v>
      </c>
      <c r="B2446" s="630">
        <v>442</v>
      </c>
      <c r="C2446" s="631" t="str">
        <f t="shared" si="41"/>
        <v>Ô tô tự đổ 22 tấn442</v>
      </c>
      <c r="D2446" s="630"/>
      <c r="E2446" s="630"/>
      <c r="F2446" s="630"/>
      <c r="G2446" s="630"/>
    </row>
    <row r="2447" spans="1:7" ht="18.75" x14ac:dyDescent="0.25">
      <c r="A2447" s="629" t="s">
        <v>3073</v>
      </c>
      <c r="B2447" s="630">
        <v>443</v>
      </c>
      <c r="C2447" s="631" t="str">
        <f t="shared" si="41"/>
        <v>Ô tô tự đổ 22 tấn443</v>
      </c>
      <c r="D2447" s="630"/>
      <c r="E2447" s="630"/>
      <c r="F2447" s="630"/>
      <c r="G2447" s="630"/>
    </row>
    <row r="2448" spans="1:7" ht="18.75" x14ac:dyDescent="0.25">
      <c r="A2448" s="629" t="s">
        <v>3073</v>
      </c>
      <c r="B2448" s="630">
        <v>444</v>
      </c>
      <c r="C2448" s="631" t="str">
        <f t="shared" si="41"/>
        <v>Ô tô tự đổ 22 tấn444</v>
      </c>
      <c r="D2448" s="630"/>
      <c r="E2448" s="630"/>
      <c r="F2448" s="630"/>
      <c r="G2448" s="630"/>
    </row>
    <row r="2449" spans="1:7" ht="18.75" x14ac:dyDescent="0.25">
      <c r="A2449" s="629" t="s">
        <v>3073</v>
      </c>
      <c r="B2449" s="630">
        <v>445</v>
      </c>
      <c r="C2449" s="631" t="str">
        <f t="shared" si="41"/>
        <v>Ô tô tự đổ 22 tấn445</v>
      </c>
      <c r="D2449" s="630"/>
      <c r="E2449" s="630"/>
      <c r="F2449" s="630"/>
      <c r="G2449" s="630"/>
    </row>
    <row r="2450" spans="1:7" ht="18.75" x14ac:dyDescent="0.25">
      <c r="A2450" s="629" t="s">
        <v>3073</v>
      </c>
      <c r="B2450" s="630">
        <v>446</v>
      </c>
      <c r="C2450" s="631" t="str">
        <f t="shared" si="41"/>
        <v>Ô tô tự đổ 22 tấn446</v>
      </c>
      <c r="D2450" s="630"/>
      <c r="E2450" s="630"/>
      <c r="F2450" s="630"/>
      <c r="G2450" s="630"/>
    </row>
    <row r="2451" spans="1:7" ht="18.75" x14ac:dyDescent="0.25">
      <c r="A2451" s="629" t="s">
        <v>3073</v>
      </c>
      <c r="B2451" s="630">
        <v>447</v>
      </c>
      <c r="C2451" s="631" t="str">
        <f t="shared" si="41"/>
        <v>Ô tô tự đổ 22 tấn447</v>
      </c>
      <c r="D2451" s="630"/>
      <c r="E2451" s="630"/>
      <c r="F2451" s="630"/>
      <c r="G2451" s="630"/>
    </row>
    <row r="2452" spans="1:7" ht="18.75" x14ac:dyDescent="0.25">
      <c r="A2452" s="629" t="s">
        <v>3073</v>
      </c>
      <c r="B2452" s="630">
        <v>448</v>
      </c>
      <c r="C2452" s="631" t="str">
        <f t="shared" si="41"/>
        <v>Ô tô tự đổ 22 tấn448</v>
      </c>
      <c r="D2452" s="630"/>
      <c r="E2452" s="630"/>
      <c r="F2452" s="630"/>
      <c r="G2452" s="630"/>
    </row>
    <row r="2453" spans="1:7" ht="18.75" x14ac:dyDescent="0.25">
      <c r="A2453" s="629" t="s">
        <v>3073</v>
      </c>
      <c r="B2453" s="630">
        <v>449</v>
      </c>
      <c r="C2453" s="631" t="str">
        <f t="shared" si="41"/>
        <v>Ô tô tự đổ 22 tấn449</v>
      </c>
      <c r="D2453" s="630"/>
      <c r="E2453" s="630"/>
      <c r="F2453" s="630"/>
      <c r="G2453" s="630"/>
    </row>
    <row r="2454" spans="1:7" ht="18.75" x14ac:dyDescent="0.25">
      <c r="A2454" s="629" t="s">
        <v>3073</v>
      </c>
      <c r="B2454" s="630">
        <v>450</v>
      </c>
      <c r="C2454" s="631" t="str">
        <f t="shared" ref="C2454:C2504" si="42">A2454&amp;B2454</f>
        <v>Ô tô tự đổ 22 tấn450</v>
      </c>
      <c r="D2454" s="630"/>
      <c r="E2454" s="630"/>
      <c r="F2454" s="630"/>
      <c r="G2454" s="630"/>
    </row>
    <row r="2455" spans="1:7" ht="18.75" x14ac:dyDescent="0.25">
      <c r="A2455" s="629" t="s">
        <v>3073</v>
      </c>
      <c r="B2455" s="630">
        <v>451</v>
      </c>
      <c r="C2455" s="631" t="str">
        <f t="shared" si="42"/>
        <v>Ô tô tự đổ 22 tấn451</v>
      </c>
      <c r="D2455" s="630"/>
      <c r="E2455" s="630"/>
      <c r="F2455" s="630"/>
      <c r="G2455" s="630"/>
    </row>
    <row r="2456" spans="1:7" ht="18.75" x14ac:dyDescent="0.25">
      <c r="A2456" s="629" t="s">
        <v>3073</v>
      </c>
      <c r="B2456" s="630">
        <v>452</v>
      </c>
      <c r="C2456" s="631" t="str">
        <f t="shared" si="42"/>
        <v>Ô tô tự đổ 22 tấn452</v>
      </c>
      <c r="D2456" s="630"/>
      <c r="E2456" s="630"/>
      <c r="F2456" s="630"/>
      <c r="G2456" s="630"/>
    </row>
    <row r="2457" spans="1:7" ht="18.75" x14ac:dyDescent="0.25">
      <c r="A2457" s="629" t="s">
        <v>3073</v>
      </c>
      <c r="B2457" s="630">
        <v>453</v>
      </c>
      <c r="C2457" s="631" t="str">
        <f t="shared" si="42"/>
        <v>Ô tô tự đổ 22 tấn453</v>
      </c>
      <c r="D2457" s="630"/>
      <c r="E2457" s="630"/>
      <c r="F2457" s="630"/>
      <c r="G2457" s="630"/>
    </row>
    <row r="2458" spans="1:7" ht="18.75" x14ac:dyDescent="0.25">
      <c r="A2458" s="629" t="s">
        <v>3073</v>
      </c>
      <c r="B2458" s="630">
        <v>454</v>
      </c>
      <c r="C2458" s="631" t="str">
        <f t="shared" si="42"/>
        <v>Ô tô tự đổ 22 tấn454</v>
      </c>
      <c r="D2458" s="630"/>
      <c r="E2458" s="630"/>
      <c r="F2458" s="630"/>
      <c r="G2458" s="630"/>
    </row>
    <row r="2459" spans="1:7" ht="18.75" x14ac:dyDescent="0.25">
      <c r="A2459" s="629" t="s">
        <v>3073</v>
      </c>
      <c r="B2459" s="630">
        <v>455</v>
      </c>
      <c r="C2459" s="631" t="str">
        <f t="shared" si="42"/>
        <v>Ô tô tự đổ 22 tấn455</v>
      </c>
      <c r="D2459" s="630"/>
      <c r="E2459" s="630"/>
      <c r="F2459" s="630"/>
      <c r="G2459" s="630"/>
    </row>
    <row r="2460" spans="1:7" ht="18.75" x14ac:dyDescent="0.25">
      <c r="A2460" s="629" t="s">
        <v>3073</v>
      </c>
      <c r="B2460" s="630">
        <v>456</v>
      </c>
      <c r="C2460" s="631" t="str">
        <f t="shared" si="42"/>
        <v>Ô tô tự đổ 22 tấn456</v>
      </c>
      <c r="D2460" s="630"/>
      <c r="E2460" s="630"/>
      <c r="F2460" s="630"/>
      <c r="G2460" s="630"/>
    </row>
    <row r="2461" spans="1:7" ht="18.75" x14ac:dyDescent="0.25">
      <c r="A2461" s="629" t="s">
        <v>3073</v>
      </c>
      <c r="B2461" s="630">
        <v>457</v>
      </c>
      <c r="C2461" s="631" t="str">
        <f t="shared" si="42"/>
        <v>Ô tô tự đổ 22 tấn457</v>
      </c>
      <c r="D2461" s="630"/>
      <c r="E2461" s="630"/>
      <c r="F2461" s="630"/>
      <c r="G2461" s="630"/>
    </row>
    <row r="2462" spans="1:7" ht="18.75" x14ac:dyDescent="0.25">
      <c r="A2462" s="629" t="s">
        <v>3073</v>
      </c>
      <c r="B2462" s="630">
        <v>458</v>
      </c>
      <c r="C2462" s="631" t="str">
        <f t="shared" si="42"/>
        <v>Ô tô tự đổ 22 tấn458</v>
      </c>
      <c r="D2462" s="630"/>
      <c r="E2462" s="630"/>
      <c r="F2462" s="630"/>
      <c r="G2462" s="630"/>
    </row>
    <row r="2463" spans="1:7" ht="18.75" x14ac:dyDescent="0.25">
      <c r="A2463" s="629" t="s">
        <v>3073</v>
      </c>
      <c r="B2463" s="630">
        <v>459</v>
      </c>
      <c r="C2463" s="631" t="str">
        <f t="shared" si="42"/>
        <v>Ô tô tự đổ 22 tấn459</v>
      </c>
      <c r="D2463" s="630"/>
      <c r="E2463" s="630"/>
      <c r="F2463" s="630"/>
      <c r="G2463" s="630"/>
    </row>
    <row r="2464" spans="1:7" ht="18.75" x14ac:dyDescent="0.25">
      <c r="A2464" s="629" t="s">
        <v>3073</v>
      </c>
      <c r="B2464" s="630">
        <v>460</v>
      </c>
      <c r="C2464" s="631" t="str">
        <f t="shared" si="42"/>
        <v>Ô tô tự đổ 22 tấn460</v>
      </c>
      <c r="D2464" s="630"/>
      <c r="E2464" s="630"/>
      <c r="F2464" s="630"/>
      <c r="G2464" s="630"/>
    </row>
    <row r="2465" spans="1:7" ht="18.75" x14ac:dyDescent="0.25">
      <c r="A2465" s="629" t="s">
        <v>3073</v>
      </c>
      <c r="B2465" s="630">
        <v>461</v>
      </c>
      <c r="C2465" s="631" t="str">
        <f t="shared" si="42"/>
        <v>Ô tô tự đổ 22 tấn461</v>
      </c>
      <c r="D2465" s="630"/>
      <c r="E2465" s="630"/>
      <c r="F2465" s="630"/>
      <c r="G2465" s="630"/>
    </row>
    <row r="2466" spans="1:7" ht="18.75" x14ac:dyDescent="0.25">
      <c r="A2466" s="629" t="s">
        <v>3073</v>
      </c>
      <c r="B2466" s="630">
        <v>462</v>
      </c>
      <c r="C2466" s="631" t="str">
        <f t="shared" si="42"/>
        <v>Ô tô tự đổ 22 tấn462</v>
      </c>
      <c r="D2466" s="630"/>
      <c r="E2466" s="630"/>
      <c r="F2466" s="630"/>
      <c r="G2466" s="630"/>
    </row>
    <row r="2467" spans="1:7" ht="18.75" x14ac:dyDescent="0.25">
      <c r="A2467" s="629" t="s">
        <v>3073</v>
      </c>
      <c r="B2467" s="630">
        <v>463</v>
      </c>
      <c r="C2467" s="631" t="str">
        <f t="shared" si="42"/>
        <v>Ô tô tự đổ 22 tấn463</v>
      </c>
      <c r="D2467" s="630"/>
      <c r="E2467" s="630"/>
      <c r="F2467" s="630"/>
      <c r="G2467" s="630"/>
    </row>
    <row r="2468" spans="1:7" ht="18.75" x14ac:dyDescent="0.25">
      <c r="A2468" s="629" t="s">
        <v>3073</v>
      </c>
      <c r="B2468" s="630">
        <v>464</v>
      </c>
      <c r="C2468" s="631" t="str">
        <f t="shared" si="42"/>
        <v>Ô tô tự đổ 22 tấn464</v>
      </c>
      <c r="D2468" s="630"/>
      <c r="E2468" s="630"/>
      <c r="F2468" s="630"/>
      <c r="G2468" s="630"/>
    </row>
    <row r="2469" spans="1:7" ht="18.75" x14ac:dyDescent="0.25">
      <c r="A2469" s="629" t="s">
        <v>3073</v>
      </c>
      <c r="B2469" s="630">
        <v>465</v>
      </c>
      <c r="C2469" s="631" t="str">
        <f t="shared" si="42"/>
        <v>Ô tô tự đổ 22 tấn465</v>
      </c>
      <c r="D2469" s="630"/>
      <c r="E2469" s="630"/>
      <c r="F2469" s="630"/>
      <c r="G2469" s="630"/>
    </row>
    <row r="2470" spans="1:7" ht="18.75" x14ac:dyDescent="0.25">
      <c r="A2470" s="629" t="s">
        <v>3073</v>
      </c>
      <c r="B2470" s="630">
        <v>466</v>
      </c>
      <c r="C2470" s="631" t="str">
        <f t="shared" si="42"/>
        <v>Ô tô tự đổ 22 tấn466</v>
      </c>
      <c r="D2470" s="630"/>
      <c r="E2470" s="630"/>
      <c r="F2470" s="630"/>
      <c r="G2470" s="630"/>
    </row>
    <row r="2471" spans="1:7" ht="18.75" x14ac:dyDescent="0.25">
      <c r="A2471" s="629" t="s">
        <v>3073</v>
      </c>
      <c r="B2471" s="630">
        <v>467</v>
      </c>
      <c r="C2471" s="631" t="str">
        <f t="shared" si="42"/>
        <v>Ô tô tự đổ 22 tấn467</v>
      </c>
      <c r="D2471" s="630"/>
      <c r="E2471" s="630"/>
      <c r="F2471" s="630"/>
      <c r="G2471" s="630"/>
    </row>
    <row r="2472" spans="1:7" ht="18.75" x14ac:dyDescent="0.25">
      <c r="A2472" s="629" t="s">
        <v>3073</v>
      </c>
      <c r="B2472" s="630">
        <v>468</v>
      </c>
      <c r="C2472" s="631" t="str">
        <f t="shared" si="42"/>
        <v>Ô tô tự đổ 22 tấn468</v>
      </c>
      <c r="D2472" s="630"/>
      <c r="E2472" s="630"/>
      <c r="F2472" s="630"/>
      <c r="G2472" s="630"/>
    </row>
    <row r="2473" spans="1:7" ht="18.75" x14ac:dyDescent="0.25">
      <c r="A2473" s="629" t="s">
        <v>3073</v>
      </c>
      <c r="B2473" s="630">
        <v>469</v>
      </c>
      <c r="C2473" s="631" t="str">
        <f t="shared" si="42"/>
        <v>Ô tô tự đổ 22 tấn469</v>
      </c>
      <c r="D2473" s="630"/>
      <c r="E2473" s="630"/>
      <c r="F2473" s="630"/>
      <c r="G2473" s="630"/>
    </row>
    <row r="2474" spans="1:7" ht="18.75" x14ac:dyDescent="0.25">
      <c r="A2474" s="629" t="s">
        <v>3073</v>
      </c>
      <c r="B2474" s="630">
        <v>470</v>
      </c>
      <c r="C2474" s="631" t="str">
        <f t="shared" si="42"/>
        <v>Ô tô tự đổ 22 tấn470</v>
      </c>
      <c r="D2474" s="630"/>
      <c r="E2474" s="630"/>
      <c r="F2474" s="630"/>
      <c r="G2474" s="630"/>
    </row>
    <row r="2475" spans="1:7" ht="18.75" x14ac:dyDescent="0.25">
      <c r="A2475" s="629" t="s">
        <v>3073</v>
      </c>
      <c r="B2475" s="630">
        <v>471</v>
      </c>
      <c r="C2475" s="631" t="str">
        <f t="shared" si="42"/>
        <v>Ô tô tự đổ 22 tấn471</v>
      </c>
      <c r="D2475" s="630"/>
      <c r="E2475" s="630"/>
      <c r="F2475" s="630"/>
      <c r="G2475" s="630"/>
    </row>
    <row r="2476" spans="1:7" ht="18.75" x14ac:dyDescent="0.25">
      <c r="A2476" s="629" t="s">
        <v>3073</v>
      </c>
      <c r="B2476" s="630">
        <v>472</v>
      </c>
      <c r="C2476" s="631" t="str">
        <f t="shared" si="42"/>
        <v>Ô tô tự đổ 22 tấn472</v>
      </c>
      <c r="D2476" s="630"/>
      <c r="E2476" s="630"/>
      <c r="F2476" s="630"/>
      <c r="G2476" s="630"/>
    </row>
    <row r="2477" spans="1:7" ht="18.75" x14ac:dyDescent="0.25">
      <c r="A2477" s="629" t="s">
        <v>3073</v>
      </c>
      <c r="B2477" s="630">
        <v>473</v>
      </c>
      <c r="C2477" s="631" t="str">
        <f t="shared" si="42"/>
        <v>Ô tô tự đổ 22 tấn473</v>
      </c>
      <c r="D2477" s="630"/>
      <c r="E2477" s="630"/>
      <c r="F2477" s="630"/>
      <c r="G2477" s="630"/>
    </row>
    <row r="2478" spans="1:7" ht="18.75" x14ac:dyDescent="0.25">
      <c r="A2478" s="629" t="s">
        <v>3073</v>
      </c>
      <c r="B2478" s="630">
        <v>474</v>
      </c>
      <c r="C2478" s="631" t="str">
        <f t="shared" si="42"/>
        <v>Ô tô tự đổ 22 tấn474</v>
      </c>
      <c r="D2478" s="630"/>
      <c r="E2478" s="630"/>
      <c r="F2478" s="630"/>
      <c r="G2478" s="630"/>
    </row>
    <row r="2479" spans="1:7" ht="18.75" x14ac:dyDescent="0.25">
      <c r="A2479" s="629" t="s">
        <v>3073</v>
      </c>
      <c r="B2479" s="630">
        <v>475</v>
      </c>
      <c r="C2479" s="631" t="str">
        <f t="shared" si="42"/>
        <v>Ô tô tự đổ 22 tấn475</v>
      </c>
      <c r="D2479" s="630"/>
      <c r="E2479" s="630"/>
      <c r="F2479" s="630"/>
      <c r="G2479" s="630"/>
    </row>
    <row r="2480" spans="1:7" ht="18.75" x14ac:dyDescent="0.25">
      <c r="A2480" s="629" t="s">
        <v>3073</v>
      </c>
      <c r="B2480" s="630">
        <v>476</v>
      </c>
      <c r="C2480" s="631" t="str">
        <f t="shared" si="42"/>
        <v>Ô tô tự đổ 22 tấn476</v>
      </c>
      <c r="D2480" s="630"/>
      <c r="E2480" s="630"/>
      <c r="F2480" s="630"/>
      <c r="G2480" s="630"/>
    </row>
    <row r="2481" spans="1:7" ht="18.75" x14ac:dyDescent="0.25">
      <c r="A2481" s="629" t="s">
        <v>3073</v>
      </c>
      <c r="B2481" s="630">
        <v>477</v>
      </c>
      <c r="C2481" s="631" t="str">
        <f t="shared" si="42"/>
        <v>Ô tô tự đổ 22 tấn477</v>
      </c>
      <c r="D2481" s="630"/>
      <c r="E2481" s="630"/>
      <c r="F2481" s="630"/>
      <c r="G2481" s="630"/>
    </row>
    <row r="2482" spans="1:7" ht="18.75" x14ac:dyDescent="0.25">
      <c r="A2482" s="629" t="s">
        <v>3073</v>
      </c>
      <c r="B2482" s="630">
        <v>478</v>
      </c>
      <c r="C2482" s="631" t="str">
        <f t="shared" si="42"/>
        <v>Ô tô tự đổ 22 tấn478</v>
      </c>
      <c r="D2482" s="630"/>
      <c r="E2482" s="630"/>
      <c r="F2482" s="630"/>
      <c r="G2482" s="630"/>
    </row>
    <row r="2483" spans="1:7" ht="18.75" x14ac:dyDescent="0.25">
      <c r="A2483" s="629" t="s">
        <v>3073</v>
      </c>
      <c r="B2483" s="630">
        <v>479</v>
      </c>
      <c r="C2483" s="631" t="str">
        <f t="shared" si="42"/>
        <v>Ô tô tự đổ 22 tấn479</v>
      </c>
      <c r="D2483" s="630"/>
      <c r="E2483" s="630"/>
      <c r="F2483" s="630"/>
      <c r="G2483" s="630"/>
    </row>
    <row r="2484" spans="1:7" ht="18.75" x14ac:dyDescent="0.25">
      <c r="A2484" s="629" t="s">
        <v>3073</v>
      </c>
      <c r="B2484" s="630">
        <v>480</v>
      </c>
      <c r="C2484" s="631" t="str">
        <f t="shared" si="42"/>
        <v>Ô tô tự đổ 22 tấn480</v>
      </c>
      <c r="D2484" s="630"/>
      <c r="E2484" s="630"/>
      <c r="F2484" s="630"/>
      <c r="G2484" s="630"/>
    </row>
    <row r="2485" spans="1:7" ht="18.75" x14ac:dyDescent="0.25">
      <c r="A2485" s="629" t="s">
        <v>3073</v>
      </c>
      <c r="B2485" s="630">
        <v>481</v>
      </c>
      <c r="C2485" s="631" t="str">
        <f t="shared" si="42"/>
        <v>Ô tô tự đổ 22 tấn481</v>
      </c>
      <c r="D2485" s="630"/>
      <c r="E2485" s="630"/>
      <c r="F2485" s="630"/>
      <c r="G2485" s="630"/>
    </row>
    <row r="2486" spans="1:7" ht="18.75" x14ac:dyDescent="0.25">
      <c r="A2486" s="629" t="s">
        <v>3073</v>
      </c>
      <c r="B2486" s="630">
        <v>482</v>
      </c>
      <c r="C2486" s="631" t="str">
        <f t="shared" si="42"/>
        <v>Ô tô tự đổ 22 tấn482</v>
      </c>
      <c r="D2486" s="630"/>
      <c r="E2486" s="630"/>
      <c r="F2486" s="630"/>
      <c r="G2486" s="630"/>
    </row>
    <row r="2487" spans="1:7" ht="18.75" x14ac:dyDescent="0.25">
      <c r="A2487" s="629" t="s">
        <v>3073</v>
      </c>
      <c r="B2487" s="630">
        <v>483</v>
      </c>
      <c r="C2487" s="631" t="str">
        <f t="shared" si="42"/>
        <v>Ô tô tự đổ 22 tấn483</v>
      </c>
      <c r="D2487" s="630"/>
      <c r="E2487" s="630"/>
      <c r="F2487" s="630"/>
      <c r="G2487" s="630"/>
    </row>
    <row r="2488" spans="1:7" ht="18.75" x14ac:dyDescent="0.25">
      <c r="A2488" s="629" t="s">
        <v>3073</v>
      </c>
      <c r="B2488" s="630">
        <v>484</v>
      </c>
      <c r="C2488" s="631" t="str">
        <f t="shared" si="42"/>
        <v>Ô tô tự đổ 22 tấn484</v>
      </c>
      <c r="D2488" s="630"/>
      <c r="E2488" s="630"/>
      <c r="F2488" s="630"/>
      <c r="G2488" s="630"/>
    </row>
    <row r="2489" spans="1:7" ht="18.75" x14ac:dyDescent="0.25">
      <c r="A2489" s="629" t="s">
        <v>3073</v>
      </c>
      <c r="B2489" s="630">
        <v>485</v>
      </c>
      <c r="C2489" s="631" t="str">
        <f t="shared" si="42"/>
        <v>Ô tô tự đổ 22 tấn485</v>
      </c>
      <c r="D2489" s="630"/>
      <c r="E2489" s="630"/>
      <c r="F2489" s="630"/>
      <c r="G2489" s="630"/>
    </row>
    <row r="2490" spans="1:7" ht="18.75" x14ac:dyDescent="0.25">
      <c r="A2490" s="629" t="s">
        <v>3073</v>
      </c>
      <c r="B2490" s="630">
        <v>486</v>
      </c>
      <c r="C2490" s="631" t="str">
        <f t="shared" si="42"/>
        <v>Ô tô tự đổ 22 tấn486</v>
      </c>
      <c r="D2490" s="630"/>
      <c r="E2490" s="630"/>
      <c r="F2490" s="630"/>
      <c r="G2490" s="630"/>
    </row>
    <row r="2491" spans="1:7" ht="18.75" x14ac:dyDescent="0.25">
      <c r="A2491" s="629" t="s">
        <v>3073</v>
      </c>
      <c r="B2491" s="630">
        <v>487</v>
      </c>
      <c r="C2491" s="631" t="str">
        <f t="shared" si="42"/>
        <v>Ô tô tự đổ 22 tấn487</v>
      </c>
      <c r="D2491" s="630"/>
      <c r="E2491" s="630"/>
      <c r="F2491" s="630"/>
      <c r="G2491" s="630"/>
    </row>
    <row r="2492" spans="1:7" ht="18.75" x14ac:dyDescent="0.25">
      <c r="A2492" s="629" t="s">
        <v>3073</v>
      </c>
      <c r="B2492" s="630">
        <v>488</v>
      </c>
      <c r="C2492" s="631" t="str">
        <f t="shared" si="42"/>
        <v>Ô tô tự đổ 22 tấn488</v>
      </c>
      <c r="D2492" s="630"/>
      <c r="E2492" s="630"/>
      <c r="F2492" s="630"/>
      <c r="G2492" s="630"/>
    </row>
    <row r="2493" spans="1:7" ht="18.75" x14ac:dyDescent="0.25">
      <c r="A2493" s="629" t="s">
        <v>3073</v>
      </c>
      <c r="B2493" s="630">
        <v>489</v>
      </c>
      <c r="C2493" s="631" t="str">
        <f t="shared" si="42"/>
        <v>Ô tô tự đổ 22 tấn489</v>
      </c>
      <c r="D2493" s="630"/>
      <c r="E2493" s="630"/>
      <c r="F2493" s="630"/>
      <c r="G2493" s="630"/>
    </row>
    <row r="2494" spans="1:7" ht="18.75" x14ac:dyDescent="0.25">
      <c r="A2494" s="629" t="s">
        <v>3073</v>
      </c>
      <c r="B2494" s="630">
        <v>490</v>
      </c>
      <c r="C2494" s="631" t="str">
        <f t="shared" si="42"/>
        <v>Ô tô tự đổ 22 tấn490</v>
      </c>
      <c r="D2494" s="630"/>
      <c r="E2494" s="630"/>
      <c r="F2494" s="630"/>
      <c r="G2494" s="630"/>
    </row>
    <row r="2495" spans="1:7" ht="18.75" x14ac:dyDescent="0.25">
      <c r="A2495" s="629" t="s">
        <v>3073</v>
      </c>
      <c r="B2495" s="630">
        <v>491</v>
      </c>
      <c r="C2495" s="631" t="str">
        <f t="shared" si="42"/>
        <v>Ô tô tự đổ 22 tấn491</v>
      </c>
      <c r="D2495" s="630"/>
      <c r="E2495" s="630"/>
      <c r="F2495" s="630"/>
      <c r="G2495" s="630"/>
    </row>
    <row r="2496" spans="1:7" ht="18.75" x14ac:dyDescent="0.25">
      <c r="A2496" s="629" t="s">
        <v>3073</v>
      </c>
      <c r="B2496" s="630">
        <v>492</v>
      </c>
      <c r="C2496" s="631" t="str">
        <f t="shared" si="42"/>
        <v>Ô tô tự đổ 22 tấn492</v>
      </c>
      <c r="D2496" s="630"/>
      <c r="E2496" s="630"/>
      <c r="F2496" s="630"/>
      <c r="G2496" s="630"/>
    </row>
    <row r="2497" spans="1:7" ht="18.75" x14ac:dyDescent="0.25">
      <c r="A2497" s="629" t="s">
        <v>3073</v>
      </c>
      <c r="B2497" s="630">
        <v>493</v>
      </c>
      <c r="C2497" s="631" t="str">
        <f t="shared" si="42"/>
        <v>Ô tô tự đổ 22 tấn493</v>
      </c>
      <c r="D2497" s="630"/>
      <c r="E2497" s="630"/>
      <c r="F2497" s="630"/>
      <c r="G2497" s="630"/>
    </row>
    <row r="2498" spans="1:7" ht="18.75" x14ac:dyDescent="0.25">
      <c r="A2498" s="629" t="s">
        <v>3073</v>
      </c>
      <c r="B2498" s="630">
        <v>494</v>
      </c>
      <c r="C2498" s="631" t="str">
        <f t="shared" si="42"/>
        <v>Ô tô tự đổ 22 tấn494</v>
      </c>
      <c r="D2498" s="630"/>
      <c r="E2498" s="630"/>
      <c r="F2498" s="630"/>
      <c r="G2498" s="630"/>
    </row>
    <row r="2499" spans="1:7" ht="18.75" x14ac:dyDescent="0.25">
      <c r="A2499" s="629" t="s">
        <v>3073</v>
      </c>
      <c r="B2499" s="630">
        <v>495</v>
      </c>
      <c r="C2499" s="631" t="str">
        <f t="shared" si="42"/>
        <v>Ô tô tự đổ 22 tấn495</v>
      </c>
      <c r="D2499" s="630"/>
      <c r="E2499" s="630"/>
      <c r="F2499" s="630"/>
      <c r="G2499" s="630"/>
    </row>
    <row r="2500" spans="1:7" ht="18.75" x14ac:dyDescent="0.25">
      <c r="A2500" s="629" t="s">
        <v>3073</v>
      </c>
      <c r="B2500" s="630">
        <v>496</v>
      </c>
      <c r="C2500" s="631" t="str">
        <f t="shared" si="42"/>
        <v>Ô tô tự đổ 22 tấn496</v>
      </c>
      <c r="D2500" s="630"/>
      <c r="E2500" s="630"/>
      <c r="F2500" s="630"/>
      <c r="G2500" s="630"/>
    </row>
    <row r="2501" spans="1:7" ht="18.75" x14ac:dyDescent="0.25">
      <c r="A2501" s="629" t="s">
        <v>3073</v>
      </c>
      <c r="B2501" s="630">
        <v>497</v>
      </c>
      <c r="C2501" s="631" t="str">
        <f t="shared" si="42"/>
        <v>Ô tô tự đổ 22 tấn497</v>
      </c>
      <c r="D2501" s="630"/>
      <c r="E2501" s="630"/>
      <c r="F2501" s="630"/>
      <c r="G2501" s="630"/>
    </row>
    <row r="2502" spans="1:7" ht="18.75" x14ac:dyDescent="0.25">
      <c r="A2502" s="629" t="s">
        <v>3073</v>
      </c>
      <c r="B2502" s="630">
        <v>498</v>
      </c>
      <c r="C2502" s="631" t="str">
        <f t="shared" si="42"/>
        <v>Ô tô tự đổ 22 tấn498</v>
      </c>
      <c r="D2502" s="630"/>
      <c r="E2502" s="630"/>
      <c r="F2502" s="630"/>
      <c r="G2502" s="630"/>
    </row>
    <row r="2503" spans="1:7" ht="18.75" x14ac:dyDescent="0.25">
      <c r="A2503" s="629" t="s">
        <v>3073</v>
      </c>
      <c r="B2503" s="630">
        <v>499</v>
      </c>
      <c r="C2503" s="631" t="str">
        <f t="shared" si="42"/>
        <v>Ô tô tự đổ 22 tấn499</v>
      </c>
      <c r="D2503" s="630"/>
      <c r="E2503" s="630"/>
      <c r="F2503" s="630"/>
      <c r="G2503" s="630"/>
    </row>
    <row r="2504" spans="1:7" ht="18.75" x14ac:dyDescent="0.25">
      <c r="A2504" s="629" t="s">
        <v>3073</v>
      </c>
      <c r="B2504" s="630">
        <v>500</v>
      </c>
      <c r="C2504" s="631" t="str">
        <f t="shared" si="42"/>
        <v>Ô tô tự đổ 22 tấn500</v>
      </c>
      <c r="D2504" s="630"/>
      <c r="E2504" s="630"/>
      <c r="F2504" s="630"/>
      <c r="G2504" s="630"/>
    </row>
    <row r="2505" spans="1:7" ht="18.75" x14ac:dyDescent="0.25">
      <c r="A2505" s="629" t="s">
        <v>3071</v>
      </c>
      <c r="B2505" s="630">
        <v>1</v>
      </c>
      <c r="C2505" s="631" t="str">
        <f>A2505&amp;B2505</f>
        <v>Ô tô tự đổ 27 tấn1</v>
      </c>
      <c r="D2505" s="633">
        <v>0.25</v>
      </c>
      <c r="E2505" s="633">
        <v>0.26</v>
      </c>
      <c r="F2505" s="633"/>
      <c r="G2505" s="633"/>
    </row>
    <row r="2506" spans="1:7" ht="18.75" x14ac:dyDescent="0.25">
      <c r="A2506" s="629" t="s">
        <v>3071</v>
      </c>
      <c r="B2506" s="630">
        <v>2</v>
      </c>
      <c r="C2506" s="631" t="str">
        <f t="shared" ref="C2506:C2569" si="43">A2506&amp;B2506</f>
        <v>Ô tô tự đổ 27 tấn2</v>
      </c>
      <c r="D2506" s="633">
        <v>0.1</v>
      </c>
      <c r="E2506" s="633">
        <v>0.11</v>
      </c>
      <c r="F2506" s="633"/>
      <c r="G2506" s="633"/>
    </row>
    <row r="2507" spans="1:7" ht="18.75" x14ac:dyDescent="0.25">
      <c r="A2507" s="629" t="s">
        <v>3071</v>
      </c>
      <c r="B2507" s="630">
        <v>3</v>
      </c>
      <c r="C2507" s="631" t="str">
        <f t="shared" si="43"/>
        <v>Ô tô tự đổ 27 tấn3</v>
      </c>
      <c r="D2507" s="633">
        <v>0.1</v>
      </c>
      <c r="E2507" s="633">
        <v>0.11</v>
      </c>
      <c r="F2507" s="633"/>
      <c r="G2507" s="633"/>
    </row>
    <row r="2508" spans="1:7" ht="18.75" x14ac:dyDescent="0.25">
      <c r="A2508" s="629" t="s">
        <v>3071</v>
      </c>
      <c r="B2508" s="630">
        <v>4</v>
      </c>
      <c r="C2508" s="631" t="str">
        <f t="shared" si="43"/>
        <v>Ô tô tự đổ 27 tấn4</v>
      </c>
      <c r="D2508" s="633">
        <v>0.1</v>
      </c>
      <c r="E2508" s="633">
        <v>0.11</v>
      </c>
      <c r="F2508" s="633"/>
      <c r="G2508" s="633"/>
    </row>
    <row r="2509" spans="1:7" ht="18.75" x14ac:dyDescent="0.25">
      <c r="A2509" s="629" t="s">
        <v>3071</v>
      </c>
      <c r="B2509" s="630">
        <v>5</v>
      </c>
      <c r="C2509" s="631" t="str">
        <f t="shared" si="43"/>
        <v>Ô tô tự đổ 27 tấn5</v>
      </c>
      <c r="D2509" s="633">
        <v>0.1</v>
      </c>
      <c r="E2509" s="633">
        <v>0.11</v>
      </c>
      <c r="F2509" s="633"/>
      <c r="G2509" s="633"/>
    </row>
    <row r="2510" spans="1:7" ht="18.75" x14ac:dyDescent="0.25">
      <c r="A2510" s="629" t="s">
        <v>3071</v>
      </c>
      <c r="B2510" s="630">
        <v>6</v>
      </c>
      <c r="C2510" s="631" t="str">
        <f t="shared" si="43"/>
        <v>Ô tô tự đổ 27 tấn6</v>
      </c>
      <c r="D2510" s="633">
        <v>7.0000000000000007E-2</v>
      </c>
      <c r="E2510" s="633">
        <v>0.08</v>
      </c>
      <c r="F2510" s="633"/>
      <c r="G2510" s="633"/>
    </row>
    <row r="2511" spans="1:7" ht="18.75" x14ac:dyDescent="0.25">
      <c r="A2511" s="629" t="s">
        <v>3071</v>
      </c>
      <c r="B2511" s="630">
        <v>7</v>
      </c>
      <c r="C2511" s="631" t="str">
        <f t="shared" si="43"/>
        <v>Ô tô tự đổ 27 tấn7</v>
      </c>
      <c r="D2511" s="633">
        <v>7.0000000000000007E-2</v>
      </c>
      <c r="E2511" s="633">
        <v>0.08</v>
      </c>
      <c r="F2511" s="633"/>
      <c r="G2511" s="633"/>
    </row>
    <row r="2512" spans="1:7" ht="18.75" x14ac:dyDescent="0.25">
      <c r="A2512" s="629" t="s">
        <v>3071</v>
      </c>
      <c r="B2512" s="630">
        <v>8</v>
      </c>
      <c r="C2512" s="631" t="str">
        <f t="shared" si="43"/>
        <v>Ô tô tự đổ 27 tấn8</v>
      </c>
      <c r="D2512" s="633">
        <v>7.0000000000000007E-2</v>
      </c>
      <c r="E2512" s="633">
        <v>0.08</v>
      </c>
      <c r="F2512" s="633"/>
      <c r="G2512" s="633"/>
    </row>
    <row r="2513" spans="1:7" ht="18.75" x14ac:dyDescent="0.25">
      <c r="A2513" s="629" t="s">
        <v>3071</v>
      </c>
      <c r="B2513" s="630">
        <v>9</v>
      </c>
      <c r="C2513" s="631" t="str">
        <f t="shared" si="43"/>
        <v>Ô tô tự đổ 27 tấn9</v>
      </c>
      <c r="D2513" s="633">
        <v>7.0000000000000007E-2</v>
      </c>
      <c r="E2513" s="633">
        <v>0.08</v>
      </c>
      <c r="F2513" s="633"/>
      <c r="G2513" s="633"/>
    </row>
    <row r="2514" spans="1:7" ht="18.75" x14ac:dyDescent="0.25">
      <c r="A2514" s="629" t="s">
        <v>3071</v>
      </c>
      <c r="B2514" s="630">
        <v>10</v>
      </c>
      <c r="C2514" s="631" t="str">
        <f t="shared" si="43"/>
        <v>Ô tô tự đổ 27 tấn10</v>
      </c>
      <c r="D2514" s="633">
        <v>7.0000000000000007E-2</v>
      </c>
      <c r="E2514" s="633">
        <v>0.08</v>
      </c>
      <c r="F2514" s="633"/>
      <c r="G2514" s="633"/>
    </row>
    <row r="2515" spans="1:7" ht="18.75" x14ac:dyDescent="0.25">
      <c r="A2515" s="629" t="s">
        <v>3071</v>
      </c>
      <c r="B2515" s="630">
        <v>11</v>
      </c>
      <c r="C2515" s="631" t="str">
        <f t="shared" si="43"/>
        <v>Ô tô tự đổ 27 tấn11</v>
      </c>
      <c r="D2515" s="633">
        <v>0.06</v>
      </c>
      <c r="E2515" s="633">
        <v>7.0000000000000007E-2</v>
      </c>
      <c r="F2515" s="633"/>
      <c r="G2515" s="633"/>
    </row>
    <row r="2516" spans="1:7" ht="18.75" x14ac:dyDescent="0.25">
      <c r="A2516" s="629" t="s">
        <v>3071</v>
      </c>
      <c r="B2516" s="630">
        <v>12</v>
      </c>
      <c r="C2516" s="631" t="str">
        <f t="shared" si="43"/>
        <v>Ô tô tự đổ 27 tấn12</v>
      </c>
      <c r="D2516" s="633">
        <v>0.06</v>
      </c>
      <c r="E2516" s="633">
        <v>7.0000000000000007E-2</v>
      </c>
      <c r="F2516" s="633"/>
      <c r="G2516" s="633"/>
    </row>
    <row r="2517" spans="1:7" ht="18.75" x14ac:dyDescent="0.25">
      <c r="A2517" s="629" t="s">
        <v>3071</v>
      </c>
      <c r="B2517" s="630">
        <v>13</v>
      </c>
      <c r="C2517" s="631" t="str">
        <f t="shared" si="43"/>
        <v>Ô tô tự đổ 27 tấn13</v>
      </c>
      <c r="D2517" s="633">
        <v>0.06</v>
      </c>
      <c r="E2517" s="633">
        <v>7.0000000000000007E-2</v>
      </c>
      <c r="F2517" s="633"/>
      <c r="G2517" s="633"/>
    </row>
    <row r="2518" spans="1:7" ht="18.75" x14ac:dyDescent="0.25">
      <c r="A2518" s="629" t="s">
        <v>3071</v>
      </c>
      <c r="B2518" s="630">
        <v>14</v>
      </c>
      <c r="C2518" s="631" t="str">
        <f t="shared" si="43"/>
        <v>Ô tô tự đổ 27 tấn14</v>
      </c>
      <c r="D2518" s="633">
        <v>0.06</v>
      </c>
      <c r="E2518" s="633">
        <v>7.0000000000000007E-2</v>
      </c>
      <c r="F2518" s="633"/>
      <c r="G2518" s="633"/>
    </row>
    <row r="2519" spans="1:7" ht="18.75" x14ac:dyDescent="0.25">
      <c r="A2519" s="629" t="s">
        <v>3071</v>
      </c>
      <c r="B2519" s="630">
        <v>15</v>
      </c>
      <c r="C2519" s="631" t="str">
        <f t="shared" si="43"/>
        <v>Ô tô tự đổ 27 tấn15</v>
      </c>
      <c r="D2519" s="633">
        <v>0.06</v>
      </c>
      <c r="E2519" s="633">
        <v>7.0000000000000007E-2</v>
      </c>
      <c r="F2519" s="633"/>
      <c r="G2519" s="633"/>
    </row>
    <row r="2520" spans="1:7" ht="18.75" x14ac:dyDescent="0.25">
      <c r="A2520" s="629" t="s">
        <v>3071</v>
      </c>
      <c r="B2520" s="630">
        <v>16</v>
      </c>
      <c r="C2520" s="631" t="str">
        <f t="shared" si="43"/>
        <v>Ô tô tự đổ 27 tấn16</v>
      </c>
      <c r="D2520" s="633">
        <v>0.05</v>
      </c>
      <c r="E2520" s="633">
        <v>0.06</v>
      </c>
      <c r="F2520" s="633"/>
      <c r="G2520" s="633"/>
    </row>
    <row r="2521" spans="1:7" ht="18.75" x14ac:dyDescent="0.25">
      <c r="A2521" s="629" t="s">
        <v>3071</v>
      </c>
      <c r="B2521" s="630">
        <v>17</v>
      </c>
      <c r="C2521" s="631" t="str">
        <f t="shared" si="43"/>
        <v>Ô tô tự đổ 27 tấn17</v>
      </c>
      <c r="D2521" s="633">
        <v>0.05</v>
      </c>
      <c r="E2521" s="633">
        <v>0.06</v>
      </c>
      <c r="F2521" s="633"/>
      <c r="G2521" s="633"/>
    </row>
    <row r="2522" spans="1:7" ht="18.75" x14ac:dyDescent="0.25">
      <c r="A2522" s="629" t="s">
        <v>3071</v>
      </c>
      <c r="B2522" s="630">
        <v>18</v>
      </c>
      <c r="C2522" s="631" t="str">
        <f t="shared" si="43"/>
        <v>Ô tô tự đổ 27 tấn18</v>
      </c>
      <c r="D2522" s="633">
        <v>0.05</v>
      </c>
      <c r="E2522" s="633">
        <v>0.06</v>
      </c>
      <c r="F2522" s="633"/>
      <c r="G2522" s="633"/>
    </row>
    <row r="2523" spans="1:7" ht="18.75" x14ac:dyDescent="0.25">
      <c r="A2523" s="629" t="s">
        <v>3071</v>
      </c>
      <c r="B2523" s="630">
        <v>19</v>
      </c>
      <c r="C2523" s="631" t="str">
        <f t="shared" si="43"/>
        <v>Ô tô tự đổ 27 tấn19</v>
      </c>
      <c r="D2523" s="633">
        <v>0.05</v>
      </c>
      <c r="E2523" s="633">
        <v>0.06</v>
      </c>
      <c r="F2523" s="633"/>
      <c r="G2523" s="633"/>
    </row>
    <row r="2524" spans="1:7" ht="18.75" x14ac:dyDescent="0.25">
      <c r="A2524" s="629" t="s">
        <v>3071</v>
      </c>
      <c r="B2524" s="630">
        <v>20</v>
      </c>
      <c r="C2524" s="631" t="str">
        <f t="shared" si="43"/>
        <v>Ô tô tự đổ 27 tấn20</v>
      </c>
      <c r="D2524" s="633">
        <v>0.05</v>
      </c>
      <c r="E2524" s="633">
        <v>0.06</v>
      </c>
      <c r="F2524" s="633"/>
      <c r="G2524" s="633"/>
    </row>
    <row r="2525" spans="1:7" ht="18.75" x14ac:dyDescent="0.25">
      <c r="A2525" s="629" t="s">
        <v>3071</v>
      </c>
      <c r="B2525" s="630">
        <v>21</v>
      </c>
      <c r="C2525" s="631" t="str">
        <f t="shared" si="43"/>
        <v>Ô tô tự đổ 27 tấn21</v>
      </c>
      <c r="D2525" s="630"/>
      <c r="E2525" s="630"/>
      <c r="F2525" s="630"/>
      <c r="G2525" s="630"/>
    </row>
    <row r="2526" spans="1:7" ht="18.75" x14ac:dyDescent="0.25">
      <c r="A2526" s="629" t="s">
        <v>3071</v>
      </c>
      <c r="B2526" s="630">
        <v>22</v>
      </c>
      <c r="C2526" s="631" t="str">
        <f t="shared" si="43"/>
        <v>Ô tô tự đổ 27 tấn22</v>
      </c>
      <c r="D2526" s="630"/>
      <c r="E2526" s="630"/>
      <c r="F2526" s="630"/>
      <c r="G2526" s="630"/>
    </row>
    <row r="2527" spans="1:7" ht="18.75" x14ac:dyDescent="0.25">
      <c r="A2527" s="629" t="s">
        <v>3071</v>
      </c>
      <c r="B2527" s="630">
        <v>23</v>
      </c>
      <c r="C2527" s="631" t="str">
        <f t="shared" si="43"/>
        <v>Ô tô tự đổ 27 tấn23</v>
      </c>
      <c r="D2527" s="630"/>
      <c r="E2527" s="630"/>
      <c r="F2527" s="630"/>
      <c r="G2527" s="630"/>
    </row>
    <row r="2528" spans="1:7" ht="18.75" x14ac:dyDescent="0.25">
      <c r="A2528" s="629" t="s">
        <v>3071</v>
      </c>
      <c r="B2528" s="630">
        <v>24</v>
      </c>
      <c r="C2528" s="631" t="str">
        <f t="shared" si="43"/>
        <v>Ô tô tự đổ 27 tấn24</v>
      </c>
      <c r="D2528" s="630"/>
      <c r="E2528" s="630"/>
      <c r="F2528" s="630"/>
      <c r="G2528" s="630"/>
    </row>
    <row r="2529" spans="1:7" ht="18.75" x14ac:dyDescent="0.25">
      <c r="A2529" s="629" t="s">
        <v>3071</v>
      </c>
      <c r="B2529" s="630">
        <v>25</v>
      </c>
      <c r="C2529" s="631" t="str">
        <f t="shared" si="43"/>
        <v>Ô tô tự đổ 27 tấn25</v>
      </c>
      <c r="D2529" s="630"/>
      <c r="E2529" s="630"/>
      <c r="F2529" s="630"/>
      <c r="G2529" s="630"/>
    </row>
    <row r="2530" spans="1:7" ht="18.75" x14ac:dyDescent="0.25">
      <c r="A2530" s="629" t="s">
        <v>3071</v>
      </c>
      <c r="B2530" s="630">
        <v>26</v>
      </c>
      <c r="C2530" s="631" t="str">
        <f t="shared" si="43"/>
        <v>Ô tô tự đổ 27 tấn26</v>
      </c>
      <c r="D2530" s="630"/>
      <c r="E2530" s="630"/>
      <c r="F2530" s="630"/>
      <c r="G2530" s="630"/>
    </row>
    <row r="2531" spans="1:7" ht="18.75" x14ac:dyDescent="0.25">
      <c r="A2531" s="629" t="s">
        <v>3071</v>
      </c>
      <c r="B2531" s="630">
        <v>27</v>
      </c>
      <c r="C2531" s="631" t="str">
        <f t="shared" si="43"/>
        <v>Ô tô tự đổ 27 tấn27</v>
      </c>
      <c r="D2531" s="630"/>
      <c r="E2531" s="630"/>
      <c r="F2531" s="630"/>
      <c r="G2531" s="630"/>
    </row>
    <row r="2532" spans="1:7" ht="18.75" x14ac:dyDescent="0.25">
      <c r="A2532" s="629" t="s">
        <v>3071</v>
      </c>
      <c r="B2532" s="630">
        <v>28</v>
      </c>
      <c r="C2532" s="631" t="str">
        <f t="shared" si="43"/>
        <v>Ô tô tự đổ 27 tấn28</v>
      </c>
      <c r="D2532" s="630"/>
      <c r="E2532" s="630"/>
      <c r="F2532" s="630"/>
      <c r="G2532" s="630"/>
    </row>
    <row r="2533" spans="1:7" ht="18.75" x14ac:dyDescent="0.25">
      <c r="A2533" s="629" t="s">
        <v>3071</v>
      </c>
      <c r="B2533" s="630">
        <v>29</v>
      </c>
      <c r="C2533" s="631" t="str">
        <f t="shared" si="43"/>
        <v>Ô tô tự đổ 27 tấn29</v>
      </c>
      <c r="D2533" s="630"/>
      <c r="E2533" s="630"/>
      <c r="F2533" s="630"/>
      <c r="G2533" s="630"/>
    </row>
    <row r="2534" spans="1:7" ht="18.75" x14ac:dyDescent="0.25">
      <c r="A2534" s="629" t="s">
        <v>3071</v>
      </c>
      <c r="B2534" s="630">
        <v>30</v>
      </c>
      <c r="C2534" s="631" t="str">
        <f t="shared" si="43"/>
        <v>Ô tô tự đổ 27 tấn30</v>
      </c>
      <c r="D2534" s="630"/>
      <c r="E2534" s="630"/>
      <c r="F2534" s="630"/>
      <c r="G2534" s="630"/>
    </row>
    <row r="2535" spans="1:7" ht="18.75" x14ac:dyDescent="0.25">
      <c r="A2535" s="629" t="s">
        <v>3071</v>
      </c>
      <c r="B2535" s="630">
        <v>31</v>
      </c>
      <c r="C2535" s="631" t="str">
        <f t="shared" si="43"/>
        <v>Ô tô tự đổ 27 tấn31</v>
      </c>
      <c r="D2535" s="630"/>
      <c r="E2535" s="630"/>
      <c r="F2535" s="630"/>
      <c r="G2535" s="630"/>
    </row>
    <row r="2536" spans="1:7" ht="18.75" x14ac:dyDescent="0.25">
      <c r="A2536" s="629" t="s">
        <v>3071</v>
      </c>
      <c r="B2536" s="630">
        <v>32</v>
      </c>
      <c r="C2536" s="631" t="str">
        <f t="shared" si="43"/>
        <v>Ô tô tự đổ 27 tấn32</v>
      </c>
      <c r="D2536" s="630"/>
      <c r="E2536" s="630"/>
      <c r="F2536" s="630"/>
      <c r="G2536" s="630"/>
    </row>
    <row r="2537" spans="1:7" ht="18.75" x14ac:dyDescent="0.25">
      <c r="A2537" s="629" t="s">
        <v>3071</v>
      </c>
      <c r="B2537" s="630">
        <v>33</v>
      </c>
      <c r="C2537" s="631" t="str">
        <f t="shared" si="43"/>
        <v>Ô tô tự đổ 27 tấn33</v>
      </c>
      <c r="D2537" s="630"/>
      <c r="E2537" s="630"/>
      <c r="F2537" s="630"/>
      <c r="G2537" s="630"/>
    </row>
    <row r="2538" spans="1:7" ht="18.75" x14ac:dyDescent="0.25">
      <c r="A2538" s="629" t="s">
        <v>3071</v>
      </c>
      <c r="B2538" s="630">
        <v>34</v>
      </c>
      <c r="C2538" s="631" t="str">
        <f t="shared" si="43"/>
        <v>Ô tô tự đổ 27 tấn34</v>
      </c>
      <c r="D2538" s="630"/>
      <c r="E2538" s="630"/>
      <c r="F2538" s="630"/>
      <c r="G2538" s="630"/>
    </row>
    <row r="2539" spans="1:7" ht="18.75" x14ac:dyDescent="0.25">
      <c r="A2539" s="629" t="s">
        <v>3071</v>
      </c>
      <c r="B2539" s="630">
        <v>35</v>
      </c>
      <c r="C2539" s="631" t="str">
        <f t="shared" si="43"/>
        <v>Ô tô tự đổ 27 tấn35</v>
      </c>
      <c r="D2539" s="630"/>
      <c r="E2539" s="630"/>
      <c r="F2539" s="630"/>
      <c r="G2539" s="630"/>
    </row>
    <row r="2540" spans="1:7" ht="18.75" x14ac:dyDescent="0.25">
      <c r="A2540" s="629" t="s">
        <v>3071</v>
      </c>
      <c r="B2540" s="630">
        <v>36</v>
      </c>
      <c r="C2540" s="631" t="str">
        <f t="shared" si="43"/>
        <v>Ô tô tự đổ 27 tấn36</v>
      </c>
      <c r="D2540" s="630"/>
      <c r="E2540" s="630"/>
      <c r="F2540" s="630"/>
      <c r="G2540" s="630"/>
    </row>
    <row r="2541" spans="1:7" ht="18.75" x14ac:dyDescent="0.25">
      <c r="A2541" s="629" t="s">
        <v>3071</v>
      </c>
      <c r="B2541" s="630">
        <v>37</v>
      </c>
      <c r="C2541" s="631" t="str">
        <f t="shared" si="43"/>
        <v>Ô tô tự đổ 27 tấn37</v>
      </c>
      <c r="D2541" s="630"/>
      <c r="E2541" s="630"/>
      <c r="F2541" s="630"/>
      <c r="G2541" s="630"/>
    </row>
    <row r="2542" spans="1:7" ht="18.75" x14ac:dyDescent="0.25">
      <c r="A2542" s="629" t="s">
        <v>3071</v>
      </c>
      <c r="B2542" s="630">
        <v>38</v>
      </c>
      <c r="C2542" s="631" t="str">
        <f t="shared" si="43"/>
        <v>Ô tô tự đổ 27 tấn38</v>
      </c>
      <c r="D2542" s="630"/>
      <c r="E2542" s="630"/>
      <c r="F2542" s="630"/>
      <c r="G2542" s="630"/>
    </row>
    <row r="2543" spans="1:7" ht="18.75" x14ac:dyDescent="0.25">
      <c r="A2543" s="629" t="s">
        <v>3071</v>
      </c>
      <c r="B2543" s="630">
        <v>39</v>
      </c>
      <c r="C2543" s="631" t="str">
        <f t="shared" si="43"/>
        <v>Ô tô tự đổ 27 tấn39</v>
      </c>
      <c r="D2543" s="630"/>
      <c r="E2543" s="630"/>
      <c r="F2543" s="630"/>
      <c r="G2543" s="630"/>
    </row>
    <row r="2544" spans="1:7" ht="18.75" x14ac:dyDescent="0.25">
      <c r="A2544" s="629" t="s">
        <v>3071</v>
      </c>
      <c r="B2544" s="630">
        <v>40</v>
      </c>
      <c r="C2544" s="631" t="str">
        <f t="shared" si="43"/>
        <v>Ô tô tự đổ 27 tấn40</v>
      </c>
      <c r="D2544" s="630"/>
      <c r="E2544" s="630"/>
      <c r="F2544" s="630"/>
      <c r="G2544" s="630"/>
    </row>
    <row r="2545" spans="1:7" ht="18.75" x14ac:dyDescent="0.25">
      <c r="A2545" s="629" t="s">
        <v>3071</v>
      </c>
      <c r="B2545" s="630">
        <v>41</v>
      </c>
      <c r="C2545" s="631" t="str">
        <f t="shared" si="43"/>
        <v>Ô tô tự đổ 27 tấn41</v>
      </c>
      <c r="D2545" s="630"/>
      <c r="E2545" s="630"/>
      <c r="F2545" s="630"/>
      <c r="G2545" s="630"/>
    </row>
    <row r="2546" spans="1:7" ht="18.75" x14ac:dyDescent="0.25">
      <c r="A2546" s="629" t="s">
        <v>3071</v>
      </c>
      <c r="B2546" s="630">
        <v>42</v>
      </c>
      <c r="C2546" s="631" t="str">
        <f t="shared" si="43"/>
        <v>Ô tô tự đổ 27 tấn42</v>
      </c>
      <c r="D2546" s="630"/>
      <c r="E2546" s="630"/>
      <c r="F2546" s="630"/>
      <c r="G2546" s="630"/>
    </row>
    <row r="2547" spans="1:7" ht="18.75" x14ac:dyDescent="0.25">
      <c r="A2547" s="629" t="s">
        <v>3071</v>
      </c>
      <c r="B2547" s="630">
        <v>43</v>
      </c>
      <c r="C2547" s="631" t="str">
        <f t="shared" si="43"/>
        <v>Ô tô tự đổ 27 tấn43</v>
      </c>
      <c r="D2547" s="630"/>
      <c r="E2547" s="630"/>
      <c r="F2547" s="630"/>
      <c r="G2547" s="630"/>
    </row>
    <row r="2548" spans="1:7" ht="18.75" x14ac:dyDescent="0.25">
      <c r="A2548" s="629" t="s">
        <v>3071</v>
      </c>
      <c r="B2548" s="630">
        <v>44</v>
      </c>
      <c r="C2548" s="631" t="str">
        <f t="shared" si="43"/>
        <v>Ô tô tự đổ 27 tấn44</v>
      </c>
      <c r="D2548" s="630"/>
      <c r="E2548" s="630"/>
      <c r="F2548" s="630"/>
      <c r="G2548" s="630"/>
    </row>
    <row r="2549" spans="1:7" ht="18.75" x14ac:dyDescent="0.25">
      <c r="A2549" s="629" t="s">
        <v>3071</v>
      </c>
      <c r="B2549" s="630">
        <v>45</v>
      </c>
      <c r="C2549" s="631" t="str">
        <f t="shared" si="43"/>
        <v>Ô tô tự đổ 27 tấn45</v>
      </c>
      <c r="D2549" s="630"/>
      <c r="E2549" s="630"/>
      <c r="F2549" s="630"/>
      <c r="G2549" s="630"/>
    </row>
    <row r="2550" spans="1:7" ht="18.75" x14ac:dyDescent="0.25">
      <c r="A2550" s="629" t="s">
        <v>3071</v>
      </c>
      <c r="B2550" s="630">
        <v>46</v>
      </c>
      <c r="C2550" s="631" t="str">
        <f t="shared" si="43"/>
        <v>Ô tô tự đổ 27 tấn46</v>
      </c>
      <c r="D2550" s="630"/>
      <c r="E2550" s="630"/>
      <c r="F2550" s="630"/>
      <c r="G2550" s="630"/>
    </row>
    <row r="2551" spans="1:7" ht="18.75" x14ac:dyDescent="0.25">
      <c r="A2551" s="629" t="s">
        <v>3071</v>
      </c>
      <c r="B2551" s="630">
        <v>47</v>
      </c>
      <c r="C2551" s="631" t="str">
        <f t="shared" si="43"/>
        <v>Ô tô tự đổ 27 tấn47</v>
      </c>
      <c r="D2551" s="630"/>
      <c r="E2551" s="630"/>
      <c r="F2551" s="630"/>
      <c r="G2551" s="630"/>
    </row>
    <row r="2552" spans="1:7" ht="18.75" x14ac:dyDescent="0.25">
      <c r="A2552" s="629" t="s">
        <v>3071</v>
      </c>
      <c r="B2552" s="630">
        <v>48</v>
      </c>
      <c r="C2552" s="631" t="str">
        <f t="shared" si="43"/>
        <v>Ô tô tự đổ 27 tấn48</v>
      </c>
      <c r="D2552" s="630"/>
      <c r="E2552" s="630"/>
      <c r="F2552" s="630"/>
      <c r="G2552" s="630"/>
    </row>
    <row r="2553" spans="1:7" ht="18.75" x14ac:dyDescent="0.25">
      <c r="A2553" s="629" t="s">
        <v>3071</v>
      </c>
      <c r="B2553" s="630">
        <v>49</v>
      </c>
      <c r="C2553" s="631" t="str">
        <f t="shared" si="43"/>
        <v>Ô tô tự đổ 27 tấn49</v>
      </c>
      <c r="D2553" s="630"/>
      <c r="E2553" s="630"/>
      <c r="F2553" s="630"/>
      <c r="G2553" s="630"/>
    </row>
    <row r="2554" spans="1:7" ht="18.75" x14ac:dyDescent="0.25">
      <c r="A2554" s="629" t="s">
        <v>3071</v>
      </c>
      <c r="B2554" s="630">
        <v>50</v>
      </c>
      <c r="C2554" s="631" t="str">
        <f t="shared" si="43"/>
        <v>Ô tô tự đổ 27 tấn50</v>
      </c>
      <c r="D2554" s="630"/>
      <c r="E2554" s="630"/>
      <c r="F2554" s="630"/>
      <c r="G2554" s="630"/>
    </row>
    <row r="2555" spans="1:7" ht="18.75" x14ac:dyDescent="0.25">
      <c r="A2555" s="629" t="s">
        <v>3071</v>
      </c>
      <c r="B2555" s="630">
        <v>51</v>
      </c>
      <c r="C2555" s="631" t="str">
        <f t="shared" si="43"/>
        <v>Ô tô tự đổ 27 tấn51</v>
      </c>
      <c r="D2555" s="630"/>
      <c r="E2555" s="630"/>
      <c r="F2555" s="630"/>
      <c r="G2555" s="630"/>
    </row>
    <row r="2556" spans="1:7" ht="18.75" x14ac:dyDescent="0.25">
      <c r="A2556" s="629" t="s">
        <v>3071</v>
      </c>
      <c r="B2556" s="630">
        <v>52</v>
      </c>
      <c r="C2556" s="631" t="str">
        <f t="shared" si="43"/>
        <v>Ô tô tự đổ 27 tấn52</v>
      </c>
      <c r="D2556" s="630"/>
      <c r="E2556" s="630"/>
      <c r="F2556" s="630"/>
      <c r="G2556" s="630"/>
    </row>
    <row r="2557" spans="1:7" ht="18.75" x14ac:dyDescent="0.25">
      <c r="A2557" s="629" t="s">
        <v>3071</v>
      </c>
      <c r="B2557" s="630">
        <v>53</v>
      </c>
      <c r="C2557" s="631" t="str">
        <f t="shared" si="43"/>
        <v>Ô tô tự đổ 27 tấn53</v>
      </c>
      <c r="D2557" s="630"/>
      <c r="E2557" s="630"/>
      <c r="F2557" s="630"/>
      <c r="G2557" s="630"/>
    </row>
    <row r="2558" spans="1:7" ht="18.75" x14ac:dyDescent="0.25">
      <c r="A2558" s="629" t="s">
        <v>3071</v>
      </c>
      <c r="B2558" s="630">
        <v>54</v>
      </c>
      <c r="C2558" s="631" t="str">
        <f t="shared" si="43"/>
        <v>Ô tô tự đổ 27 tấn54</v>
      </c>
      <c r="D2558" s="630"/>
      <c r="E2558" s="630"/>
      <c r="F2558" s="630"/>
      <c r="G2558" s="630"/>
    </row>
    <row r="2559" spans="1:7" ht="18.75" x14ac:dyDescent="0.25">
      <c r="A2559" s="629" t="s">
        <v>3071</v>
      </c>
      <c r="B2559" s="630">
        <v>55</v>
      </c>
      <c r="C2559" s="631" t="str">
        <f t="shared" si="43"/>
        <v>Ô tô tự đổ 27 tấn55</v>
      </c>
      <c r="D2559" s="630"/>
      <c r="E2559" s="630"/>
      <c r="F2559" s="630"/>
      <c r="G2559" s="630"/>
    </row>
    <row r="2560" spans="1:7" ht="18.75" x14ac:dyDescent="0.25">
      <c r="A2560" s="629" t="s">
        <v>3071</v>
      </c>
      <c r="B2560" s="630">
        <v>56</v>
      </c>
      <c r="C2560" s="631" t="str">
        <f t="shared" si="43"/>
        <v>Ô tô tự đổ 27 tấn56</v>
      </c>
      <c r="D2560" s="630"/>
      <c r="E2560" s="630"/>
      <c r="F2560" s="630"/>
      <c r="G2560" s="630"/>
    </row>
    <row r="2561" spans="1:7" ht="18.75" x14ac:dyDescent="0.25">
      <c r="A2561" s="629" t="s">
        <v>3071</v>
      </c>
      <c r="B2561" s="630">
        <v>57</v>
      </c>
      <c r="C2561" s="631" t="str">
        <f t="shared" si="43"/>
        <v>Ô tô tự đổ 27 tấn57</v>
      </c>
      <c r="D2561" s="630"/>
      <c r="E2561" s="630"/>
      <c r="F2561" s="630"/>
      <c r="G2561" s="630"/>
    </row>
    <row r="2562" spans="1:7" ht="18.75" x14ac:dyDescent="0.25">
      <c r="A2562" s="629" t="s">
        <v>3071</v>
      </c>
      <c r="B2562" s="630">
        <v>58</v>
      </c>
      <c r="C2562" s="631" t="str">
        <f t="shared" si="43"/>
        <v>Ô tô tự đổ 27 tấn58</v>
      </c>
      <c r="D2562" s="630"/>
      <c r="E2562" s="630"/>
      <c r="F2562" s="630"/>
      <c r="G2562" s="630"/>
    </row>
    <row r="2563" spans="1:7" ht="18.75" x14ac:dyDescent="0.25">
      <c r="A2563" s="629" t="s">
        <v>3071</v>
      </c>
      <c r="B2563" s="630">
        <v>59</v>
      </c>
      <c r="C2563" s="631" t="str">
        <f t="shared" si="43"/>
        <v>Ô tô tự đổ 27 tấn59</v>
      </c>
      <c r="D2563" s="630"/>
      <c r="E2563" s="630"/>
      <c r="F2563" s="630"/>
      <c r="G2563" s="630"/>
    </row>
    <row r="2564" spans="1:7" ht="18.75" x14ac:dyDescent="0.25">
      <c r="A2564" s="629" t="s">
        <v>3071</v>
      </c>
      <c r="B2564" s="630">
        <v>60</v>
      </c>
      <c r="C2564" s="631" t="str">
        <f t="shared" si="43"/>
        <v>Ô tô tự đổ 27 tấn60</v>
      </c>
      <c r="D2564" s="630"/>
      <c r="E2564" s="630"/>
      <c r="F2564" s="630"/>
      <c r="G2564" s="630"/>
    </row>
    <row r="2565" spans="1:7" ht="18.75" x14ac:dyDescent="0.25">
      <c r="A2565" s="629" t="s">
        <v>3071</v>
      </c>
      <c r="B2565" s="630">
        <v>61</v>
      </c>
      <c r="C2565" s="631" t="str">
        <f t="shared" si="43"/>
        <v>Ô tô tự đổ 27 tấn61</v>
      </c>
      <c r="D2565" s="630"/>
      <c r="E2565" s="630"/>
      <c r="F2565" s="630"/>
      <c r="G2565" s="630"/>
    </row>
    <row r="2566" spans="1:7" ht="18.75" x14ac:dyDescent="0.25">
      <c r="A2566" s="629" t="s">
        <v>3071</v>
      </c>
      <c r="B2566" s="630">
        <v>62</v>
      </c>
      <c r="C2566" s="631" t="str">
        <f t="shared" si="43"/>
        <v>Ô tô tự đổ 27 tấn62</v>
      </c>
      <c r="D2566" s="630"/>
      <c r="E2566" s="630"/>
      <c r="F2566" s="630"/>
      <c r="G2566" s="630"/>
    </row>
    <row r="2567" spans="1:7" ht="18.75" x14ac:dyDescent="0.25">
      <c r="A2567" s="629" t="s">
        <v>3071</v>
      </c>
      <c r="B2567" s="630">
        <v>63</v>
      </c>
      <c r="C2567" s="631" t="str">
        <f t="shared" si="43"/>
        <v>Ô tô tự đổ 27 tấn63</v>
      </c>
      <c r="D2567" s="630"/>
      <c r="E2567" s="630"/>
      <c r="F2567" s="630"/>
      <c r="G2567" s="630"/>
    </row>
    <row r="2568" spans="1:7" ht="18.75" x14ac:dyDescent="0.25">
      <c r="A2568" s="629" t="s">
        <v>3071</v>
      </c>
      <c r="B2568" s="630">
        <v>64</v>
      </c>
      <c r="C2568" s="631" t="str">
        <f t="shared" si="43"/>
        <v>Ô tô tự đổ 27 tấn64</v>
      </c>
      <c r="D2568" s="630"/>
      <c r="E2568" s="630"/>
      <c r="F2568" s="630"/>
      <c r="G2568" s="630"/>
    </row>
    <row r="2569" spans="1:7" ht="18.75" x14ac:dyDescent="0.25">
      <c r="A2569" s="629" t="s">
        <v>3071</v>
      </c>
      <c r="B2569" s="630">
        <v>65</v>
      </c>
      <c r="C2569" s="631" t="str">
        <f t="shared" si="43"/>
        <v>Ô tô tự đổ 27 tấn65</v>
      </c>
      <c r="D2569" s="630"/>
      <c r="E2569" s="630"/>
      <c r="F2569" s="630"/>
      <c r="G2569" s="630"/>
    </row>
    <row r="2570" spans="1:7" ht="18.75" x14ac:dyDescent="0.25">
      <c r="A2570" s="629" t="s">
        <v>3071</v>
      </c>
      <c r="B2570" s="630">
        <v>66</v>
      </c>
      <c r="C2570" s="631" t="str">
        <f t="shared" ref="C2570:C2633" si="44">A2570&amp;B2570</f>
        <v>Ô tô tự đổ 27 tấn66</v>
      </c>
      <c r="D2570" s="630"/>
      <c r="E2570" s="630"/>
      <c r="F2570" s="630"/>
      <c r="G2570" s="630"/>
    </row>
    <row r="2571" spans="1:7" ht="18.75" x14ac:dyDescent="0.25">
      <c r="A2571" s="629" t="s">
        <v>3071</v>
      </c>
      <c r="B2571" s="630">
        <v>67</v>
      </c>
      <c r="C2571" s="631" t="str">
        <f t="shared" si="44"/>
        <v>Ô tô tự đổ 27 tấn67</v>
      </c>
      <c r="D2571" s="630"/>
      <c r="E2571" s="630"/>
      <c r="F2571" s="630"/>
      <c r="G2571" s="630"/>
    </row>
    <row r="2572" spans="1:7" ht="18.75" x14ac:dyDescent="0.25">
      <c r="A2572" s="629" t="s">
        <v>3071</v>
      </c>
      <c r="B2572" s="630">
        <v>68</v>
      </c>
      <c r="C2572" s="631" t="str">
        <f t="shared" si="44"/>
        <v>Ô tô tự đổ 27 tấn68</v>
      </c>
      <c r="D2572" s="630"/>
      <c r="E2572" s="630"/>
      <c r="F2572" s="630"/>
      <c r="G2572" s="630"/>
    </row>
    <row r="2573" spans="1:7" ht="18.75" x14ac:dyDescent="0.25">
      <c r="A2573" s="629" t="s">
        <v>3071</v>
      </c>
      <c r="B2573" s="630">
        <v>69</v>
      </c>
      <c r="C2573" s="631" t="str">
        <f t="shared" si="44"/>
        <v>Ô tô tự đổ 27 tấn69</v>
      </c>
      <c r="D2573" s="630"/>
      <c r="E2573" s="630"/>
      <c r="F2573" s="630"/>
      <c r="G2573" s="630"/>
    </row>
    <row r="2574" spans="1:7" ht="18.75" x14ac:dyDescent="0.25">
      <c r="A2574" s="629" t="s">
        <v>3071</v>
      </c>
      <c r="B2574" s="630">
        <v>70</v>
      </c>
      <c r="C2574" s="631" t="str">
        <f t="shared" si="44"/>
        <v>Ô tô tự đổ 27 tấn70</v>
      </c>
      <c r="D2574" s="630"/>
      <c r="E2574" s="630"/>
      <c r="F2574" s="630"/>
      <c r="G2574" s="630"/>
    </row>
    <row r="2575" spans="1:7" ht="18.75" x14ac:dyDescent="0.25">
      <c r="A2575" s="629" t="s">
        <v>3071</v>
      </c>
      <c r="B2575" s="630">
        <v>71</v>
      </c>
      <c r="C2575" s="631" t="str">
        <f t="shared" si="44"/>
        <v>Ô tô tự đổ 27 tấn71</v>
      </c>
      <c r="D2575" s="630"/>
      <c r="E2575" s="630"/>
      <c r="F2575" s="630"/>
      <c r="G2575" s="630"/>
    </row>
    <row r="2576" spans="1:7" ht="18.75" x14ac:dyDescent="0.25">
      <c r="A2576" s="629" t="s">
        <v>3071</v>
      </c>
      <c r="B2576" s="630">
        <v>72</v>
      </c>
      <c r="C2576" s="631" t="str">
        <f t="shared" si="44"/>
        <v>Ô tô tự đổ 27 tấn72</v>
      </c>
      <c r="D2576" s="630"/>
      <c r="E2576" s="630"/>
      <c r="F2576" s="630"/>
      <c r="G2576" s="630"/>
    </row>
    <row r="2577" spans="1:7" ht="18.75" x14ac:dyDescent="0.25">
      <c r="A2577" s="629" t="s">
        <v>3071</v>
      </c>
      <c r="B2577" s="630">
        <v>73</v>
      </c>
      <c r="C2577" s="631" t="str">
        <f t="shared" si="44"/>
        <v>Ô tô tự đổ 27 tấn73</v>
      </c>
      <c r="D2577" s="630"/>
      <c r="E2577" s="630"/>
      <c r="F2577" s="630"/>
      <c r="G2577" s="630"/>
    </row>
    <row r="2578" spans="1:7" ht="18.75" x14ac:dyDescent="0.25">
      <c r="A2578" s="629" t="s">
        <v>3071</v>
      </c>
      <c r="B2578" s="630">
        <v>74</v>
      </c>
      <c r="C2578" s="631" t="str">
        <f t="shared" si="44"/>
        <v>Ô tô tự đổ 27 tấn74</v>
      </c>
      <c r="D2578" s="630"/>
      <c r="E2578" s="630"/>
      <c r="F2578" s="630"/>
      <c r="G2578" s="630"/>
    </row>
    <row r="2579" spans="1:7" ht="18.75" x14ac:dyDescent="0.25">
      <c r="A2579" s="629" t="s">
        <v>3071</v>
      </c>
      <c r="B2579" s="630">
        <v>75</v>
      </c>
      <c r="C2579" s="631" t="str">
        <f t="shared" si="44"/>
        <v>Ô tô tự đổ 27 tấn75</v>
      </c>
      <c r="D2579" s="630"/>
      <c r="E2579" s="630"/>
      <c r="F2579" s="630"/>
      <c r="G2579" s="630"/>
    </row>
    <row r="2580" spans="1:7" ht="18.75" x14ac:dyDescent="0.25">
      <c r="A2580" s="629" t="s">
        <v>3071</v>
      </c>
      <c r="B2580" s="630">
        <v>76</v>
      </c>
      <c r="C2580" s="631" t="str">
        <f t="shared" si="44"/>
        <v>Ô tô tự đổ 27 tấn76</v>
      </c>
      <c r="D2580" s="630"/>
      <c r="E2580" s="630"/>
      <c r="F2580" s="630"/>
      <c r="G2580" s="630"/>
    </row>
    <row r="2581" spans="1:7" ht="18.75" x14ac:dyDescent="0.25">
      <c r="A2581" s="629" t="s">
        <v>3071</v>
      </c>
      <c r="B2581" s="630">
        <v>77</v>
      </c>
      <c r="C2581" s="631" t="str">
        <f t="shared" si="44"/>
        <v>Ô tô tự đổ 27 tấn77</v>
      </c>
      <c r="D2581" s="630"/>
      <c r="E2581" s="630"/>
      <c r="F2581" s="630"/>
      <c r="G2581" s="630"/>
    </row>
    <row r="2582" spans="1:7" ht="18.75" x14ac:dyDescent="0.25">
      <c r="A2582" s="629" t="s">
        <v>3071</v>
      </c>
      <c r="B2582" s="630">
        <v>78</v>
      </c>
      <c r="C2582" s="631" t="str">
        <f t="shared" si="44"/>
        <v>Ô tô tự đổ 27 tấn78</v>
      </c>
      <c r="D2582" s="630"/>
      <c r="E2582" s="630"/>
      <c r="F2582" s="630"/>
      <c r="G2582" s="630"/>
    </row>
    <row r="2583" spans="1:7" ht="18.75" x14ac:dyDescent="0.25">
      <c r="A2583" s="629" t="s">
        <v>3071</v>
      </c>
      <c r="B2583" s="630">
        <v>79</v>
      </c>
      <c r="C2583" s="631" t="str">
        <f t="shared" si="44"/>
        <v>Ô tô tự đổ 27 tấn79</v>
      </c>
      <c r="D2583" s="630"/>
      <c r="E2583" s="630"/>
      <c r="F2583" s="630"/>
      <c r="G2583" s="630"/>
    </row>
    <row r="2584" spans="1:7" ht="18.75" x14ac:dyDescent="0.25">
      <c r="A2584" s="629" t="s">
        <v>3071</v>
      </c>
      <c r="B2584" s="630">
        <v>80</v>
      </c>
      <c r="C2584" s="631" t="str">
        <f t="shared" si="44"/>
        <v>Ô tô tự đổ 27 tấn80</v>
      </c>
      <c r="D2584" s="630"/>
      <c r="E2584" s="630"/>
      <c r="F2584" s="630"/>
      <c r="G2584" s="630"/>
    </row>
    <row r="2585" spans="1:7" ht="18.75" x14ac:dyDescent="0.25">
      <c r="A2585" s="629" t="s">
        <v>3071</v>
      </c>
      <c r="B2585" s="630">
        <v>81</v>
      </c>
      <c r="C2585" s="631" t="str">
        <f t="shared" si="44"/>
        <v>Ô tô tự đổ 27 tấn81</v>
      </c>
      <c r="D2585" s="630"/>
      <c r="E2585" s="630"/>
      <c r="F2585" s="630"/>
      <c r="G2585" s="630"/>
    </row>
    <row r="2586" spans="1:7" ht="18.75" x14ac:dyDescent="0.25">
      <c r="A2586" s="629" t="s">
        <v>3071</v>
      </c>
      <c r="B2586" s="630">
        <v>82</v>
      </c>
      <c r="C2586" s="631" t="str">
        <f t="shared" si="44"/>
        <v>Ô tô tự đổ 27 tấn82</v>
      </c>
      <c r="D2586" s="630"/>
      <c r="E2586" s="630"/>
      <c r="F2586" s="630"/>
      <c r="G2586" s="630"/>
    </row>
    <row r="2587" spans="1:7" ht="18.75" x14ac:dyDescent="0.25">
      <c r="A2587" s="629" t="s">
        <v>3071</v>
      </c>
      <c r="B2587" s="630">
        <v>83</v>
      </c>
      <c r="C2587" s="631" t="str">
        <f t="shared" si="44"/>
        <v>Ô tô tự đổ 27 tấn83</v>
      </c>
      <c r="D2587" s="630"/>
      <c r="E2587" s="630"/>
      <c r="F2587" s="630"/>
      <c r="G2587" s="630"/>
    </row>
    <row r="2588" spans="1:7" ht="18.75" x14ac:dyDescent="0.25">
      <c r="A2588" s="629" t="s">
        <v>3071</v>
      </c>
      <c r="B2588" s="630">
        <v>84</v>
      </c>
      <c r="C2588" s="631" t="str">
        <f t="shared" si="44"/>
        <v>Ô tô tự đổ 27 tấn84</v>
      </c>
      <c r="D2588" s="630"/>
      <c r="E2588" s="630"/>
      <c r="F2588" s="630"/>
      <c r="G2588" s="630"/>
    </row>
    <row r="2589" spans="1:7" ht="18.75" x14ac:dyDescent="0.25">
      <c r="A2589" s="629" t="s">
        <v>3071</v>
      </c>
      <c r="B2589" s="630">
        <v>85</v>
      </c>
      <c r="C2589" s="631" t="str">
        <f t="shared" si="44"/>
        <v>Ô tô tự đổ 27 tấn85</v>
      </c>
      <c r="D2589" s="630"/>
      <c r="E2589" s="630"/>
      <c r="F2589" s="630"/>
      <c r="G2589" s="630"/>
    </row>
    <row r="2590" spans="1:7" ht="18.75" x14ac:dyDescent="0.25">
      <c r="A2590" s="629" t="s">
        <v>3071</v>
      </c>
      <c r="B2590" s="630">
        <v>86</v>
      </c>
      <c r="C2590" s="631" t="str">
        <f t="shared" si="44"/>
        <v>Ô tô tự đổ 27 tấn86</v>
      </c>
      <c r="D2590" s="630"/>
      <c r="E2590" s="630"/>
      <c r="F2590" s="630"/>
      <c r="G2590" s="630"/>
    </row>
    <row r="2591" spans="1:7" ht="18.75" x14ac:dyDescent="0.25">
      <c r="A2591" s="629" t="s">
        <v>3071</v>
      </c>
      <c r="B2591" s="630">
        <v>87</v>
      </c>
      <c r="C2591" s="631" t="str">
        <f t="shared" si="44"/>
        <v>Ô tô tự đổ 27 tấn87</v>
      </c>
      <c r="D2591" s="630"/>
      <c r="E2591" s="630"/>
      <c r="F2591" s="630"/>
      <c r="G2591" s="630"/>
    </row>
    <row r="2592" spans="1:7" ht="18.75" x14ac:dyDescent="0.25">
      <c r="A2592" s="629" t="s">
        <v>3071</v>
      </c>
      <c r="B2592" s="630">
        <v>88</v>
      </c>
      <c r="C2592" s="631" t="str">
        <f t="shared" si="44"/>
        <v>Ô tô tự đổ 27 tấn88</v>
      </c>
      <c r="D2592" s="630"/>
      <c r="E2592" s="630"/>
      <c r="F2592" s="630"/>
      <c r="G2592" s="630"/>
    </row>
    <row r="2593" spans="1:7" ht="18.75" x14ac:dyDescent="0.25">
      <c r="A2593" s="629" t="s">
        <v>3071</v>
      </c>
      <c r="B2593" s="630">
        <v>89</v>
      </c>
      <c r="C2593" s="631" t="str">
        <f t="shared" si="44"/>
        <v>Ô tô tự đổ 27 tấn89</v>
      </c>
      <c r="D2593" s="630"/>
      <c r="E2593" s="630"/>
      <c r="F2593" s="630"/>
      <c r="G2593" s="630"/>
    </row>
    <row r="2594" spans="1:7" ht="18.75" x14ac:dyDescent="0.25">
      <c r="A2594" s="629" t="s">
        <v>3071</v>
      </c>
      <c r="B2594" s="630">
        <v>90</v>
      </c>
      <c r="C2594" s="631" t="str">
        <f t="shared" si="44"/>
        <v>Ô tô tự đổ 27 tấn90</v>
      </c>
      <c r="D2594" s="630"/>
      <c r="E2594" s="630"/>
      <c r="F2594" s="630"/>
      <c r="G2594" s="630"/>
    </row>
    <row r="2595" spans="1:7" ht="18.75" x14ac:dyDescent="0.25">
      <c r="A2595" s="629" t="s">
        <v>3071</v>
      </c>
      <c r="B2595" s="630">
        <v>91</v>
      </c>
      <c r="C2595" s="631" t="str">
        <f t="shared" si="44"/>
        <v>Ô tô tự đổ 27 tấn91</v>
      </c>
      <c r="D2595" s="630"/>
      <c r="E2595" s="630"/>
      <c r="F2595" s="630"/>
      <c r="G2595" s="630"/>
    </row>
    <row r="2596" spans="1:7" ht="18.75" x14ac:dyDescent="0.25">
      <c r="A2596" s="629" t="s">
        <v>3071</v>
      </c>
      <c r="B2596" s="630">
        <v>92</v>
      </c>
      <c r="C2596" s="631" t="str">
        <f t="shared" si="44"/>
        <v>Ô tô tự đổ 27 tấn92</v>
      </c>
      <c r="D2596" s="630"/>
      <c r="E2596" s="630"/>
      <c r="F2596" s="630"/>
      <c r="G2596" s="630"/>
    </row>
    <row r="2597" spans="1:7" ht="18.75" x14ac:dyDescent="0.25">
      <c r="A2597" s="629" t="s">
        <v>3071</v>
      </c>
      <c r="B2597" s="630">
        <v>93</v>
      </c>
      <c r="C2597" s="631" t="str">
        <f t="shared" si="44"/>
        <v>Ô tô tự đổ 27 tấn93</v>
      </c>
      <c r="D2597" s="630"/>
      <c r="E2597" s="630"/>
      <c r="F2597" s="630"/>
      <c r="G2597" s="630"/>
    </row>
    <row r="2598" spans="1:7" ht="18.75" x14ac:dyDescent="0.25">
      <c r="A2598" s="629" t="s">
        <v>3071</v>
      </c>
      <c r="B2598" s="630">
        <v>94</v>
      </c>
      <c r="C2598" s="631" t="str">
        <f t="shared" si="44"/>
        <v>Ô tô tự đổ 27 tấn94</v>
      </c>
      <c r="D2598" s="630"/>
      <c r="E2598" s="630"/>
      <c r="F2598" s="630"/>
      <c r="G2598" s="630"/>
    </row>
    <row r="2599" spans="1:7" ht="18.75" x14ac:dyDescent="0.25">
      <c r="A2599" s="629" t="s">
        <v>3071</v>
      </c>
      <c r="B2599" s="630">
        <v>95</v>
      </c>
      <c r="C2599" s="631" t="str">
        <f t="shared" si="44"/>
        <v>Ô tô tự đổ 27 tấn95</v>
      </c>
      <c r="D2599" s="630"/>
      <c r="E2599" s="630"/>
      <c r="F2599" s="630"/>
      <c r="G2599" s="630"/>
    </row>
    <row r="2600" spans="1:7" ht="18.75" x14ac:dyDescent="0.25">
      <c r="A2600" s="629" t="s">
        <v>3071</v>
      </c>
      <c r="B2600" s="630">
        <v>96</v>
      </c>
      <c r="C2600" s="631" t="str">
        <f t="shared" si="44"/>
        <v>Ô tô tự đổ 27 tấn96</v>
      </c>
      <c r="D2600" s="630"/>
      <c r="E2600" s="630"/>
      <c r="F2600" s="630"/>
      <c r="G2600" s="630"/>
    </row>
    <row r="2601" spans="1:7" ht="18.75" x14ac:dyDescent="0.25">
      <c r="A2601" s="629" t="s">
        <v>3071</v>
      </c>
      <c r="B2601" s="630">
        <v>97</v>
      </c>
      <c r="C2601" s="631" t="str">
        <f t="shared" si="44"/>
        <v>Ô tô tự đổ 27 tấn97</v>
      </c>
      <c r="D2601" s="630"/>
      <c r="E2601" s="630"/>
      <c r="F2601" s="630"/>
      <c r="G2601" s="630"/>
    </row>
    <row r="2602" spans="1:7" ht="18.75" x14ac:dyDescent="0.25">
      <c r="A2602" s="629" t="s">
        <v>3071</v>
      </c>
      <c r="B2602" s="630">
        <v>98</v>
      </c>
      <c r="C2602" s="631" t="str">
        <f t="shared" si="44"/>
        <v>Ô tô tự đổ 27 tấn98</v>
      </c>
      <c r="D2602" s="630"/>
      <c r="E2602" s="630"/>
      <c r="F2602" s="630"/>
      <c r="G2602" s="630"/>
    </row>
    <row r="2603" spans="1:7" ht="18.75" x14ac:dyDescent="0.25">
      <c r="A2603" s="629" t="s">
        <v>3071</v>
      </c>
      <c r="B2603" s="630">
        <v>99</v>
      </c>
      <c r="C2603" s="631" t="str">
        <f t="shared" si="44"/>
        <v>Ô tô tự đổ 27 tấn99</v>
      </c>
      <c r="D2603" s="630"/>
      <c r="E2603" s="630"/>
      <c r="F2603" s="630"/>
      <c r="G2603" s="630"/>
    </row>
    <row r="2604" spans="1:7" ht="18.75" x14ac:dyDescent="0.25">
      <c r="A2604" s="629" t="s">
        <v>3071</v>
      </c>
      <c r="B2604" s="630">
        <v>100</v>
      </c>
      <c r="C2604" s="631" t="str">
        <f t="shared" si="44"/>
        <v>Ô tô tự đổ 27 tấn100</v>
      </c>
      <c r="D2604" s="630"/>
      <c r="E2604" s="630"/>
      <c r="F2604" s="630"/>
      <c r="G2604" s="630"/>
    </row>
    <row r="2605" spans="1:7" ht="18.75" x14ac:dyDescent="0.25">
      <c r="A2605" s="629" t="s">
        <v>3071</v>
      </c>
      <c r="B2605" s="630">
        <v>101</v>
      </c>
      <c r="C2605" s="631" t="str">
        <f t="shared" si="44"/>
        <v>Ô tô tự đổ 27 tấn101</v>
      </c>
      <c r="D2605" s="630"/>
      <c r="E2605" s="630"/>
      <c r="F2605" s="630"/>
      <c r="G2605" s="630"/>
    </row>
    <row r="2606" spans="1:7" ht="18.75" x14ac:dyDescent="0.25">
      <c r="A2606" s="629" t="s">
        <v>3071</v>
      </c>
      <c r="B2606" s="630">
        <v>102</v>
      </c>
      <c r="C2606" s="631" t="str">
        <f t="shared" si="44"/>
        <v>Ô tô tự đổ 27 tấn102</v>
      </c>
      <c r="D2606" s="630"/>
      <c r="E2606" s="630"/>
      <c r="F2606" s="630"/>
      <c r="G2606" s="630"/>
    </row>
    <row r="2607" spans="1:7" ht="18.75" x14ac:dyDescent="0.25">
      <c r="A2607" s="629" t="s">
        <v>3071</v>
      </c>
      <c r="B2607" s="630">
        <v>103</v>
      </c>
      <c r="C2607" s="631" t="str">
        <f t="shared" si="44"/>
        <v>Ô tô tự đổ 27 tấn103</v>
      </c>
      <c r="D2607" s="630"/>
      <c r="E2607" s="630"/>
      <c r="F2607" s="630"/>
      <c r="G2607" s="630"/>
    </row>
    <row r="2608" spans="1:7" ht="18.75" x14ac:dyDescent="0.25">
      <c r="A2608" s="629" t="s">
        <v>3071</v>
      </c>
      <c r="B2608" s="630">
        <v>104</v>
      </c>
      <c r="C2608" s="631" t="str">
        <f t="shared" si="44"/>
        <v>Ô tô tự đổ 27 tấn104</v>
      </c>
      <c r="D2608" s="630"/>
      <c r="E2608" s="630"/>
      <c r="F2608" s="630"/>
      <c r="G2608" s="630"/>
    </row>
    <row r="2609" spans="1:7" ht="18.75" x14ac:dyDescent="0.25">
      <c r="A2609" s="629" t="s">
        <v>3071</v>
      </c>
      <c r="B2609" s="630">
        <v>105</v>
      </c>
      <c r="C2609" s="631" t="str">
        <f t="shared" si="44"/>
        <v>Ô tô tự đổ 27 tấn105</v>
      </c>
      <c r="D2609" s="630"/>
      <c r="E2609" s="630"/>
      <c r="F2609" s="630"/>
      <c r="G2609" s="630"/>
    </row>
    <row r="2610" spans="1:7" ht="18.75" x14ac:dyDescent="0.25">
      <c r="A2610" s="629" t="s">
        <v>3071</v>
      </c>
      <c r="B2610" s="630">
        <v>106</v>
      </c>
      <c r="C2610" s="631" t="str">
        <f t="shared" si="44"/>
        <v>Ô tô tự đổ 27 tấn106</v>
      </c>
      <c r="D2610" s="630"/>
      <c r="E2610" s="630"/>
      <c r="F2610" s="630"/>
      <c r="G2610" s="630"/>
    </row>
    <row r="2611" spans="1:7" ht="18.75" x14ac:dyDescent="0.25">
      <c r="A2611" s="629" t="s">
        <v>3071</v>
      </c>
      <c r="B2611" s="630">
        <v>107</v>
      </c>
      <c r="C2611" s="631" t="str">
        <f t="shared" si="44"/>
        <v>Ô tô tự đổ 27 tấn107</v>
      </c>
      <c r="D2611" s="630"/>
      <c r="E2611" s="630"/>
      <c r="F2611" s="630"/>
      <c r="G2611" s="630"/>
    </row>
    <row r="2612" spans="1:7" ht="18.75" x14ac:dyDescent="0.25">
      <c r="A2612" s="629" t="s">
        <v>3071</v>
      </c>
      <c r="B2612" s="630">
        <v>108</v>
      </c>
      <c r="C2612" s="631" t="str">
        <f t="shared" si="44"/>
        <v>Ô tô tự đổ 27 tấn108</v>
      </c>
      <c r="D2612" s="630"/>
      <c r="E2612" s="630"/>
      <c r="F2612" s="630"/>
      <c r="G2612" s="630"/>
    </row>
    <row r="2613" spans="1:7" ht="18.75" x14ac:dyDescent="0.25">
      <c r="A2613" s="629" t="s">
        <v>3071</v>
      </c>
      <c r="B2613" s="630">
        <v>109</v>
      </c>
      <c r="C2613" s="631" t="str">
        <f t="shared" si="44"/>
        <v>Ô tô tự đổ 27 tấn109</v>
      </c>
      <c r="D2613" s="630"/>
      <c r="E2613" s="630"/>
      <c r="F2613" s="630"/>
      <c r="G2613" s="630"/>
    </row>
    <row r="2614" spans="1:7" ht="18.75" x14ac:dyDescent="0.25">
      <c r="A2614" s="629" t="s">
        <v>3071</v>
      </c>
      <c r="B2614" s="630">
        <v>110</v>
      </c>
      <c r="C2614" s="631" t="str">
        <f t="shared" si="44"/>
        <v>Ô tô tự đổ 27 tấn110</v>
      </c>
      <c r="D2614" s="630"/>
      <c r="E2614" s="630"/>
      <c r="F2614" s="630"/>
      <c r="G2614" s="630"/>
    </row>
    <row r="2615" spans="1:7" ht="18.75" x14ac:dyDescent="0.25">
      <c r="A2615" s="629" t="s">
        <v>3071</v>
      </c>
      <c r="B2615" s="630">
        <v>111</v>
      </c>
      <c r="C2615" s="631" t="str">
        <f t="shared" si="44"/>
        <v>Ô tô tự đổ 27 tấn111</v>
      </c>
      <c r="D2615" s="630"/>
      <c r="E2615" s="630"/>
      <c r="F2615" s="630"/>
      <c r="G2615" s="630"/>
    </row>
    <row r="2616" spans="1:7" ht="18.75" x14ac:dyDescent="0.25">
      <c r="A2616" s="629" t="s">
        <v>3071</v>
      </c>
      <c r="B2616" s="630">
        <v>112</v>
      </c>
      <c r="C2616" s="631" t="str">
        <f t="shared" si="44"/>
        <v>Ô tô tự đổ 27 tấn112</v>
      </c>
      <c r="D2616" s="630"/>
      <c r="E2616" s="630"/>
      <c r="F2616" s="630"/>
      <c r="G2616" s="630"/>
    </row>
    <row r="2617" spans="1:7" ht="18.75" x14ac:dyDescent="0.25">
      <c r="A2617" s="629" t="s">
        <v>3071</v>
      </c>
      <c r="B2617" s="630">
        <v>113</v>
      </c>
      <c r="C2617" s="631" t="str">
        <f t="shared" si="44"/>
        <v>Ô tô tự đổ 27 tấn113</v>
      </c>
      <c r="D2617" s="630"/>
      <c r="E2617" s="630"/>
      <c r="F2617" s="630"/>
      <c r="G2617" s="630"/>
    </row>
    <row r="2618" spans="1:7" ht="18.75" x14ac:dyDescent="0.25">
      <c r="A2618" s="629" t="s">
        <v>3071</v>
      </c>
      <c r="B2618" s="630">
        <v>114</v>
      </c>
      <c r="C2618" s="631" t="str">
        <f t="shared" si="44"/>
        <v>Ô tô tự đổ 27 tấn114</v>
      </c>
      <c r="D2618" s="630"/>
      <c r="E2618" s="630"/>
      <c r="F2618" s="630"/>
      <c r="G2618" s="630"/>
    </row>
    <row r="2619" spans="1:7" ht="18.75" x14ac:dyDescent="0.25">
      <c r="A2619" s="629" t="s">
        <v>3071</v>
      </c>
      <c r="B2619" s="630">
        <v>115</v>
      </c>
      <c r="C2619" s="631" t="str">
        <f t="shared" si="44"/>
        <v>Ô tô tự đổ 27 tấn115</v>
      </c>
      <c r="D2619" s="630"/>
      <c r="E2619" s="630"/>
      <c r="F2619" s="630"/>
      <c r="G2619" s="630"/>
    </row>
    <row r="2620" spans="1:7" ht="18.75" x14ac:dyDescent="0.25">
      <c r="A2620" s="629" t="s">
        <v>3071</v>
      </c>
      <c r="B2620" s="630">
        <v>116</v>
      </c>
      <c r="C2620" s="631" t="str">
        <f t="shared" si="44"/>
        <v>Ô tô tự đổ 27 tấn116</v>
      </c>
      <c r="D2620" s="630"/>
      <c r="E2620" s="630"/>
      <c r="F2620" s="630"/>
      <c r="G2620" s="630"/>
    </row>
    <row r="2621" spans="1:7" ht="18.75" x14ac:dyDescent="0.25">
      <c r="A2621" s="629" t="s">
        <v>3071</v>
      </c>
      <c r="B2621" s="630">
        <v>117</v>
      </c>
      <c r="C2621" s="631" t="str">
        <f t="shared" si="44"/>
        <v>Ô tô tự đổ 27 tấn117</v>
      </c>
      <c r="D2621" s="630"/>
      <c r="E2621" s="630"/>
      <c r="F2621" s="630"/>
      <c r="G2621" s="630"/>
    </row>
    <row r="2622" spans="1:7" ht="18.75" x14ac:dyDescent="0.25">
      <c r="A2622" s="629" t="s">
        <v>3071</v>
      </c>
      <c r="B2622" s="630">
        <v>118</v>
      </c>
      <c r="C2622" s="631" t="str">
        <f t="shared" si="44"/>
        <v>Ô tô tự đổ 27 tấn118</v>
      </c>
      <c r="D2622" s="630"/>
      <c r="E2622" s="630"/>
      <c r="F2622" s="630"/>
      <c r="G2622" s="630"/>
    </row>
    <row r="2623" spans="1:7" ht="18.75" x14ac:dyDescent="0.25">
      <c r="A2623" s="629" t="s">
        <v>3071</v>
      </c>
      <c r="B2623" s="630">
        <v>119</v>
      </c>
      <c r="C2623" s="631" t="str">
        <f t="shared" si="44"/>
        <v>Ô tô tự đổ 27 tấn119</v>
      </c>
      <c r="D2623" s="630"/>
      <c r="E2623" s="630"/>
      <c r="F2623" s="630"/>
      <c r="G2623" s="630"/>
    </row>
    <row r="2624" spans="1:7" ht="18.75" x14ac:dyDescent="0.25">
      <c r="A2624" s="629" t="s">
        <v>3071</v>
      </c>
      <c r="B2624" s="630">
        <v>120</v>
      </c>
      <c r="C2624" s="631" t="str">
        <f t="shared" si="44"/>
        <v>Ô tô tự đổ 27 tấn120</v>
      </c>
      <c r="D2624" s="630"/>
      <c r="E2624" s="630"/>
      <c r="F2624" s="630"/>
      <c r="G2624" s="630"/>
    </row>
    <row r="2625" spans="1:7" ht="18.75" x14ac:dyDescent="0.25">
      <c r="A2625" s="629" t="s">
        <v>3071</v>
      </c>
      <c r="B2625" s="630">
        <v>121</v>
      </c>
      <c r="C2625" s="631" t="str">
        <f t="shared" si="44"/>
        <v>Ô tô tự đổ 27 tấn121</v>
      </c>
      <c r="D2625" s="630"/>
      <c r="E2625" s="630"/>
      <c r="F2625" s="630"/>
      <c r="G2625" s="630"/>
    </row>
    <row r="2626" spans="1:7" ht="18.75" x14ac:dyDescent="0.25">
      <c r="A2626" s="629" t="s">
        <v>3071</v>
      </c>
      <c r="B2626" s="630">
        <v>122</v>
      </c>
      <c r="C2626" s="631" t="str">
        <f t="shared" si="44"/>
        <v>Ô tô tự đổ 27 tấn122</v>
      </c>
      <c r="D2626" s="630"/>
      <c r="E2626" s="630"/>
      <c r="F2626" s="630"/>
      <c r="G2626" s="630"/>
    </row>
    <row r="2627" spans="1:7" ht="18.75" x14ac:dyDescent="0.25">
      <c r="A2627" s="629" t="s">
        <v>3071</v>
      </c>
      <c r="B2627" s="630">
        <v>123</v>
      </c>
      <c r="C2627" s="631" t="str">
        <f t="shared" si="44"/>
        <v>Ô tô tự đổ 27 tấn123</v>
      </c>
      <c r="D2627" s="630"/>
      <c r="E2627" s="630"/>
      <c r="F2627" s="630"/>
      <c r="G2627" s="630"/>
    </row>
    <row r="2628" spans="1:7" ht="18.75" x14ac:dyDescent="0.25">
      <c r="A2628" s="629" t="s">
        <v>3071</v>
      </c>
      <c r="B2628" s="630">
        <v>124</v>
      </c>
      <c r="C2628" s="631" t="str">
        <f t="shared" si="44"/>
        <v>Ô tô tự đổ 27 tấn124</v>
      </c>
      <c r="D2628" s="630"/>
      <c r="E2628" s="630"/>
      <c r="F2628" s="630"/>
      <c r="G2628" s="630"/>
    </row>
    <row r="2629" spans="1:7" ht="18.75" x14ac:dyDescent="0.25">
      <c r="A2629" s="629" t="s">
        <v>3071</v>
      </c>
      <c r="B2629" s="630">
        <v>125</v>
      </c>
      <c r="C2629" s="631" t="str">
        <f t="shared" si="44"/>
        <v>Ô tô tự đổ 27 tấn125</v>
      </c>
      <c r="D2629" s="630"/>
      <c r="E2629" s="630"/>
      <c r="F2629" s="630"/>
      <c r="G2629" s="630"/>
    </row>
    <row r="2630" spans="1:7" ht="18.75" x14ac:dyDescent="0.25">
      <c r="A2630" s="629" t="s">
        <v>3071</v>
      </c>
      <c r="B2630" s="630">
        <v>126</v>
      </c>
      <c r="C2630" s="631" t="str">
        <f t="shared" si="44"/>
        <v>Ô tô tự đổ 27 tấn126</v>
      </c>
      <c r="D2630" s="630"/>
      <c r="E2630" s="630"/>
      <c r="F2630" s="630"/>
      <c r="G2630" s="630"/>
    </row>
    <row r="2631" spans="1:7" ht="18.75" x14ac:dyDescent="0.25">
      <c r="A2631" s="629" t="s">
        <v>3071</v>
      </c>
      <c r="B2631" s="630">
        <v>127</v>
      </c>
      <c r="C2631" s="631" t="str">
        <f t="shared" si="44"/>
        <v>Ô tô tự đổ 27 tấn127</v>
      </c>
      <c r="D2631" s="630"/>
      <c r="E2631" s="630"/>
      <c r="F2631" s="630"/>
      <c r="G2631" s="630"/>
    </row>
    <row r="2632" spans="1:7" ht="18.75" x14ac:dyDescent="0.25">
      <c r="A2632" s="629" t="s">
        <v>3071</v>
      </c>
      <c r="B2632" s="630">
        <v>128</v>
      </c>
      <c r="C2632" s="631" t="str">
        <f t="shared" si="44"/>
        <v>Ô tô tự đổ 27 tấn128</v>
      </c>
      <c r="D2632" s="630"/>
      <c r="E2632" s="630"/>
      <c r="F2632" s="630"/>
      <c r="G2632" s="630"/>
    </row>
    <row r="2633" spans="1:7" ht="18.75" x14ac:dyDescent="0.25">
      <c r="A2633" s="629" t="s">
        <v>3071</v>
      </c>
      <c r="B2633" s="630">
        <v>129</v>
      </c>
      <c r="C2633" s="631" t="str">
        <f t="shared" si="44"/>
        <v>Ô tô tự đổ 27 tấn129</v>
      </c>
      <c r="D2633" s="630"/>
      <c r="E2633" s="630"/>
      <c r="F2633" s="630"/>
      <c r="G2633" s="630"/>
    </row>
    <row r="2634" spans="1:7" ht="18.75" x14ac:dyDescent="0.25">
      <c r="A2634" s="629" t="s">
        <v>3071</v>
      </c>
      <c r="B2634" s="630">
        <v>130</v>
      </c>
      <c r="C2634" s="631" t="str">
        <f t="shared" ref="C2634:C2697" si="45">A2634&amp;B2634</f>
        <v>Ô tô tự đổ 27 tấn130</v>
      </c>
      <c r="D2634" s="630"/>
      <c r="E2634" s="630"/>
      <c r="F2634" s="630"/>
      <c r="G2634" s="630"/>
    </row>
    <row r="2635" spans="1:7" ht="18.75" x14ac:dyDescent="0.25">
      <c r="A2635" s="629" t="s">
        <v>3071</v>
      </c>
      <c r="B2635" s="630">
        <v>131</v>
      </c>
      <c r="C2635" s="631" t="str">
        <f t="shared" si="45"/>
        <v>Ô tô tự đổ 27 tấn131</v>
      </c>
      <c r="D2635" s="630"/>
      <c r="E2635" s="630"/>
      <c r="F2635" s="630"/>
      <c r="G2635" s="630"/>
    </row>
    <row r="2636" spans="1:7" ht="18.75" x14ac:dyDescent="0.25">
      <c r="A2636" s="629" t="s">
        <v>3071</v>
      </c>
      <c r="B2636" s="630">
        <v>132</v>
      </c>
      <c r="C2636" s="631" t="str">
        <f t="shared" si="45"/>
        <v>Ô tô tự đổ 27 tấn132</v>
      </c>
      <c r="D2636" s="630"/>
      <c r="E2636" s="630"/>
      <c r="F2636" s="630"/>
      <c r="G2636" s="630"/>
    </row>
    <row r="2637" spans="1:7" ht="18.75" x14ac:dyDescent="0.25">
      <c r="A2637" s="629" t="s">
        <v>3071</v>
      </c>
      <c r="B2637" s="630">
        <v>133</v>
      </c>
      <c r="C2637" s="631" t="str">
        <f t="shared" si="45"/>
        <v>Ô tô tự đổ 27 tấn133</v>
      </c>
      <c r="D2637" s="630"/>
      <c r="E2637" s="630"/>
      <c r="F2637" s="630"/>
      <c r="G2637" s="630"/>
    </row>
    <row r="2638" spans="1:7" ht="18.75" x14ac:dyDescent="0.25">
      <c r="A2638" s="629" t="s">
        <v>3071</v>
      </c>
      <c r="B2638" s="630">
        <v>134</v>
      </c>
      <c r="C2638" s="631" t="str">
        <f t="shared" si="45"/>
        <v>Ô tô tự đổ 27 tấn134</v>
      </c>
      <c r="D2638" s="630"/>
      <c r="E2638" s="630"/>
      <c r="F2638" s="630"/>
      <c r="G2638" s="630"/>
    </row>
    <row r="2639" spans="1:7" ht="18.75" x14ac:dyDescent="0.25">
      <c r="A2639" s="629" t="s">
        <v>3071</v>
      </c>
      <c r="B2639" s="630">
        <v>135</v>
      </c>
      <c r="C2639" s="631" t="str">
        <f t="shared" si="45"/>
        <v>Ô tô tự đổ 27 tấn135</v>
      </c>
      <c r="D2639" s="630"/>
      <c r="E2639" s="630"/>
      <c r="F2639" s="630"/>
      <c r="G2639" s="630"/>
    </row>
    <row r="2640" spans="1:7" ht="18.75" x14ac:dyDescent="0.25">
      <c r="A2640" s="629" t="s">
        <v>3071</v>
      </c>
      <c r="B2640" s="630">
        <v>136</v>
      </c>
      <c r="C2640" s="631" t="str">
        <f t="shared" si="45"/>
        <v>Ô tô tự đổ 27 tấn136</v>
      </c>
      <c r="D2640" s="630"/>
      <c r="E2640" s="630"/>
      <c r="F2640" s="630"/>
      <c r="G2640" s="630"/>
    </row>
    <row r="2641" spans="1:7" ht="18.75" x14ac:dyDescent="0.25">
      <c r="A2641" s="629" t="s">
        <v>3071</v>
      </c>
      <c r="B2641" s="630">
        <v>137</v>
      </c>
      <c r="C2641" s="631" t="str">
        <f t="shared" si="45"/>
        <v>Ô tô tự đổ 27 tấn137</v>
      </c>
      <c r="D2641" s="630"/>
      <c r="E2641" s="630"/>
      <c r="F2641" s="630"/>
      <c r="G2641" s="630"/>
    </row>
    <row r="2642" spans="1:7" ht="18.75" x14ac:dyDescent="0.25">
      <c r="A2642" s="629" t="s">
        <v>3071</v>
      </c>
      <c r="B2642" s="630">
        <v>138</v>
      </c>
      <c r="C2642" s="631" t="str">
        <f t="shared" si="45"/>
        <v>Ô tô tự đổ 27 tấn138</v>
      </c>
      <c r="D2642" s="630"/>
      <c r="E2642" s="630"/>
      <c r="F2642" s="630"/>
      <c r="G2642" s="630"/>
    </row>
    <row r="2643" spans="1:7" ht="18.75" x14ac:dyDescent="0.25">
      <c r="A2643" s="629" t="s">
        <v>3071</v>
      </c>
      <c r="B2643" s="630">
        <v>139</v>
      </c>
      <c r="C2643" s="631" t="str">
        <f t="shared" si="45"/>
        <v>Ô tô tự đổ 27 tấn139</v>
      </c>
      <c r="D2643" s="630"/>
      <c r="E2643" s="630"/>
      <c r="F2643" s="630"/>
      <c r="G2643" s="630"/>
    </row>
    <row r="2644" spans="1:7" ht="18.75" x14ac:dyDescent="0.25">
      <c r="A2644" s="629" t="s">
        <v>3071</v>
      </c>
      <c r="B2644" s="630">
        <v>140</v>
      </c>
      <c r="C2644" s="631" t="str">
        <f t="shared" si="45"/>
        <v>Ô tô tự đổ 27 tấn140</v>
      </c>
      <c r="D2644" s="630"/>
      <c r="E2644" s="630"/>
      <c r="F2644" s="630"/>
      <c r="G2644" s="630"/>
    </row>
    <row r="2645" spans="1:7" ht="18.75" x14ac:dyDescent="0.25">
      <c r="A2645" s="629" t="s">
        <v>3071</v>
      </c>
      <c r="B2645" s="630">
        <v>141</v>
      </c>
      <c r="C2645" s="631" t="str">
        <f t="shared" si="45"/>
        <v>Ô tô tự đổ 27 tấn141</v>
      </c>
      <c r="D2645" s="630"/>
      <c r="E2645" s="630"/>
      <c r="F2645" s="630"/>
      <c r="G2645" s="630"/>
    </row>
    <row r="2646" spans="1:7" ht="18.75" x14ac:dyDescent="0.25">
      <c r="A2646" s="629" t="s">
        <v>3071</v>
      </c>
      <c r="B2646" s="630">
        <v>142</v>
      </c>
      <c r="C2646" s="631" t="str">
        <f t="shared" si="45"/>
        <v>Ô tô tự đổ 27 tấn142</v>
      </c>
      <c r="D2646" s="630"/>
      <c r="E2646" s="630"/>
      <c r="F2646" s="630"/>
      <c r="G2646" s="630"/>
    </row>
    <row r="2647" spans="1:7" ht="18.75" x14ac:dyDescent="0.25">
      <c r="A2647" s="629" t="s">
        <v>3071</v>
      </c>
      <c r="B2647" s="630">
        <v>143</v>
      </c>
      <c r="C2647" s="631" t="str">
        <f t="shared" si="45"/>
        <v>Ô tô tự đổ 27 tấn143</v>
      </c>
      <c r="D2647" s="630"/>
      <c r="E2647" s="630"/>
      <c r="F2647" s="630"/>
      <c r="G2647" s="630"/>
    </row>
    <row r="2648" spans="1:7" ht="18.75" x14ac:dyDescent="0.25">
      <c r="A2648" s="629" t="s">
        <v>3071</v>
      </c>
      <c r="B2648" s="630">
        <v>144</v>
      </c>
      <c r="C2648" s="631" t="str">
        <f t="shared" si="45"/>
        <v>Ô tô tự đổ 27 tấn144</v>
      </c>
      <c r="D2648" s="630"/>
      <c r="E2648" s="630"/>
      <c r="F2648" s="630"/>
      <c r="G2648" s="630"/>
    </row>
    <row r="2649" spans="1:7" ht="18.75" x14ac:dyDescent="0.25">
      <c r="A2649" s="629" t="s">
        <v>3071</v>
      </c>
      <c r="B2649" s="630">
        <v>145</v>
      </c>
      <c r="C2649" s="631" t="str">
        <f t="shared" si="45"/>
        <v>Ô tô tự đổ 27 tấn145</v>
      </c>
      <c r="D2649" s="630"/>
      <c r="E2649" s="630"/>
      <c r="F2649" s="630"/>
      <c r="G2649" s="630"/>
    </row>
    <row r="2650" spans="1:7" ht="18.75" x14ac:dyDescent="0.25">
      <c r="A2650" s="629" t="s">
        <v>3071</v>
      </c>
      <c r="B2650" s="630">
        <v>146</v>
      </c>
      <c r="C2650" s="631" t="str">
        <f t="shared" si="45"/>
        <v>Ô tô tự đổ 27 tấn146</v>
      </c>
      <c r="D2650" s="630"/>
      <c r="E2650" s="630"/>
      <c r="F2650" s="630"/>
      <c r="G2650" s="630"/>
    </row>
    <row r="2651" spans="1:7" ht="18.75" x14ac:dyDescent="0.25">
      <c r="A2651" s="629" t="s">
        <v>3071</v>
      </c>
      <c r="B2651" s="630">
        <v>147</v>
      </c>
      <c r="C2651" s="631" t="str">
        <f t="shared" si="45"/>
        <v>Ô tô tự đổ 27 tấn147</v>
      </c>
      <c r="D2651" s="630"/>
      <c r="E2651" s="630"/>
      <c r="F2651" s="630"/>
      <c r="G2651" s="630"/>
    </row>
    <row r="2652" spans="1:7" ht="18.75" x14ac:dyDescent="0.25">
      <c r="A2652" s="629" t="s">
        <v>3071</v>
      </c>
      <c r="B2652" s="630">
        <v>148</v>
      </c>
      <c r="C2652" s="631" t="str">
        <f t="shared" si="45"/>
        <v>Ô tô tự đổ 27 tấn148</v>
      </c>
      <c r="D2652" s="630"/>
      <c r="E2652" s="630"/>
      <c r="F2652" s="630"/>
      <c r="G2652" s="630"/>
    </row>
    <row r="2653" spans="1:7" ht="18.75" x14ac:dyDescent="0.25">
      <c r="A2653" s="629" t="s">
        <v>3071</v>
      </c>
      <c r="B2653" s="630">
        <v>149</v>
      </c>
      <c r="C2653" s="631" t="str">
        <f t="shared" si="45"/>
        <v>Ô tô tự đổ 27 tấn149</v>
      </c>
      <c r="D2653" s="630"/>
      <c r="E2653" s="630"/>
      <c r="F2653" s="630"/>
      <c r="G2653" s="630"/>
    </row>
    <row r="2654" spans="1:7" ht="18.75" x14ac:dyDescent="0.25">
      <c r="A2654" s="629" t="s">
        <v>3071</v>
      </c>
      <c r="B2654" s="630">
        <v>150</v>
      </c>
      <c r="C2654" s="631" t="str">
        <f t="shared" si="45"/>
        <v>Ô tô tự đổ 27 tấn150</v>
      </c>
      <c r="D2654" s="630"/>
      <c r="E2654" s="630"/>
      <c r="F2654" s="630"/>
      <c r="G2654" s="630"/>
    </row>
    <row r="2655" spans="1:7" ht="18.75" x14ac:dyDescent="0.25">
      <c r="A2655" s="629" t="s">
        <v>3071</v>
      </c>
      <c r="B2655" s="630">
        <v>151</v>
      </c>
      <c r="C2655" s="631" t="str">
        <f t="shared" si="45"/>
        <v>Ô tô tự đổ 27 tấn151</v>
      </c>
      <c r="D2655" s="630"/>
      <c r="E2655" s="630"/>
      <c r="F2655" s="630"/>
      <c r="G2655" s="630"/>
    </row>
    <row r="2656" spans="1:7" ht="18.75" x14ac:dyDescent="0.25">
      <c r="A2656" s="629" t="s">
        <v>3071</v>
      </c>
      <c r="B2656" s="630">
        <v>152</v>
      </c>
      <c r="C2656" s="631" t="str">
        <f t="shared" si="45"/>
        <v>Ô tô tự đổ 27 tấn152</v>
      </c>
      <c r="D2656" s="630"/>
      <c r="E2656" s="630"/>
      <c r="F2656" s="630"/>
      <c r="G2656" s="630"/>
    </row>
    <row r="2657" spans="1:7" ht="18.75" x14ac:dyDescent="0.25">
      <c r="A2657" s="629" t="s">
        <v>3071</v>
      </c>
      <c r="B2657" s="630">
        <v>153</v>
      </c>
      <c r="C2657" s="631" t="str">
        <f t="shared" si="45"/>
        <v>Ô tô tự đổ 27 tấn153</v>
      </c>
      <c r="D2657" s="630"/>
      <c r="E2657" s="630"/>
      <c r="F2657" s="630"/>
      <c r="G2657" s="630"/>
    </row>
    <row r="2658" spans="1:7" ht="18.75" x14ac:dyDescent="0.25">
      <c r="A2658" s="629" t="s">
        <v>3071</v>
      </c>
      <c r="B2658" s="630">
        <v>154</v>
      </c>
      <c r="C2658" s="631" t="str">
        <f t="shared" si="45"/>
        <v>Ô tô tự đổ 27 tấn154</v>
      </c>
      <c r="D2658" s="630"/>
      <c r="E2658" s="630"/>
      <c r="F2658" s="630"/>
      <c r="G2658" s="630"/>
    </row>
    <row r="2659" spans="1:7" ht="18.75" x14ac:dyDescent="0.25">
      <c r="A2659" s="629" t="s">
        <v>3071</v>
      </c>
      <c r="B2659" s="630">
        <v>155</v>
      </c>
      <c r="C2659" s="631" t="str">
        <f t="shared" si="45"/>
        <v>Ô tô tự đổ 27 tấn155</v>
      </c>
      <c r="D2659" s="630"/>
      <c r="E2659" s="630"/>
      <c r="F2659" s="630"/>
      <c r="G2659" s="630"/>
    </row>
    <row r="2660" spans="1:7" ht="18.75" x14ac:dyDescent="0.25">
      <c r="A2660" s="629" t="s">
        <v>3071</v>
      </c>
      <c r="B2660" s="630">
        <v>156</v>
      </c>
      <c r="C2660" s="631" t="str">
        <f t="shared" si="45"/>
        <v>Ô tô tự đổ 27 tấn156</v>
      </c>
      <c r="D2660" s="630"/>
      <c r="E2660" s="630"/>
      <c r="F2660" s="630"/>
      <c r="G2660" s="630"/>
    </row>
    <row r="2661" spans="1:7" ht="18.75" x14ac:dyDescent="0.25">
      <c r="A2661" s="629" t="s">
        <v>3071</v>
      </c>
      <c r="B2661" s="630">
        <v>157</v>
      </c>
      <c r="C2661" s="631" t="str">
        <f t="shared" si="45"/>
        <v>Ô tô tự đổ 27 tấn157</v>
      </c>
      <c r="D2661" s="630"/>
      <c r="E2661" s="630"/>
      <c r="F2661" s="630"/>
      <c r="G2661" s="630"/>
    </row>
    <row r="2662" spans="1:7" ht="18.75" x14ac:dyDescent="0.25">
      <c r="A2662" s="629" t="s">
        <v>3071</v>
      </c>
      <c r="B2662" s="630">
        <v>158</v>
      </c>
      <c r="C2662" s="631" t="str">
        <f t="shared" si="45"/>
        <v>Ô tô tự đổ 27 tấn158</v>
      </c>
      <c r="D2662" s="630"/>
      <c r="E2662" s="630"/>
      <c r="F2662" s="630"/>
      <c r="G2662" s="630"/>
    </row>
    <row r="2663" spans="1:7" ht="18.75" x14ac:dyDescent="0.25">
      <c r="A2663" s="629" t="s">
        <v>3071</v>
      </c>
      <c r="B2663" s="630">
        <v>159</v>
      </c>
      <c r="C2663" s="631" t="str">
        <f t="shared" si="45"/>
        <v>Ô tô tự đổ 27 tấn159</v>
      </c>
      <c r="D2663" s="630"/>
      <c r="E2663" s="630"/>
      <c r="F2663" s="630"/>
      <c r="G2663" s="630"/>
    </row>
    <row r="2664" spans="1:7" ht="18.75" x14ac:dyDescent="0.25">
      <c r="A2664" s="629" t="s">
        <v>3071</v>
      </c>
      <c r="B2664" s="630">
        <v>160</v>
      </c>
      <c r="C2664" s="631" t="str">
        <f t="shared" si="45"/>
        <v>Ô tô tự đổ 27 tấn160</v>
      </c>
      <c r="D2664" s="630"/>
      <c r="E2664" s="630"/>
      <c r="F2664" s="630"/>
      <c r="G2664" s="630"/>
    </row>
    <row r="2665" spans="1:7" ht="18.75" x14ac:dyDescent="0.25">
      <c r="A2665" s="629" t="s">
        <v>3071</v>
      </c>
      <c r="B2665" s="630">
        <v>161</v>
      </c>
      <c r="C2665" s="631" t="str">
        <f t="shared" si="45"/>
        <v>Ô tô tự đổ 27 tấn161</v>
      </c>
      <c r="D2665" s="630"/>
      <c r="E2665" s="630"/>
      <c r="F2665" s="630"/>
      <c r="G2665" s="630"/>
    </row>
    <row r="2666" spans="1:7" ht="18.75" x14ac:dyDescent="0.25">
      <c r="A2666" s="629" t="s">
        <v>3071</v>
      </c>
      <c r="B2666" s="630">
        <v>162</v>
      </c>
      <c r="C2666" s="631" t="str">
        <f t="shared" si="45"/>
        <v>Ô tô tự đổ 27 tấn162</v>
      </c>
      <c r="D2666" s="630"/>
      <c r="E2666" s="630"/>
      <c r="F2666" s="630"/>
      <c r="G2666" s="630"/>
    </row>
    <row r="2667" spans="1:7" ht="18.75" x14ac:dyDescent="0.25">
      <c r="A2667" s="629" t="s">
        <v>3071</v>
      </c>
      <c r="B2667" s="630">
        <v>163</v>
      </c>
      <c r="C2667" s="631" t="str">
        <f t="shared" si="45"/>
        <v>Ô tô tự đổ 27 tấn163</v>
      </c>
      <c r="D2667" s="630"/>
      <c r="E2667" s="630"/>
      <c r="F2667" s="630"/>
      <c r="G2667" s="630"/>
    </row>
    <row r="2668" spans="1:7" ht="18.75" x14ac:dyDescent="0.25">
      <c r="A2668" s="629" t="s">
        <v>3071</v>
      </c>
      <c r="B2668" s="630">
        <v>164</v>
      </c>
      <c r="C2668" s="631" t="str">
        <f t="shared" si="45"/>
        <v>Ô tô tự đổ 27 tấn164</v>
      </c>
      <c r="D2668" s="630"/>
      <c r="E2668" s="630"/>
      <c r="F2668" s="630"/>
      <c r="G2668" s="630"/>
    </row>
    <row r="2669" spans="1:7" ht="18.75" x14ac:dyDescent="0.25">
      <c r="A2669" s="629" t="s">
        <v>3071</v>
      </c>
      <c r="B2669" s="630">
        <v>165</v>
      </c>
      <c r="C2669" s="631" t="str">
        <f t="shared" si="45"/>
        <v>Ô tô tự đổ 27 tấn165</v>
      </c>
      <c r="D2669" s="630"/>
      <c r="E2669" s="630"/>
      <c r="F2669" s="630"/>
      <c r="G2669" s="630"/>
    </row>
    <row r="2670" spans="1:7" ht="18.75" x14ac:dyDescent="0.25">
      <c r="A2670" s="629" t="s">
        <v>3071</v>
      </c>
      <c r="B2670" s="630">
        <v>166</v>
      </c>
      <c r="C2670" s="631" t="str">
        <f t="shared" si="45"/>
        <v>Ô tô tự đổ 27 tấn166</v>
      </c>
      <c r="D2670" s="630"/>
      <c r="E2670" s="630"/>
      <c r="F2670" s="630"/>
      <c r="G2670" s="630"/>
    </row>
    <row r="2671" spans="1:7" ht="18.75" x14ac:dyDescent="0.25">
      <c r="A2671" s="629" t="s">
        <v>3071</v>
      </c>
      <c r="B2671" s="630">
        <v>167</v>
      </c>
      <c r="C2671" s="631" t="str">
        <f t="shared" si="45"/>
        <v>Ô tô tự đổ 27 tấn167</v>
      </c>
      <c r="D2671" s="630"/>
      <c r="E2671" s="630"/>
      <c r="F2671" s="630"/>
      <c r="G2671" s="630"/>
    </row>
    <row r="2672" spans="1:7" ht="18.75" x14ac:dyDescent="0.25">
      <c r="A2672" s="629" t="s">
        <v>3071</v>
      </c>
      <c r="B2672" s="630">
        <v>168</v>
      </c>
      <c r="C2672" s="631" t="str">
        <f t="shared" si="45"/>
        <v>Ô tô tự đổ 27 tấn168</v>
      </c>
      <c r="D2672" s="630"/>
      <c r="E2672" s="630"/>
      <c r="F2672" s="630"/>
      <c r="G2672" s="630"/>
    </row>
    <row r="2673" spans="1:7" ht="18.75" x14ac:dyDescent="0.25">
      <c r="A2673" s="629" t="s">
        <v>3071</v>
      </c>
      <c r="B2673" s="630">
        <v>169</v>
      </c>
      <c r="C2673" s="631" t="str">
        <f t="shared" si="45"/>
        <v>Ô tô tự đổ 27 tấn169</v>
      </c>
      <c r="D2673" s="630"/>
      <c r="E2673" s="630"/>
      <c r="F2673" s="630"/>
      <c r="G2673" s="630"/>
    </row>
    <row r="2674" spans="1:7" ht="18.75" x14ac:dyDescent="0.25">
      <c r="A2674" s="629" t="s">
        <v>3071</v>
      </c>
      <c r="B2674" s="630">
        <v>170</v>
      </c>
      <c r="C2674" s="631" t="str">
        <f t="shared" si="45"/>
        <v>Ô tô tự đổ 27 tấn170</v>
      </c>
      <c r="D2674" s="630"/>
      <c r="E2674" s="630"/>
      <c r="F2674" s="630"/>
      <c r="G2674" s="630"/>
    </row>
    <row r="2675" spans="1:7" ht="18.75" x14ac:dyDescent="0.25">
      <c r="A2675" s="629" t="s">
        <v>3071</v>
      </c>
      <c r="B2675" s="630">
        <v>171</v>
      </c>
      <c r="C2675" s="631" t="str">
        <f t="shared" si="45"/>
        <v>Ô tô tự đổ 27 tấn171</v>
      </c>
      <c r="D2675" s="630"/>
      <c r="E2675" s="630"/>
      <c r="F2675" s="630"/>
      <c r="G2675" s="630"/>
    </row>
    <row r="2676" spans="1:7" ht="18.75" x14ac:dyDescent="0.25">
      <c r="A2676" s="629" t="s">
        <v>3071</v>
      </c>
      <c r="B2676" s="630">
        <v>172</v>
      </c>
      <c r="C2676" s="631" t="str">
        <f t="shared" si="45"/>
        <v>Ô tô tự đổ 27 tấn172</v>
      </c>
      <c r="D2676" s="630"/>
      <c r="E2676" s="630"/>
      <c r="F2676" s="630"/>
      <c r="G2676" s="630"/>
    </row>
    <row r="2677" spans="1:7" ht="18.75" x14ac:dyDescent="0.25">
      <c r="A2677" s="629" t="s">
        <v>3071</v>
      </c>
      <c r="B2677" s="630">
        <v>173</v>
      </c>
      <c r="C2677" s="631" t="str">
        <f t="shared" si="45"/>
        <v>Ô tô tự đổ 27 tấn173</v>
      </c>
      <c r="D2677" s="630"/>
      <c r="E2677" s="630"/>
      <c r="F2677" s="630"/>
      <c r="G2677" s="630"/>
    </row>
    <row r="2678" spans="1:7" ht="18.75" x14ac:dyDescent="0.25">
      <c r="A2678" s="629" t="s">
        <v>3071</v>
      </c>
      <c r="B2678" s="630">
        <v>174</v>
      </c>
      <c r="C2678" s="631" t="str">
        <f t="shared" si="45"/>
        <v>Ô tô tự đổ 27 tấn174</v>
      </c>
      <c r="D2678" s="630"/>
      <c r="E2678" s="630"/>
      <c r="F2678" s="630"/>
      <c r="G2678" s="630"/>
    </row>
    <row r="2679" spans="1:7" ht="18.75" x14ac:dyDescent="0.25">
      <c r="A2679" s="629" t="s">
        <v>3071</v>
      </c>
      <c r="B2679" s="630">
        <v>175</v>
      </c>
      <c r="C2679" s="631" t="str">
        <f t="shared" si="45"/>
        <v>Ô tô tự đổ 27 tấn175</v>
      </c>
      <c r="D2679" s="630"/>
      <c r="E2679" s="630"/>
      <c r="F2679" s="630"/>
      <c r="G2679" s="630"/>
    </row>
    <row r="2680" spans="1:7" ht="18.75" x14ac:dyDescent="0.25">
      <c r="A2680" s="629" t="s">
        <v>3071</v>
      </c>
      <c r="B2680" s="630">
        <v>176</v>
      </c>
      <c r="C2680" s="631" t="str">
        <f t="shared" si="45"/>
        <v>Ô tô tự đổ 27 tấn176</v>
      </c>
      <c r="D2680" s="630"/>
      <c r="E2680" s="630"/>
      <c r="F2680" s="630"/>
      <c r="G2680" s="630"/>
    </row>
    <row r="2681" spans="1:7" ht="18.75" x14ac:dyDescent="0.25">
      <c r="A2681" s="629" t="s">
        <v>3071</v>
      </c>
      <c r="B2681" s="630">
        <v>177</v>
      </c>
      <c r="C2681" s="631" t="str">
        <f t="shared" si="45"/>
        <v>Ô tô tự đổ 27 tấn177</v>
      </c>
      <c r="D2681" s="630"/>
      <c r="E2681" s="630"/>
      <c r="F2681" s="630"/>
      <c r="G2681" s="630"/>
    </row>
    <row r="2682" spans="1:7" ht="18.75" x14ac:dyDescent="0.25">
      <c r="A2682" s="629" t="s">
        <v>3071</v>
      </c>
      <c r="B2682" s="630">
        <v>178</v>
      </c>
      <c r="C2682" s="631" t="str">
        <f t="shared" si="45"/>
        <v>Ô tô tự đổ 27 tấn178</v>
      </c>
      <c r="D2682" s="630"/>
      <c r="E2682" s="630"/>
      <c r="F2682" s="630"/>
      <c r="G2682" s="630"/>
    </row>
    <row r="2683" spans="1:7" ht="18.75" x14ac:dyDescent="0.25">
      <c r="A2683" s="629" t="s">
        <v>3071</v>
      </c>
      <c r="B2683" s="630">
        <v>179</v>
      </c>
      <c r="C2683" s="631" t="str">
        <f t="shared" si="45"/>
        <v>Ô tô tự đổ 27 tấn179</v>
      </c>
      <c r="D2683" s="630"/>
      <c r="E2683" s="630"/>
      <c r="F2683" s="630"/>
      <c r="G2683" s="630"/>
    </row>
    <row r="2684" spans="1:7" ht="18.75" x14ac:dyDescent="0.25">
      <c r="A2684" s="629" t="s">
        <v>3071</v>
      </c>
      <c r="B2684" s="630">
        <v>180</v>
      </c>
      <c r="C2684" s="631" t="str">
        <f t="shared" si="45"/>
        <v>Ô tô tự đổ 27 tấn180</v>
      </c>
      <c r="D2684" s="630"/>
      <c r="E2684" s="630"/>
      <c r="F2684" s="630"/>
      <c r="G2684" s="630"/>
    </row>
    <row r="2685" spans="1:7" ht="18.75" x14ac:dyDescent="0.25">
      <c r="A2685" s="629" t="s">
        <v>3071</v>
      </c>
      <c r="B2685" s="630">
        <v>181</v>
      </c>
      <c r="C2685" s="631" t="str">
        <f t="shared" si="45"/>
        <v>Ô tô tự đổ 27 tấn181</v>
      </c>
      <c r="D2685" s="630"/>
      <c r="E2685" s="630"/>
      <c r="F2685" s="630"/>
      <c r="G2685" s="630"/>
    </row>
    <row r="2686" spans="1:7" ht="18.75" x14ac:dyDescent="0.25">
      <c r="A2686" s="629" t="s">
        <v>3071</v>
      </c>
      <c r="B2686" s="630">
        <v>182</v>
      </c>
      <c r="C2686" s="631" t="str">
        <f t="shared" si="45"/>
        <v>Ô tô tự đổ 27 tấn182</v>
      </c>
      <c r="D2686" s="630"/>
      <c r="E2686" s="630"/>
      <c r="F2686" s="630"/>
      <c r="G2686" s="630"/>
    </row>
    <row r="2687" spans="1:7" ht="18.75" x14ac:dyDescent="0.25">
      <c r="A2687" s="629" t="s">
        <v>3071</v>
      </c>
      <c r="B2687" s="630">
        <v>183</v>
      </c>
      <c r="C2687" s="631" t="str">
        <f t="shared" si="45"/>
        <v>Ô tô tự đổ 27 tấn183</v>
      </c>
      <c r="D2687" s="630"/>
      <c r="E2687" s="630"/>
      <c r="F2687" s="630"/>
      <c r="G2687" s="630"/>
    </row>
    <row r="2688" spans="1:7" ht="18.75" x14ac:dyDescent="0.25">
      <c r="A2688" s="629" t="s">
        <v>3071</v>
      </c>
      <c r="B2688" s="630">
        <v>184</v>
      </c>
      <c r="C2688" s="631" t="str">
        <f t="shared" si="45"/>
        <v>Ô tô tự đổ 27 tấn184</v>
      </c>
      <c r="D2688" s="630"/>
      <c r="E2688" s="630"/>
      <c r="F2688" s="630"/>
      <c r="G2688" s="630"/>
    </row>
    <row r="2689" spans="1:7" ht="18.75" x14ac:dyDescent="0.25">
      <c r="A2689" s="629" t="s">
        <v>3071</v>
      </c>
      <c r="B2689" s="630">
        <v>185</v>
      </c>
      <c r="C2689" s="631" t="str">
        <f t="shared" si="45"/>
        <v>Ô tô tự đổ 27 tấn185</v>
      </c>
      <c r="D2689" s="630"/>
      <c r="E2689" s="630"/>
      <c r="F2689" s="630"/>
      <c r="G2689" s="630"/>
    </row>
    <row r="2690" spans="1:7" ht="18.75" x14ac:dyDescent="0.25">
      <c r="A2690" s="629" t="s">
        <v>3071</v>
      </c>
      <c r="B2690" s="630">
        <v>186</v>
      </c>
      <c r="C2690" s="631" t="str">
        <f t="shared" si="45"/>
        <v>Ô tô tự đổ 27 tấn186</v>
      </c>
      <c r="D2690" s="630"/>
      <c r="E2690" s="630"/>
      <c r="F2690" s="630"/>
      <c r="G2690" s="630"/>
    </row>
    <row r="2691" spans="1:7" ht="18.75" x14ac:dyDescent="0.25">
      <c r="A2691" s="629" t="s">
        <v>3071</v>
      </c>
      <c r="B2691" s="630">
        <v>187</v>
      </c>
      <c r="C2691" s="631" t="str">
        <f t="shared" si="45"/>
        <v>Ô tô tự đổ 27 tấn187</v>
      </c>
      <c r="D2691" s="630"/>
      <c r="E2691" s="630"/>
      <c r="F2691" s="630"/>
      <c r="G2691" s="630"/>
    </row>
    <row r="2692" spans="1:7" ht="18.75" x14ac:dyDescent="0.25">
      <c r="A2692" s="629" t="s">
        <v>3071</v>
      </c>
      <c r="B2692" s="630">
        <v>188</v>
      </c>
      <c r="C2692" s="631" t="str">
        <f t="shared" si="45"/>
        <v>Ô tô tự đổ 27 tấn188</v>
      </c>
      <c r="D2692" s="630"/>
      <c r="E2692" s="630"/>
      <c r="F2692" s="630"/>
      <c r="G2692" s="630"/>
    </row>
    <row r="2693" spans="1:7" ht="18.75" x14ac:dyDescent="0.25">
      <c r="A2693" s="629" t="s">
        <v>3071</v>
      </c>
      <c r="B2693" s="630">
        <v>189</v>
      </c>
      <c r="C2693" s="631" t="str">
        <f t="shared" si="45"/>
        <v>Ô tô tự đổ 27 tấn189</v>
      </c>
      <c r="D2693" s="630"/>
      <c r="E2693" s="630"/>
      <c r="F2693" s="630"/>
      <c r="G2693" s="630"/>
    </row>
    <row r="2694" spans="1:7" ht="18.75" x14ac:dyDescent="0.25">
      <c r="A2694" s="629" t="s">
        <v>3071</v>
      </c>
      <c r="B2694" s="630">
        <v>190</v>
      </c>
      <c r="C2694" s="631" t="str">
        <f t="shared" si="45"/>
        <v>Ô tô tự đổ 27 tấn190</v>
      </c>
      <c r="D2694" s="630"/>
      <c r="E2694" s="630"/>
      <c r="F2694" s="630"/>
      <c r="G2694" s="630"/>
    </row>
    <row r="2695" spans="1:7" ht="18.75" x14ac:dyDescent="0.25">
      <c r="A2695" s="629" t="s">
        <v>3071</v>
      </c>
      <c r="B2695" s="630">
        <v>191</v>
      </c>
      <c r="C2695" s="631" t="str">
        <f t="shared" si="45"/>
        <v>Ô tô tự đổ 27 tấn191</v>
      </c>
      <c r="D2695" s="630"/>
      <c r="E2695" s="630"/>
      <c r="F2695" s="630"/>
      <c r="G2695" s="630"/>
    </row>
    <row r="2696" spans="1:7" ht="18.75" x14ac:dyDescent="0.25">
      <c r="A2696" s="629" t="s">
        <v>3071</v>
      </c>
      <c r="B2696" s="630">
        <v>192</v>
      </c>
      <c r="C2696" s="631" t="str">
        <f t="shared" si="45"/>
        <v>Ô tô tự đổ 27 tấn192</v>
      </c>
      <c r="D2696" s="630"/>
      <c r="E2696" s="630"/>
      <c r="F2696" s="630"/>
      <c r="G2696" s="630"/>
    </row>
    <row r="2697" spans="1:7" ht="18.75" x14ac:dyDescent="0.25">
      <c r="A2697" s="629" t="s">
        <v>3071</v>
      </c>
      <c r="B2697" s="630">
        <v>193</v>
      </c>
      <c r="C2697" s="631" t="str">
        <f t="shared" si="45"/>
        <v>Ô tô tự đổ 27 tấn193</v>
      </c>
      <c r="D2697" s="630"/>
      <c r="E2697" s="630"/>
      <c r="F2697" s="630"/>
      <c r="G2697" s="630"/>
    </row>
    <row r="2698" spans="1:7" ht="18.75" x14ac:dyDescent="0.25">
      <c r="A2698" s="629" t="s">
        <v>3071</v>
      </c>
      <c r="B2698" s="630">
        <v>194</v>
      </c>
      <c r="C2698" s="631" t="str">
        <f t="shared" ref="C2698:C2761" si="46">A2698&amp;B2698</f>
        <v>Ô tô tự đổ 27 tấn194</v>
      </c>
      <c r="D2698" s="630"/>
      <c r="E2698" s="630"/>
      <c r="F2698" s="630"/>
      <c r="G2698" s="630"/>
    </row>
    <row r="2699" spans="1:7" ht="18.75" x14ac:dyDescent="0.25">
      <c r="A2699" s="629" t="s">
        <v>3071</v>
      </c>
      <c r="B2699" s="630">
        <v>195</v>
      </c>
      <c r="C2699" s="631" t="str">
        <f t="shared" si="46"/>
        <v>Ô tô tự đổ 27 tấn195</v>
      </c>
      <c r="D2699" s="630"/>
      <c r="E2699" s="630"/>
      <c r="F2699" s="630"/>
      <c r="G2699" s="630"/>
    </row>
    <row r="2700" spans="1:7" ht="18.75" x14ac:dyDescent="0.25">
      <c r="A2700" s="629" t="s">
        <v>3071</v>
      </c>
      <c r="B2700" s="630">
        <v>196</v>
      </c>
      <c r="C2700" s="631" t="str">
        <f t="shared" si="46"/>
        <v>Ô tô tự đổ 27 tấn196</v>
      </c>
      <c r="D2700" s="630"/>
      <c r="E2700" s="630"/>
      <c r="F2700" s="630"/>
      <c r="G2700" s="630"/>
    </row>
    <row r="2701" spans="1:7" ht="18.75" x14ac:dyDescent="0.25">
      <c r="A2701" s="629" t="s">
        <v>3071</v>
      </c>
      <c r="B2701" s="630">
        <v>197</v>
      </c>
      <c r="C2701" s="631" t="str">
        <f t="shared" si="46"/>
        <v>Ô tô tự đổ 27 tấn197</v>
      </c>
      <c r="D2701" s="630"/>
      <c r="E2701" s="630"/>
      <c r="F2701" s="630"/>
      <c r="G2701" s="630"/>
    </row>
    <row r="2702" spans="1:7" ht="18.75" x14ac:dyDescent="0.25">
      <c r="A2702" s="629" t="s">
        <v>3071</v>
      </c>
      <c r="B2702" s="630">
        <v>198</v>
      </c>
      <c r="C2702" s="631" t="str">
        <f t="shared" si="46"/>
        <v>Ô tô tự đổ 27 tấn198</v>
      </c>
      <c r="D2702" s="630"/>
      <c r="E2702" s="630"/>
      <c r="F2702" s="630"/>
      <c r="G2702" s="630"/>
    </row>
    <row r="2703" spans="1:7" ht="18.75" x14ac:dyDescent="0.25">
      <c r="A2703" s="629" t="s">
        <v>3071</v>
      </c>
      <c r="B2703" s="630">
        <v>199</v>
      </c>
      <c r="C2703" s="631" t="str">
        <f t="shared" si="46"/>
        <v>Ô tô tự đổ 27 tấn199</v>
      </c>
      <c r="D2703" s="630"/>
      <c r="E2703" s="630"/>
      <c r="F2703" s="630"/>
      <c r="G2703" s="630"/>
    </row>
    <row r="2704" spans="1:7" ht="18.75" x14ac:dyDescent="0.25">
      <c r="A2704" s="629" t="s">
        <v>3071</v>
      </c>
      <c r="B2704" s="630">
        <v>200</v>
      </c>
      <c r="C2704" s="631" t="str">
        <f t="shared" si="46"/>
        <v>Ô tô tự đổ 27 tấn200</v>
      </c>
      <c r="D2704" s="630"/>
      <c r="E2704" s="630"/>
      <c r="F2704" s="630"/>
      <c r="G2704" s="630"/>
    </row>
    <row r="2705" spans="1:7" ht="18.75" x14ac:dyDescent="0.25">
      <c r="A2705" s="629" t="s">
        <v>3071</v>
      </c>
      <c r="B2705" s="630">
        <v>201</v>
      </c>
      <c r="C2705" s="631" t="str">
        <f t="shared" si="46"/>
        <v>Ô tô tự đổ 27 tấn201</v>
      </c>
      <c r="D2705" s="630"/>
      <c r="E2705" s="630"/>
      <c r="F2705" s="630"/>
      <c r="G2705" s="630"/>
    </row>
    <row r="2706" spans="1:7" ht="18.75" x14ac:dyDescent="0.25">
      <c r="A2706" s="629" t="s">
        <v>3071</v>
      </c>
      <c r="B2706" s="630">
        <v>202</v>
      </c>
      <c r="C2706" s="631" t="str">
        <f t="shared" si="46"/>
        <v>Ô tô tự đổ 27 tấn202</v>
      </c>
      <c r="D2706" s="630"/>
      <c r="E2706" s="630"/>
      <c r="F2706" s="630"/>
      <c r="G2706" s="630"/>
    </row>
    <row r="2707" spans="1:7" ht="18.75" x14ac:dyDescent="0.25">
      <c r="A2707" s="629" t="s">
        <v>3071</v>
      </c>
      <c r="B2707" s="630">
        <v>203</v>
      </c>
      <c r="C2707" s="631" t="str">
        <f t="shared" si="46"/>
        <v>Ô tô tự đổ 27 tấn203</v>
      </c>
      <c r="D2707" s="630"/>
      <c r="E2707" s="630"/>
      <c r="F2707" s="630"/>
      <c r="G2707" s="630"/>
    </row>
    <row r="2708" spans="1:7" ht="18.75" x14ac:dyDescent="0.25">
      <c r="A2708" s="629" t="s">
        <v>3071</v>
      </c>
      <c r="B2708" s="630">
        <v>204</v>
      </c>
      <c r="C2708" s="631" t="str">
        <f t="shared" si="46"/>
        <v>Ô tô tự đổ 27 tấn204</v>
      </c>
      <c r="D2708" s="630"/>
      <c r="E2708" s="630"/>
      <c r="F2708" s="630"/>
      <c r="G2708" s="630"/>
    </row>
    <row r="2709" spans="1:7" ht="18.75" x14ac:dyDescent="0.25">
      <c r="A2709" s="629" t="s">
        <v>3071</v>
      </c>
      <c r="B2709" s="630">
        <v>205</v>
      </c>
      <c r="C2709" s="631" t="str">
        <f t="shared" si="46"/>
        <v>Ô tô tự đổ 27 tấn205</v>
      </c>
      <c r="D2709" s="630"/>
      <c r="E2709" s="630"/>
      <c r="F2709" s="630"/>
      <c r="G2709" s="630"/>
    </row>
    <row r="2710" spans="1:7" ht="18.75" x14ac:dyDescent="0.25">
      <c r="A2710" s="629" t="s">
        <v>3071</v>
      </c>
      <c r="B2710" s="630">
        <v>206</v>
      </c>
      <c r="C2710" s="631" t="str">
        <f t="shared" si="46"/>
        <v>Ô tô tự đổ 27 tấn206</v>
      </c>
      <c r="D2710" s="630"/>
      <c r="E2710" s="630"/>
      <c r="F2710" s="630"/>
      <c r="G2710" s="630"/>
    </row>
    <row r="2711" spans="1:7" ht="18.75" x14ac:dyDescent="0.25">
      <c r="A2711" s="629" t="s">
        <v>3071</v>
      </c>
      <c r="B2711" s="630">
        <v>207</v>
      </c>
      <c r="C2711" s="631" t="str">
        <f t="shared" si="46"/>
        <v>Ô tô tự đổ 27 tấn207</v>
      </c>
      <c r="D2711" s="630"/>
      <c r="E2711" s="630"/>
      <c r="F2711" s="630"/>
      <c r="G2711" s="630"/>
    </row>
    <row r="2712" spans="1:7" ht="18.75" x14ac:dyDescent="0.25">
      <c r="A2712" s="629" t="s">
        <v>3071</v>
      </c>
      <c r="B2712" s="630">
        <v>208</v>
      </c>
      <c r="C2712" s="631" t="str">
        <f t="shared" si="46"/>
        <v>Ô tô tự đổ 27 tấn208</v>
      </c>
      <c r="D2712" s="630"/>
      <c r="E2712" s="630"/>
      <c r="F2712" s="630"/>
      <c r="G2712" s="630"/>
    </row>
    <row r="2713" spans="1:7" ht="18.75" x14ac:dyDescent="0.25">
      <c r="A2713" s="629" t="s">
        <v>3071</v>
      </c>
      <c r="B2713" s="630">
        <v>209</v>
      </c>
      <c r="C2713" s="631" t="str">
        <f t="shared" si="46"/>
        <v>Ô tô tự đổ 27 tấn209</v>
      </c>
      <c r="D2713" s="630"/>
      <c r="E2713" s="630"/>
      <c r="F2713" s="630"/>
      <c r="G2713" s="630"/>
    </row>
    <row r="2714" spans="1:7" ht="18.75" x14ac:dyDescent="0.25">
      <c r="A2714" s="629" t="s">
        <v>3071</v>
      </c>
      <c r="B2714" s="630">
        <v>210</v>
      </c>
      <c r="C2714" s="631" t="str">
        <f t="shared" si="46"/>
        <v>Ô tô tự đổ 27 tấn210</v>
      </c>
      <c r="D2714" s="630"/>
      <c r="E2714" s="630"/>
      <c r="F2714" s="630"/>
      <c r="G2714" s="630"/>
    </row>
    <row r="2715" spans="1:7" ht="18.75" x14ac:dyDescent="0.25">
      <c r="A2715" s="629" t="s">
        <v>3071</v>
      </c>
      <c r="B2715" s="630">
        <v>211</v>
      </c>
      <c r="C2715" s="631" t="str">
        <f t="shared" si="46"/>
        <v>Ô tô tự đổ 27 tấn211</v>
      </c>
      <c r="D2715" s="630"/>
      <c r="E2715" s="630"/>
      <c r="F2715" s="630"/>
      <c r="G2715" s="630"/>
    </row>
    <row r="2716" spans="1:7" ht="18.75" x14ac:dyDescent="0.25">
      <c r="A2716" s="629" t="s">
        <v>3071</v>
      </c>
      <c r="B2716" s="630">
        <v>212</v>
      </c>
      <c r="C2716" s="631" t="str">
        <f t="shared" si="46"/>
        <v>Ô tô tự đổ 27 tấn212</v>
      </c>
      <c r="D2716" s="630"/>
      <c r="E2716" s="630"/>
      <c r="F2716" s="630"/>
      <c r="G2716" s="630"/>
    </row>
    <row r="2717" spans="1:7" ht="18.75" x14ac:dyDescent="0.25">
      <c r="A2717" s="629" t="s">
        <v>3071</v>
      </c>
      <c r="B2717" s="630">
        <v>213</v>
      </c>
      <c r="C2717" s="631" t="str">
        <f t="shared" si="46"/>
        <v>Ô tô tự đổ 27 tấn213</v>
      </c>
      <c r="D2717" s="630"/>
      <c r="E2717" s="630"/>
      <c r="F2717" s="630"/>
      <c r="G2717" s="630"/>
    </row>
    <row r="2718" spans="1:7" ht="18.75" x14ac:dyDescent="0.25">
      <c r="A2718" s="629" t="s">
        <v>3071</v>
      </c>
      <c r="B2718" s="630">
        <v>214</v>
      </c>
      <c r="C2718" s="631" t="str">
        <f t="shared" si="46"/>
        <v>Ô tô tự đổ 27 tấn214</v>
      </c>
      <c r="D2718" s="630"/>
      <c r="E2718" s="630"/>
      <c r="F2718" s="630"/>
      <c r="G2718" s="630"/>
    </row>
    <row r="2719" spans="1:7" ht="18.75" x14ac:dyDescent="0.25">
      <c r="A2719" s="629" t="s">
        <v>3071</v>
      </c>
      <c r="B2719" s="630">
        <v>215</v>
      </c>
      <c r="C2719" s="631" t="str">
        <f t="shared" si="46"/>
        <v>Ô tô tự đổ 27 tấn215</v>
      </c>
      <c r="D2719" s="630"/>
      <c r="E2719" s="630"/>
      <c r="F2719" s="630"/>
      <c r="G2719" s="630"/>
    </row>
    <row r="2720" spans="1:7" ht="18.75" x14ac:dyDescent="0.25">
      <c r="A2720" s="629" t="s">
        <v>3071</v>
      </c>
      <c r="B2720" s="630">
        <v>216</v>
      </c>
      <c r="C2720" s="631" t="str">
        <f t="shared" si="46"/>
        <v>Ô tô tự đổ 27 tấn216</v>
      </c>
      <c r="D2720" s="630"/>
      <c r="E2720" s="630"/>
      <c r="F2720" s="630"/>
      <c r="G2720" s="630"/>
    </row>
    <row r="2721" spans="1:7" ht="18.75" x14ac:dyDescent="0.25">
      <c r="A2721" s="629" t="s">
        <v>3071</v>
      </c>
      <c r="B2721" s="630">
        <v>217</v>
      </c>
      <c r="C2721" s="631" t="str">
        <f t="shared" si="46"/>
        <v>Ô tô tự đổ 27 tấn217</v>
      </c>
      <c r="D2721" s="630"/>
      <c r="E2721" s="630"/>
      <c r="F2721" s="630"/>
      <c r="G2721" s="630"/>
    </row>
    <row r="2722" spans="1:7" ht="18.75" x14ac:dyDescent="0.25">
      <c r="A2722" s="629" t="s">
        <v>3071</v>
      </c>
      <c r="B2722" s="630">
        <v>218</v>
      </c>
      <c r="C2722" s="631" t="str">
        <f t="shared" si="46"/>
        <v>Ô tô tự đổ 27 tấn218</v>
      </c>
      <c r="D2722" s="630"/>
      <c r="E2722" s="630"/>
      <c r="F2722" s="630"/>
      <c r="G2722" s="630"/>
    </row>
    <row r="2723" spans="1:7" ht="18.75" x14ac:dyDescent="0.25">
      <c r="A2723" s="629" t="s">
        <v>3071</v>
      </c>
      <c r="B2723" s="630">
        <v>219</v>
      </c>
      <c r="C2723" s="631" t="str">
        <f t="shared" si="46"/>
        <v>Ô tô tự đổ 27 tấn219</v>
      </c>
      <c r="D2723" s="630"/>
      <c r="E2723" s="630"/>
      <c r="F2723" s="630"/>
      <c r="G2723" s="630"/>
    </row>
    <row r="2724" spans="1:7" ht="18.75" x14ac:dyDescent="0.25">
      <c r="A2724" s="629" t="s">
        <v>3071</v>
      </c>
      <c r="B2724" s="630">
        <v>220</v>
      </c>
      <c r="C2724" s="631" t="str">
        <f t="shared" si="46"/>
        <v>Ô tô tự đổ 27 tấn220</v>
      </c>
      <c r="D2724" s="630"/>
      <c r="E2724" s="630"/>
      <c r="F2724" s="630"/>
      <c r="G2724" s="630"/>
    </row>
    <row r="2725" spans="1:7" ht="18.75" x14ac:dyDescent="0.25">
      <c r="A2725" s="629" t="s">
        <v>3071</v>
      </c>
      <c r="B2725" s="630">
        <v>221</v>
      </c>
      <c r="C2725" s="631" t="str">
        <f t="shared" si="46"/>
        <v>Ô tô tự đổ 27 tấn221</v>
      </c>
      <c r="D2725" s="630"/>
      <c r="E2725" s="630"/>
      <c r="F2725" s="630"/>
      <c r="G2725" s="630"/>
    </row>
    <row r="2726" spans="1:7" ht="18.75" x14ac:dyDescent="0.25">
      <c r="A2726" s="629" t="s">
        <v>3071</v>
      </c>
      <c r="B2726" s="630">
        <v>222</v>
      </c>
      <c r="C2726" s="631" t="str">
        <f t="shared" si="46"/>
        <v>Ô tô tự đổ 27 tấn222</v>
      </c>
      <c r="D2726" s="630"/>
      <c r="E2726" s="630"/>
      <c r="F2726" s="630"/>
      <c r="G2726" s="630"/>
    </row>
    <row r="2727" spans="1:7" ht="18.75" x14ac:dyDescent="0.25">
      <c r="A2727" s="629" t="s">
        <v>3071</v>
      </c>
      <c r="B2727" s="630">
        <v>223</v>
      </c>
      <c r="C2727" s="631" t="str">
        <f t="shared" si="46"/>
        <v>Ô tô tự đổ 27 tấn223</v>
      </c>
      <c r="D2727" s="630"/>
      <c r="E2727" s="630"/>
      <c r="F2727" s="630"/>
      <c r="G2727" s="630"/>
    </row>
    <row r="2728" spans="1:7" ht="18.75" x14ac:dyDescent="0.25">
      <c r="A2728" s="629" t="s">
        <v>3071</v>
      </c>
      <c r="B2728" s="630">
        <v>224</v>
      </c>
      <c r="C2728" s="631" t="str">
        <f t="shared" si="46"/>
        <v>Ô tô tự đổ 27 tấn224</v>
      </c>
      <c r="D2728" s="630"/>
      <c r="E2728" s="630"/>
      <c r="F2728" s="630"/>
      <c r="G2728" s="630"/>
    </row>
    <row r="2729" spans="1:7" ht="18.75" x14ac:dyDescent="0.25">
      <c r="A2729" s="629" t="s">
        <v>3071</v>
      </c>
      <c r="B2729" s="630">
        <v>225</v>
      </c>
      <c r="C2729" s="631" t="str">
        <f t="shared" si="46"/>
        <v>Ô tô tự đổ 27 tấn225</v>
      </c>
      <c r="D2729" s="630"/>
      <c r="E2729" s="630"/>
      <c r="F2729" s="630"/>
      <c r="G2729" s="630"/>
    </row>
    <row r="2730" spans="1:7" ht="18.75" x14ac:dyDescent="0.25">
      <c r="A2730" s="629" t="s">
        <v>3071</v>
      </c>
      <c r="B2730" s="630">
        <v>226</v>
      </c>
      <c r="C2730" s="631" t="str">
        <f t="shared" si="46"/>
        <v>Ô tô tự đổ 27 tấn226</v>
      </c>
      <c r="D2730" s="630"/>
      <c r="E2730" s="630"/>
      <c r="F2730" s="630"/>
      <c r="G2730" s="630"/>
    </row>
    <row r="2731" spans="1:7" ht="18.75" x14ac:dyDescent="0.25">
      <c r="A2731" s="629" t="s">
        <v>3071</v>
      </c>
      <c r="B2731" s="630">
        <v>227</v>
      </c>
      <c r="C2731" s="631" t="str">
        <f t="shared" si="46"/>
        <v>Ô tô tự đổ 27 tấn227</v>
      </c>
      <c r="D2731" s="630"/>
      <c r="E2731" s="630"/>
      <c r="F2731" s="630"/>
      <c r="G2731" s="630"/>
    </row>
    <row r="2732" spans="1:7" ht="18.75" x14ac:dyDescent="0.25">
      <c r="A2732" s="629" t="s">
        <v>3071</v>
      </c>
      <c r="B2732" s="630">
        <v>228</v>
      </c>
      <c r="C2732" s="631" t="str">
        <f t="shared" si="46"/>
        <v>Ô tô tự đổ 27 tấn228</v>
      </c>
      <c r="D2732" s="630"/>
      <c r="E2732" s="630"/>
      <c r="F2732" s="630"/>
      <c r="G2732" s="630"/>
    </row>
    <row r="2733" spans="1:7" ht="18.75" x14ac:dyDescent="0.25">
      <c r="A2733" s="629" t="s">
        <v>3071</v>
      </c>
      <c r="B2733" s="630">
        <v>229</v>
      </c>
      <c r="C2733" s="631" t="str">
        <f t="shared" si="46"/>
        <v>Ô tô tự đổ 27 tấn229</v>
      </c>
      <c r="D2733" s="630"/>
      <c r="E2733" s="630"/>
      <c r="F2733" s="630"/>
      <c r="G2733" s="630"/>
    </row>
    <row r="2734" spans="1:7" ht="18.75" x14ac:dyDescent="0.25">
      <c r="A2734" s="629" t="s">
        <v>3071</v>
      </c>
      <c r="B2734" s="630">
        <v>230</v>
      </c>
      <c r="C2734" s="631" t="str">
        <f t="shared" si="46"/>
        <v>Ô tô tự đổ 27 tấn230</v>
      </c>
      <c r="D2734" s="630"/>
      <c r="E2734" s="630"/>
      <c r="F2734" s="630"/>
      <c r="G2734" s="630"/>
    </row>
    <row r="2735" spans="1:7" ht="18.75" x14ac:dyDescent="0.25">
      <c r="A2735" s="629" t="s">
        <v>3071</v>
      </c>
      <c r="B2735" s="630">
        <v>231</v>
      </c>
      <c r="C2735" s="631" t="str">
        <f t="shared" si="46"/>
        <v>Ô tô tự đổ 27 tấn231</v>
      </c>
      <c r="D2735" s="630"/>
      <c r="E2735" s="630"/>
      <c r="F2735" s="630"/>
      <c r="G2735" s="630"/>
    </row>
    <row r="2736" spans="1:7" ht="18.75" x14ac:dyDescent="0.25">
      <c r="A2736" s="629" t="s">
        <v>3071</v>
      </c>
      <c r="B2736" s="630">
        <v>232</v>
      </c>
      <c r="C2736" s="631" t="str">
        <f t="shared" si="46"/>
        <v>Ô tô tự đổ 27 tấn232</v>
      </c>
      <c r="D2736" s="630"/>
      <c r="E2736" s="630"/>
      <c r="F2736" s="630"/>
      <c r="G2736" s="630"/>
    </row>
    <row r="2737" spans="1:7" ht="18.75" x14ac:dyDescent="0.25">
      <c r="A2737" s="629" t="s">
        <v>3071</v>
      </c>
      <c r="B2737" s="630">
        <v>233</v>
      </c>
      <c r="C2737" s="631" t="str">
        <f t="shared" si="46"/>
        <v>Ô tô tự đổ 27 tấn233</v>
      </c>
      <c r="D2737" s="630"/>
      <c r="E2737" s="630"/>
      <c r="F2737" s="630"/>
      <c r="G2737" s="630"/>
    </row>
    <row r="2738" spans="1:7" ht="18.75" x14ac:dyDescent="0.25">
      <c r="A2738" s="629" t="s">
        <v>3071</v>
      </c>
      <c r="B2738" s="630">
        <v>234</v>
      </c>
      <c r="C2738" s="631" t="str">
        <f t="shared" si="46"/>
        <v>Ô tô tự đổ 27 tấn234</v>
      </c>
      <c r="D2738" s="630"/>
      <c r="E2738" s="630"/>
      <c r="F2738" s="630"/>
      <c r="G2738" s="630"/>
    </row>
    <row r="2739" spans="1:7" ht="18.75" x14ac:dyDescent="0.25">
      <c r="A2739" s="629" t="s">
        <v>3071</v>
      </c>
      <c r="B2739" s="630">
        <v>235</v>
      </c>
      <c r="C2739" s="631" t="str">
        <f t="shared" si="46"/>
        <v>Ô tô tự đổ 27 tấn235</v>
      </c>
      <c r="D2739" s="630"/>
      <c r="E2739" s="630"/>
      <c r="F2739" s="630"/>
      <c r="G2739" s="630"/>
    </row>
    <row r="2740" spans="1:7" ht="18.75" x14ac:dyDescent="0.25">
      <c r="A2740" s="629" t="s">
        <v>3071</v>
      </c>
      <c r="B2740" s="630">
        <v>236</v>
      </c>
      <c r="C2740" s="631" t="str">
        <f t="shared" si="46"/>
        <v>Ô tô tự đổ 27 tấn236</v>
      </c>
      <c r="D2740" s="630"/>
      <c r="E2740" s="630"/>
      <c r="F2740" s="630"/>
      <c r="G2740" s="630"/>
    </row>
    <row r="2741" spans="1:7" ht="18.75" x14ac:dyDescent="0.25">
      <c r="A2741" s="629" t="s">
        <v>3071</v>
      </c>
      <c r="B2741" s="630">
        <v>237</v>
      </c>
      <c r="C2741" s="631" t="str">
        <f t="shared" si="46"/>
        <v>Ô tô tự đổ 27 tấn237</v>
      </c>
      <c r="D2741" s="630"/>
      <c r="E2741" s="630"/>
      <c r="F2741" s="630"/>
      <c r="G2741" s="630"/>
    </row>
    <row r="2742" spans="1:7" ht="18.75" x14ac:dyDescent="0.25">
      <c r="A2742" s="629" t="s">
        <v>3071</v>
      </c>
      <c r="B2742" s="630">
        <v>238</v>
      </c>
      <c r="C2742" s="631" t="str">
        <f t="shared" si="46"/>
        <v>Ô tô tự đổ 27 tấn238</v>
      </c>
      <c r="D2742" s="630"/>
      <c r="E2742" s="630"/>
      <c r="F2742" s="630"/>
      <c r="G2742" s="630"/>
    </row>
    <row r="2743" spans="1:7" ht="18.75" x14ac:dyDescent="0.25">
      <c r="A2743" s="629" t="s">
        <v>3071</v>
      </c>
      <c r="B2743" s="630">
        <v>239</v>
      </c>
      <c r="C2743" s="631" t="str">
        <f t="shared" si="46"/>
        <v>Ô tô tự đổ 27 tấn239</v>
      </c>
      <c r="D2743" s="630"/>
      <c r="E2743" s="630"/>
      <c r="F2743" s="630"/>
      <c r="G2743" s="630"/>
    </row>
    <row r="2744" spans="1:7" ht="18.75" x14ac:dyDescent="0.25">
      <c r="A2744" s="629" t="s">
        <v>3071</v>
      </c>
      <c r="B2744" s="630">
        <v>240</v>
      </c>
      <c r="C2744" s="631" t="str">
        <f t="shared" si="46"/>
        <v>Ô tô tự đổ 27 tấn240</v>
      </c>
      <c r="D2744" s="630"/>
      <c r="E2744" s="630"/>
      <c r="F2744" s="630"/>
      <c r="G2744" s="630"/>
    </row>
    <row r="2745" spans="1:7" ht="18.75" x14ac:dyDescent="0.25">
      <c r="A2745" s="629" t="s">
        <v>3071</v>
      </c>
      <c r="B2745" s="630">
        <v>241</v>
      </c>
      <c r="C2745" s="631" t="str">
        <f t="shared" si="46"/>
        <v>Ô tô tự đổ 27 tấn241</v>
      </c>
      <c r="D2745" s="630"/>
      <c r="E2745" s="630"/>
      <c r="F2745" s="630"/>
      <c r="G2745" s="630"/>
    </row>
    <row r="2746" spans="1:7" ht="18.75" x14ac:dyDescent="0.25">
      <c r="A2746" s="629" t="s">
        <v>3071</v>
      </c>
      <c r="B2746" s="630">
        <v>242</v>
      </c>
      <c r="C2746" s="631" t="str">
        <f t="shared" si="46"/>
        <v>Ô tô tự đổ 27 tấn242</v>
      </c>
      <c r="D2746" s="630"/>
      <c r="E2746" s="630"/>
      <c r="F2746" s="630"/>
      <c r="G2746" s="630"/>
    </row>
    <row r="2747" spans="1:7" ht="18.75" x14ac:dyDescent="0.25">
      <c r="A2747" s="629" t="s">
        <v>3071</v>
      </c>
      <c r="B2747" s="630">
        <v>243</v>
      </c>
      <c r="C2747" s="631" t="str">
        <f t="shared" si="46"/>
        <v>Ô tô tự đổ 27 tấn243</v>
      </c>
      <c r="D2747" s="630"/>
      <c r="E2747" s="630"/>
      <c r="F2747" s="630"/>
      <c r="G2747" s="630"/>
    </row>
    <row r="2748" spans="1:7" ht="18.75" x14ac:dyDescent="0.25">
      <c r="A2748" s="629" t="s">
        <v>3071</v>
      </c>
      <c r="B2748" s="630">
        <v>244</v>
      </c>
      <c r="C2748" s="631" t="str">
        <f t="shared" si="46"/>
        <v>Ô tô tự đổ 27 tấn244</v>
      </c>
      <c r="D2748" s="630"/>
      <c r="E2748" s="630"/>
      <c r="F2748" s="630"/>
      <c r="G2748" s="630"/>
    </row>
    <row r="2749" spans="1:7" ht="18.75" x14ac:dyDescent="0.25">
      <c r="A2749" s="629" t="s">
        <v>3071</v>
      </c>
      <c r="B2749" s="630">
        <v>245</v>
      </c>
      <c r="C2749" s="631" t="str">
        <f t="shared" si="46"/>
        <v>Ô tô tự đổ 27 tấn245</v>
      </c>
      <c r="D2749" s="630"/>
      <c r="E2749" s="630"/>
      <c r="F2749" s="630"/>
      <c r="G2749" s="630"/>
    </row>
    <row r="2750" spans="1:7" ht="18.75" x14ac:dyDescent="0.25">
      <c r="A2750" s="629" t="s">
        <v>3071</v>
      </c>
      <c r="B2750" s="630">
        <v>246</v>
      </c>
      <c r="C2750" s="631" t="str">
        <f t="shared" si="46"/>
        <v>Ô tô tự đổ 27 tấn246</v>
      </c>
      <c r="D2750" s="630"/>
      <c r="E2750" s="630"/>
      <c r="F2750" s="630"/>
      <c r="G2750" s="630"/>
    </row>
    <row r="2751" spans="1:7" ht="18.75" x14ac:dyDescent="0.25">
      <c r="A2751" s="629" t="s">
        <v>3071</v>
      </c>
      <c r="B2751" s="630">
        <v>247</v>
      </c>
      <c r="C2751" s="631" t="str">
        <f t="shared" si="46"/>
        <v>Ô tô tự đổ 27 tấn247</v>
      </c>
      <c r="D2751" s="630"/>
      <c r="E2751" s="630"/>
      <c r="F2751" s="630"/>
      <c r="G2751" s="630"/>
    </row>
    <row r="2752" spans="1:7" ht="18.75" x14ac:dyDescent="0.25">
      <c r="A2752" s="629" t="s">
        <v>3071</v>
      </c>
      <c r="B2752" s="630">
        <v>248</v>
      </c>
      <c r="C2752" s="631" t="str">
        <f t="shared" si="46"/>
        <v>Ô tô tự đổ 27 tấn248</v>
      </c>
      <c r="D2752" s="630"/>
      <c r="E2752" s="630"/>
      <c r="F2752" s="630"/>
      <c r="G2752" s="630"/>
    </row>
    <row r="2753" spans="1:7" ht="18.75" x14ac:dyDescent="0.25">
      <c r="A2753" s="629" t="s">
        <v>3071</v>
      </c>
      <c r="B2753" s="630">
        <v>249</v>
      </c>
      <c r="C2753" s="631" t="str">
        <f t="shared" si="46"/>
        <v>Ô tô tự đổ 27 tấn249</v>
      </c>
      <c r="D2753" s="630"/>
      <c r="E2753" s="630"/>
      <c r="F2753" s="630"/>
      <c r="G2753" s="630"/>
    </row>
    <row r="2754" spans="1:7" ht="18.75" x14ac:dyDescent="0.25">
      <c r="A2754" s="629" t="s">
        <v>3071</v>
      </c>
      <c r="B2754" s="630">
        <v>250</v>
      </c>
      <c r="C2754" s="631" t="str">
        <f t="shared" si="46"/>
        <v>Ô tô tự đổ 27 tấn250</v>
      </c>
      <c r="D2754" s="630"/>
      <c r="E2754" s="630"/>
      <c r="F2754" s="630"/>
      <c r="G2754" s="630"/>
    </row>
    <row r="2755" spans="1:7" ht="18.75" x14ac:dyDescent="0.25">
      <c r="A2755" s="629" t="s">
        <v>3071</v>
      </c>
      <c r="B2755" s="630">
        <v>251</v>
      </c>
      <c r="C2755" s="631" t="str">
        <f t="shared" si="46"/>
        <v>Ô tô tự đổ 27 tấn251</v>
      </c>
      <c r="D2755" s="630"/>
      <c r="E2755" s="630"/>
      <c r="F2755" s="630"/>
      <c r="G2755" s="630"/>
    </row>
    <row r="2756" spans="1:7" ht="18.75" x14ac:dyDescent="0.25">
      <c r="A2756" s="629" t="s">
        <v>3071</v>
      </c>
      <c r="B2756" s="630">
        <v>252</v>
      </c>
      <c r="C2756" s="631" t="str">
        <f t="shared" si="46"/>
        <v>Ô tô tự đổ 27 tấn252</v>
      </c>
      <c r="D2756" s="630"/>
      <c r="E2756" s="630"/>
      <c r="F2756" s="630"/>
      <c r="G2756" s="630"/>
    </row>
    <row r="2757" spans="1:7" ht="18.75" x14ac:dyDescent="0.25">
      <c r="A2757" s="629" t="s">
        <v>3071</v>
      </c>
      <c r="B2757" s="630">
        <v>253</v>
      </c>
      <c r="C2757" s="631" t="str">
        <f t="shared" si="46"/>
        <v>Ô tô tự đổ 27 tấn253</v>
      </c>
      <c r="D2757" s="630"/>
      <c r="E2757" s="630"/>
      <c r="F2757" s="630"/>
      <c r="G2757" s="630"/>
    </row>
    <row r="2758" spans="1:7" ht="18.75" x14ac:dyDescent="0.25">
      <c r="A2758" s="629" t="s">
        <v>3071</v>
      </c>
      <c r="B2758" s="630">
        <v>254</v>
      </c>
      <c r="C2758" s="631" t="str">
        <f t="shared" si="46"/>
        <v>Ô tô tự đổ 27 tấn254</v>
      </c>
      <c r="D2758" s="630"/>
      <c r="E2758" s="630"/>
      <c r="F2758" s="630"/>
      <c r="G2758" s="630"/>
    </row>
    <row r="2759" spans="1:7" ht="18.75" x14ac:dyDescent="0.25">
      <c r="A2759" s="629" t="s">
        <v>3071</v>
      </c>
      <c r="B2759" s="630">
        <v>255</v>
      </c>
      <c r="C2759" s="631" t="str">
        <f t="shared" si="46"/>
        <v>Ô tô tự đổ 27 tấn255</v>
      </c>
      <c r="D2759" s="630"/>
      <c r="E2759" s="630"/>
      <c r="F2759" s="630"/>
      <c r="G2759" s="630"/>
    </row>
    <row r="2760" spans="1:7" ht="18.75" x14ac:dyDescent="0.25">
      <c r="A2760" s="629" t="s">
        <v>3071</v>
      </c>
      <c r="B2760" s="630">
        <v>256</v>
      </c>
      <c r="C2760" s="631" t="str">
        <f t="shared" si="46"/>
        <v>Ô tô tự đổ 27 tấn256</v>
      </c>
      <c r="D2760" s="630"/>
      <c r="E2760" s="630"/>
      <c r="F2760" s="630"/>
      <c r="G2760" s="630"/>
    </row>
    <row r="2761" spans="1:7" ht="18.75" x14ac:dyDescent="0.25">
      <c r="A2761" s="629" t="s">
        <v>3071</v>
      </c>
      <c r="B2761" s="630">
        <v>257</v>
      </c>
      <c r="C2761" s="631" t="str">
        <f t="shared" si="46"/>
        <v>Ô tô tự đổ 27 tấn257</v>
      </c>
      <c r="D2761" s="630"/>
      <c r="E2761" s="630"/>
      <c r="F2761" s="630"/>
      <c r="G2761" s="630"/>
    </row>
    <row r="2762" spans="1:7" ht="18.75" x14ac:dyDescent="0.25">
      <c r="A2762" s="629" t="s">
        <v>3071</v>
      </c>
      <c r="B2762" s="630">
        <v>258</v>
      </c>
      <c r="C2762" s="631" t="str">
        <f t="shared" ref="C2762:C2825" si="47">A2762&amp;B2762</f>
        <v>Ô tô tự đổ 27 tấn258</v>
      </c>
      <c r="D2762" s="630"/>
      <c r="E2762" s="630"/>
      <c r="F2762" s="630"/>
      <c r="G2762" s="630"/>
    </row>
    <row r="2763" spans="1:7" ht="18.75" x14ac:dyDescent="0.25">
      <c r="A2763" s="629" t="s">
        <v>3071</v>
      </c>
      <c r="B2763" s="630">
        <v>259</v>
      </c>
      <c r="C2763" s="631" t="str">
        <f t="shared" si="47"/>
        <v>Ô tô tự đổ 27 tấn259</v>
      </c>
      <c r="D2763" s="630"/>
      <c r="E2763" s="630"/>
      <c r="F2763" s="630"/>
      <c r="G2763" s="630"/>
    </row>
    <row r="2764" spans="1:7" ht="18.75" x14ac:dyDescent="0.25">
      <c r="A2764" s="629" t="s">
        <v>3071</v>
      </c>
      <c r="B2764" s="630">
        <v>260</v>
      </c>
      <c r="C2764" s="631" t="str">
        <f t="shared" si="47"/>
        <v>Ô tô tự đổ 27 tấn260</v>
      </c>
      <c r="D2764" s="630"/>
      <c r="E2764" s="630"/>
      <c r="F2764" s="630"/>
      <c r="G2764" s="630"/>
    </row>
    <row r="2765" spans="1:7" ht="18.75" x14ac:dyDescent="0.25">
      <c r="A2765" s="629" t="s">
        <v>3071</v>
      </c>
      <c r="B2765" s="630">
        <v>261</v>
      </c>
      <c r="C2765" s="631" t="str">
        <f t="shared" si="47"/>
        <v>Ô tô tự đổ 27 tấn261</v>
      </c>
      <c r="D2765" s="630"/>
      <c r="E2765" s="630"/>
      <c r="F2765" s="630"/>
      <c r="G2765" s="630"/>
    </row>
    <row r="2766" spans="1:7" ht="18.75" x14ac:dyDescent="0.25">
      <c r="A2766" s="629" t="s">
        <v>3071</v>
      </c>
      <c r="B2766" s="630">
        <v>262</v>
      </c>
      <c r="C2766" s="631" t="str">
        <f t="shared" si="47"/>
        <v>Ô tô tự đổ 27 tấn262</v>
      </c>
      <c r="D2766" s="630"/>
      <c r="E2766" s="630"/>
      <c r="F2766" s="630"/>
      <c r="G2766" s="630"/>
    </row>
    <row r="2767" spans="1:7" ht="18.75" x14ac:dyDescent="0.25">
      <c r="A2767" s="629" t="s">
        <v>3071</v>
      </c>
      <c r="B2767" s="630">
        <v>263</v>
      </c>
      <c r="C2767" s="631" t="str">
        <f t="shared" si="47"/>
        <v>Ô tô tự đổ 27 tấn263</v>
      </c>
      <c r="D2767" s="630"/>
      <c r="E2767" s="630"/>
      <c r="F2767" s="630"/>
      <c r="G2767" s="630"/>
    </row>
    <row r="2768" spans="1:7" ht="18.75" x14ac:dyDescent="0.25">
      <c r="A2768" s="629" t="s">
        <v>3071</v>
      </c>
      <c r="B2768" s="630">
        <v>264</v>
      </c>
      <c r="C2768" s="631" t="str">
        <f t="shared" si="47"/>
        <v>Ô tô tự đổ 27 tấn264</v>
      </c>
      <c r="D2768" s="630"/>
      <c r="E2768" s="630"/>
      <c r="F2768" s="630"/>
      <c r="G2768" s="630"/>
    </row>
    <row r="2769" spans="1:7" ht="18.75" x14ac:dyDescent="0.25">
      <c r="A2769" s="629" t="s">
        <v>3071</v>
      </c>
      <c r="B2769" s="630">
        <v>265</v>
      </c>
      <c r="C2769" s="631" t="str">
        <f t="shared" si="47"/>
        <v>Ô tô tự đổ 27 tấn265</v>
      </c>
      <c r="D2769" s="630"/>
      <c r="E2769" s="630"/>
      <c r="F2769" s="630"/>
      <c r="G2769" s="630"/>
    </row>
    <row r="2770" spans="1:7" ht="18.75" x14ac:dyDescent="0.25">
      <c r="A2770" s="629" t="s">
        <v>3071</v>
      </c>
      <c r="B2770" s="630">
        <v>266</v>
      </c>
      <c r="C2770" s="631" t="str">
        <f t="shared" si="47"/>
        <v>Ô tô tự đổ 27 tấn266</v>
      </c>
      <c r="D2770" s="630"/>
      <c r="E2770" s="630"/>
      <c r="F2770" s="630"/>
      <c r="G2770" s="630"/>
    </row>
    <row r="2771" spans="1:7" ht="18.75" x14ac:dyDescent="0.25">
      <c r="A2771" s="629" t="s">
        <v>3071</v>
      </c>
      <c r="B2771" s="630">
        <v>267</v>
      </c>
      <c r="C2771" s="631" t="str">
        <f t="shared" si="47"/>
        <v>Ô tô tự đổ 27 tấn267</v>
      </c>
      <c r="D2771" s="630"/>
      <c r="E2771" s="630"/>
      <c r="F2771" s="630"/>
      <c r="G2771" s="630"/>
    </row>
    <row r="2772" spans="1:7" ht="18.75" x14ac:dyDescent="0.25">
      <c r="A2772" s="629" t="s">
        <v>3071</v>
      </c>
      <c r="B2772" s="630">
        <v>268</v>
      </c>
      <c r="C2772" s="631" t="str">
        <f t="shared" si="47"/>
        <v>Ô tô tự đổ 27 tấn268</v>
      </c>
      <c r="D2772" s="630"/>
      <c r="E2772" s="630"/>
      <c r="F2772" s="630"/>
      <c r="G2772" s="630"/>
    </row>
    <row r="2773" spans="1:7" ht="18.75" x14ac:dyDescent="0.25">
      <c r="A2773" s="629" t="s">
        <v>3071</v>
      </c>
      <c r="B2773" s="630">
        <v>269</v>
      </c>
      <c r="C2773" s="631" t="str">
        <f t="shared" si="47"/>
        <v>Ô tô tự đổ 27 tấn269</v>
      </c>
      <c r="D2773" s="630"/>
      <c r="E2773" s="630"/>
      <c r="F2773" s="630"/>
      <c r="G2773" s="630"/>
    </row>
    <row r="2774" spans="1:7" ht="18.75" x14ac:dyDescent="0.25">
      <c r="A2774" s="629" t="s">
        <v>3071</v>
      </c>
      <c r="B2774" s="630">
        <v>270</v>
      </c>
      <c r="C2774" s="631" t="str">
        <f t="shared" si="47"/>
        <v>Ô tô tự đổ 27 tấn270</v>
      </c>
      <c r="D2774" s="630"/>
      <c r="E2774" s="630"/>
      <c r="F2774" s="630"/>
      <c r="G2774" s="630"/>
    </row>
    <row r="2775" spans="1:7" ht="18.75" x14ac:dyDescent="0.25">
      <c r="A2775" s="629" t="s">
        <v>3071</v>
      </c>
      <c r="B2775" s="630">
        <v>271</v>
      </c>
      <c r="C2775" s="631" t="str">
        <f t="shared" si="47"/>
        <v>Ô tô tự đổ 27 tấn271</v>
      </c>
      <c r="D2775" s="630"/>
      <c r="E2775" s="630"/>
      <c r="F2775" s="630"/>
      <c r="G2775" s="630"/>
    </row>
    <row r="2776" spans="1:7" ht="18.75" x14ac:dyDescent="0.25">
      <c r="A2776" s="629" t="s">
        <v>3071</v>
      </c>
      <c r="B2776" s="630">
        <v>272</v>
      </c>
      <c r="C2776" s="631" t="str">
        <f t="shared" si="47"/>
        <v>Ô tô tự đổ 27 tấn272</v>
      </c>
      <c r="D2776" s="630"/>
      <c r="E2776" s="630"/>
      <c r="F2776" s="630"/>
      <c r="G2776" s="630"/>
    </row>
    <row r="2777" spans="1:7" ht="18.75" x14ac:dyDescent="0.25">
      <c r="A2777" s="629" t="s">
        <v>3071</v>
      </c>
      <c r="B2777" s="630">
        <v>273</v>
      </c>
      <c r="C2777" s="631" t="str">
        <f t="shared" si="47"/>
        <v>Ô tô tự đổ 27 tấn273</v>
      </c>
      <c r="D2777" s="630"/>
      <c r="E2777" s="630"/>
      <c r="F2777" s="630"/>
      <c r="G2777" s="630"/>
    </row>
    <row r="2778" spans="1:7" ht="18.75" x14ac:dyDescent="0.25">
      <c r="A2778" s="629" t="s">
        <v>3071</v>
      </c>
      <c r="B2778" s="630">
        <v>274</v>
      </c>
      <c r="C2778" s="631" t="str">
        <f t="shared" si="47"/>
        <v>Ô tô tự đổ 27 tấn274</v>
      </c>
      <c r="D2778" s="630"/>
      <c r="E2778" s="630"/>
      <c r="F2778" s="630"/>
      <c r="G2778" s="630"/>
    </row>
    <row r="2779" spans="1:7" ht="18.75" x14ac:dyDescent="0.25">
      <c r="A2779" s="629" t="s">
        <v>3071</v>
      </c>
      <c r="B2779" s="630">
        <v>275</v>
      </c>
      <c r="C2779" s="631" t="str">
        <f t="shared" si="47"/>
        <v>Ô tô tự đổ 27 tấn275</v>
      </c>
      <c r="D2779" s="630"/>
      <c r="E2779" s="630"/>
      <c r="F2779" s="630"/>
      <c r="G2779" s="630"/>
    </row>
    <row r="2780" spans="1:7" ht="18.75" x14ac:dyDescent="0.25">
      <c r="A2780" s="629" t="s">
        <v>3071</v>
      </c>
      <c r="B2780" s="630">
        <v>276</v>
      </c>
      <c r="C2780" s="631" t="str">
        <f t="shared" si="47"/>
        <v>Ô tô tự đổ 27 tấn276</v>
      </c>
      <c r="D2780" s="630"/>
      <c r="E2780" s="630"/>
      <c r="F2780" s="630"/>
      <c r="G2780" s="630"/>
    </row>
    <row r="2781" spans="1:7" ht="18.75" x14ac:dyDescent="0.25">
      <c r="A2781" s="629" t="s">
        <v>3071</v>
      </c>
      <c r="B2781" s="630">
        <v>277</v>
      </c>
      <c r="C2781" s="631" t="str">
        <f t="shared" si="47"/>
        <v>Ô tô tự đổ 27 tấn277</v>
      </c>
      <c r="D2781" s="630"/>
      <c r="E2781" s="630"/>
      <c r="F2781" s="630"/>
      <c r="G2781" s="630"/>
    </row>
    <row r="2782" spans="1:7" ht="18.75" x14ac:dyDescent="0.25">
      <c r="A2782" s="629" t="s">
        <v>3071</v>
      </c>
      <c r="B2782" s="630">
        <v>278</v>
      </c>
      <c r="C2782" s="631" t="str">
        <f t="shared" si="47"/>
        <v>Ô tô tự đổ 27 tấn278</v>
      </c>
      <c r="D2782" s="630"/>
      <c r="E2782" s="630"/>
      <c r="F2782" s="630"/>
      <c r="G2782" s="630"/>
    </row>
    <row r="2783" spans="1:7" ht="18.75" x14ac:dyDescent="0.25">
      <c r="A2783" s="629" t="s">
        <v>3071</v>
      </c>
      <c r="B2783" s="630">
        <v>279</v>
      </c>
      <c r="C2783" s="631" t="str">
        <f t="shared" si="47"/>
        <v>Ô tô tự đổ 27 tấn279</v>
      </c>
      <c r="D2783" s="630"/>
      <c r="E2783" s="630"/>
      <c r="F2783" s="630"/>
      <c r="G2783" s="630"/>
    </row>
    <row r="2784" spans="1:7" ht="18.75" x14ac:dyDescent="0.25">
      <c r="A2784" s="629" t="s">
        <v>3071</v>
      </c>
      <c r="B2784" s="630">
        <v>280</v>
      </c>
      <c r="C2784" s="631" t="str">
        <f t="shared" si="47"/>
        <v>Ô tô tự đổ 27 tấn280</v>
      </c>
      <c r="D2784" s="630"/>
      <c r="E2784" s="630"/>
      <c r="F2784" s="630"/>
      <c r="G2784" s="630"/>
    </row>
    <row r="2785" spans="1:7" ht="18.75" x14ac:dyDescent="0.25">
      <c r="A2785" s="629" t="s">
        <v>3071</v>
      </c>
      <c r="B2785" s="630">
        <v>281</v>
      </c>
      <c r="C2785" s="631" t="str">
        <f t="shared" si="47"/>
        <v>Ô tô tự đổ 27 tấn281</v>
      </c>
      <c r="D2785" s="630"/>
      <c r="E2785" s="630"/>
      <c r="F2785" s="630"/>
      <c r="G2785" s="630"/>
    </row>
    <row r="2786" spans="1:7" ht="18.75" x14ac:dyDescent="0.25">
      <c r="A2786" s="629" t="s">
        <v>3071</v>
      </c>
      <c r="B2786" s="630">
        <v>282</v>
      </c>
      <c r="C2786" s="631" t="str">
        <f t="shared" si="47"/>
        <v>Ô tô tự đổ 27 tấn282</v>
      </c>
      <c r="D2786" s="630"/>
      <c r="E2786" s="630"/>
      <c r="F2786" s="630"/>
      <c r="G2786" s="630"/>
    </row>
    <row r="2787" spans="1:7" ht="18.75" x14ac:dyDescent="0.25">
      <c r="A2787" s="629" t="s">
        <v>3071</v>
      </c>
      <c r="B2787" s="630">
        <v>283</v>
      </c>
      <c r="C2787" s="631" t="str">
        <f t="shared" si="47"/>
        <v>Ô tô tự đổ 27 tấn283</v>
      </c>
      <c r="D2787" s="630"/>
      <c r="E2787" s="630"/>
      <c r="F2787" s="630"/>
      <c r="G2787" s="630"/>
    </row>
    <row r="2788" spans="1:7" ht="18.75" x14ac:dyDescent="0.25">
      <c r="A2788" s="629" t="s">
        <v>3071</v>
      </c>
      <c r="B2788" s="630">
        <v>284</v>
      </c>
      <c r="C2788" s="631" t="str">
        <f t="shared" si="47"/>
        <v>Ô tô tự đổ 27 tấn284</v>
      </c>
      <c r="D2788" s="630"/>
      <c r="E2788" s="630"/>
      <c r="F2788" s="630"/>
      <c r="G2788" s="630"/>
    </row>
    <row r="2789" spans="1:7" ht="18.75" x14ac:dyDescent="0.25">
      <c r="A2789" s="629" t="s">
        <v>3071</v>
      </c>
      <c r="B2789" s="630">
        <v>285</v>
      </c>
      <c r="C2789" s="631" t="str">
        <f t="shared" si="47"/>
        <v>Ô tô tự đổ 27 tấn285</v>
      </c>
      <c r="D2789" s="630"/>
      <c r="E2789" s="630"/>
      <c r="F2789" s="630"/>
      <c r="G2789" s="630"/>
    </row>
    <row r="2790" spans="1:7" ht="18.75" x14ac:dyDescent="0.25">
      <c r="A2790" s="629" t="s">
        <v>3071</v>
      </c>
      <c r="B2790" s="630">
        <v>286</v>
      </c>
      <c r="C2790" s="631" t="str">
        <f t="shared" si="47"/>
        <v>Ô tô tự đổ 27 tấn286</v>
      </c>
      <c r="D2790" s="630"/>
      <c r="E2790" s="630"/>
      <c r="F2790" s="630"/>
      <c r="G2790" s="630"/>
    </row>
    <row r="2791" spans="1:7" ht="18.75" x14ac:dyDescent="0.25">
      <c r="A2791" s="629" t="s">
        <v>3071</v>
      </c>
      <c r="B2791" s="630">
        <v>287</v>
      </c>
      <c r="C2791" s="631" t="str">
        <f t="shared" si="47"/>
        <v>Ô tô tự đổ 27 tấn287</v>
      </c>
      <c r="D2791" s="630"/>
      <c r="E2791" s="630"/>
      <c r="F2791" s="630"/>
      <c r="G2791" s="630"/>
    </row>
    <row r="2792" spans="1:7" ht="18.75" x14ac:dyDescent="0.25">
      <c r="A2792" s="629" t="s">
        <v>3071</v>
      </c>
      <c r="B2792" s="630">
        <v>288</v>
      </c>
      <c r="C2792" s="631" t="str">
        <f t="shared" si="47"/>
        <v>Ô tô tự đổ 27 tấn288</v>
      </c>
      <c r="D2792" s="630"/>
      <c r="E2792" s="630"/>
      <c r="F2792" s="630"/>
      <c r="G2792" s="630"/>
    </row>
    <row r="2793" spans="1:7" ht="18.75" x14ac:dyDescent="0.25">
      <c r="A2793" s="629" t="s">
        <v>3071</v>
      </c>
      <c r="B2793" s="630">
        <v>289</v>
      </c>
      <c r="C2793" s="631" t="str">
        <f t="shared" si="47"/>
        <v>Ô tô tự đổ 27 tấn289</v>
      </c>
      <c r="D2793" s="630"/>
      <c r="E2793" s="630"/>
      <c r="F2793" s="630"/>
      <c r="G2793" s="630"/>
    </row>
    <row r="2794" spans="1:7" ht="18.75" x14ac:dyDescent="0.25">
      <c r="A2794" s="629" t="s">
        <v>3071</v>
      </c>
      <c r="B2794" s="630">
        <v>290</v>
      </c>
      <c r="C2794" s="631" t="str">
        <f t="shared" si="47"/>
        <v>Ô tô tự đổ 27 tấn290</v>
      </c>
      <c r="D2794" s="630"/>
      <c r="E2794" s="630"/>
      <c r="F2794" s="630"/>
      <c r="G2794" s="630"/>
    </row>
    <row r="2795" spans="1:7" ht="18.75" x14ac:dyDescent="0.25">
      <c r="A2795" s="629" t="s">
        <v>3071</v>
      </c>
      <c r="B2795" s="630">
        <v>291</v>
      </c>
      <c r="C2795" s="631" t="str">
        <f t="shared" si="47"/>
        <v>Ô tô tự đổ 27 tấn291</v>
      </c>
      <c r="D2795" s="630"/>
      <c r="E2795" s="630"/>
      <c r="F2795" s="630"/>
      <c r="G2795" s="630"/>
    </row>
    <row r="2796" spans="1:7" ht="18.75" x14ac:dyDescent="0.25">
      <c r="A2796" s="629" t="s">
        <v>3071</v>
      </c>
      <c r="B2796" s="630">
        <v>292</v>
      </c>
      <c r="C2796" s="631" t="str">
        <f t="shared" si="47"/>
        <v>Ô tô tự đổ 27 tấn292</v>
      </c>
      <c r="D2796" s="630"/>
      <c r="E2796" s="630"/>
      <c r="F2796" s="630"/>
      <c r="G2796" s="630"/>
    </row>
    <row r="2797" spans="1:7" ht="18.75" x14ac:dyDescent="0.25">
      <c r="A2797" s="629" t="s">
        <v>3071</v>
      </c>
      <c r="B2797" s="630">
        <v>293</v>
      </c>
      <c r="C2797" s="631" t="str">
        <f t="shared" si="47"/>
        <v>Ô tô tự đổ 27 tấn293</v>
      </c>
      <c r="D2797" s="630"/>
      <c r="E2797" s="630"/>
      <c r="F2797" s="630"/>
      <c r="G2797" s="630"/>
    </row>
    <row r="2798" spans="1:7" ht="18.75" x14ac:dyDescent="0.25">
      <c r="A2798" s="629" t="s">
        <v>3071</v>
      </c>
      <c r="B2798" s="630">
        <v>294</v>
      </c>
      <c r="C2798" s="631" t="str">
        <f t="shared" si="47"/>
        <v>Ô tô tự đổ 27 tấn294</v>
      </c>
      <c r="D2798" s="630"/>
      <c r="E2798" s="630"/>
      <c r="F2798" s="630"/>
      <c r="G2798" s="630"/>
    </row>
    <row r="2799" spans="1:7" ht="18.75" x14ac:dyDescent="0.25">
      <c r="A2799" s="629" t="s">
        <v>3071</v>
      </c>
      <c r="B2799" s="630">
        <v>295</v>
      </c>
      <c r="C2799" s="631" t="str">
        <f t="shared" si="47"/>
        <v>Ô tô tự đổ 27 tấn295</v>
      </c>
      <c r="D2799" s="630"/>
      <c r="E2799" s="630"/>
      <c r="F2799" s="630"/>
      <c r="G2799" s="630"/>
    </row>
    <row r="2800" spans="1:7" ht="18.75" x14ac:dyDescent="0.25">
      <c r="A2800" s="629" t="s">
        <v>3071</v>
      </c>
      <c r="B2800" s="630">
        <v>296</v>
      </c>
      <c r="C2800" s="631" t="str">
        <f t="shared" si="47"/>
        <v>Ô tô tự đổ 27 tấn296</v>
      </c>
      <c r="D2800" s="630"/>
      <c r="E2800" s="630"/>
      <c r="F2800" s="630"/>
      <c r="G2800" s="630"/>
    </row>
    <row r="2801" spans="1:7" ht="18.75" x14ac:dyDescent="0.25">
      <c r="A2801" s="629" t="s">
        <v>3071</v>
      </c>
      <c r="B2801" s="630">
        <v>297</v>
      </c>
      <c r="C2801" s="631" t="str">
        <f t="shared" si="47"/>
        <v>Ô tô tự đổ 27 tấn297</v>
      </c>
      <c r="D2801" s="630"/>
      <c r="E2801" s="630"/>
      <c r="F2801" s="630"/>
      <c r="G2801" s="630"/>
    </row>
    <row r="2802" spans="1:7" ht="18.75" x14ac:dyDescent="0.25">
      <c r="A2802" s="629" t="s">
        <v>3071</v>
      </c>
      <c r="B2802" s="630">
        <v>298</v>
      </c>
      <c r="C2802" s="631" t="str">
        <f t="shared" si="47"/>
        <v>Ô tô tự đổ 27 tấn298</v>
      </c>
      <c r="D2802" s="630"/>
      <c r="E2802" s="630"/>
      <c r="F2802" s="630"/>
      <c r="G2802" s="630"/>
    </row>
    <row r="2803" spans="1:7" ht="18.75" x14ac:dyDescent="0.25">
      <c r="A2803" s="629" t="s">
        <v>3071</v>
      </c>
      <c r="B2803" s="630">
        <v>299</v>
      </c>
      <c r="C2803" s="631" t="str">
        <f t="shared" si="47"/>
        <v>Ô tô tự đổ 27 tấn299</v>
      </c>
      <c r="D2803" s="630"/>
      <c r="E2803" s="630"/>
      <c r="F2803" s="630"/>
      <c r="G2803" s="630"/>
    </row>
    <row r="2804" spans="1:7" ht="18.75" x14ac:dyDescent="0.25">
      <c r="A2804" s="629" t="s">
        <v>3071</v>
      </c>
      <c r="B2804" s="630">
        <v>300</v>
      </c>
      <c r="C2804" s="631" t="str">
        <f t="shared" si="47"/>
        <v>Ô tô tự đổ 27 tấn300</v>
      </c>
      <c r="D2804" s="630"/>
      <c r="E2804" s="630"/>
      <c r="F2804" s="630"/>
      <c r="G2804" s="630"/>
    </row>
    <row r="2805" spans="1:7" ht="18.75" x14ac:dyDescent="0.25">
      <c r="A2805" s="629" t="s">
        <v>3071</v>
      </c>
      <c r="B2805" s="630">
        <v>301</v>
      </c>
      <c r="C2805" s="631" t="str">
        <f t="shared" si="47"/>
        <v>Ô tô tự đổ 27 tấn301</v>
      </c>
      <c r="D2805" s="630"/>
      <c r="E2805" s="630"/>
      <c r="F2805" s="630"/>
      <c r="G2805" s="630"/>
    </row>
    <row r="2806" spans="1:7" ht="18.75" x14ac:dyDescent="0.25">
      <c r="A2806" s="629" t="s">
        <v>3071</v>
      </c>
      <c r="B2806" s="630">
        <v>302</v>
      </c>
      <c r="C2806" s="631" t="str">
        <f t="shared" si="47"/>
        <v>Ô tô tự đổ 27 tấn302</v>
      </c>
      <c r="D2806" s="630"/>
      <c r="E2806" s="630"/>
      <c r="F2806" s="630"/>
      <c r="G2806" s="630"/>
    </row>
    <row r="2807" spans="1:7" ht="18.75" x14ac:dyDescent="0.25">
      <c r="A2807" s="629" t="s">
        <v>3071</v>
      </c>
      <c r="B2807" s="630">
        <v>303</v>
      </c>
      <c r="C2807" s="631" t="str">
        <f t="shared" si="47"/>
        <v>Ô tô tự đổ 27 tấn303</v>
      </c>
      <c r="D2807" s="630"/>
      <c r="E2807" s="630"/>
      <c r="F2807" s="630"/>
      <c r="G2807" s="630"/>
    </row>
    <row r="2808" spans="1:7" ht="18.75" x14ac:dyDescent="0.25">
      <c r="A2808" s="629" t="s">
        <v>3071</v>
      </c>
      <c r="B2808" s="630">
        <v>304</v>
      </c>
      <c r="C2808" s="631" t="str">
        <f t="shared" si="47"/>
        <v>Ô tô tự đổ 27 tấn304</v>
      </c>
      <c r="D2808" s="630"/>
      <c r="E2808" s="630"/>
      <c r="F2808" s="630"/>
      <c r="G2808" s="630"/>
    </row>
    <row r="2809" spans="1:7" ht="18.75" x14ac:dyDescent="0.25">
      <c r="A2809" s="629" t="s">
        <v>3071</v>
      </c>
      <c r="B2809" s="630">
        <v>305</v>
      </c>
      <c r="C2809" s="631" t="str">
        <f t="shared" si="47"/>
        <v>Ô tô tự đổ 27 tấn305</v>
      </c>
      <c r="D2809" s="630"/>
      <c r="E2809" s="630"/>
      <c r="F2809" s="630"/>
      <c r="G2809" s="630"/>
    </row>
    <row r="2810" spans="1:7" ht="18.75" x14ac:dyDescent="0.25">
      <c r="A2810" s="629" t="s">
        <v>3071</v>
      </c>
      <c r="B2810" s="630">
        <v>306</v>
      </c>
      <c r="C2810" s="631" t="str">
        <f t="shared" si="47"/>
        <v>Ô tô tự đổ 27 tấn306</v>
      </c>
      <c r="D2810" s="630"/>
      <c r="E2810" s="630"/>
      <c r="F2810" s="630"/>
      <c r="G2810" s="630"/>
    </row>
    <row r="2811" spans="1:7" ht="18.75" x14ac:dyDescent="0.25">
      <c r="A2811" s="629" t="s">
        <v>3071</v>
      </c>
      <c r="B2811" s="630">
        <v>307</v>
      </c>
      <c r="C2811" s="631" t="str">
        <f t="shared" si="47"/>
        <v>Ô tô tự đổ 27 tấn307</v>
      </c>
      <c r="D2811" s="630"/>
      <c r="E2811" s="630"/>
      <c r="F2811" s="630"/>
      <c r="G2811" s="630"/>
    </row>
    <row r="2812" spans="1:7" ht="18.75" x14ac:dyDescent="0.25">
      <c r="A2812" s="629" t="s">
        <v>3071</v>
      </c>
      <c r="B2812" s="630">
        <v>308</v>
      </c>
      <c r="C2812" s="631" t="str">
        <f t="shared" si="47"/>
        <v>Ô tô tự đổ 27 tấn308</v>
      </c>
      <c r="D2812" s="630"/>
      <c r="E2812" s="630"/>
      <c r="F2812" s="630"/>
      <c r="G2812" s="630"/>
    </row>
    <row r="2813" spans="1:7" ht="18.75" x14ac:dyDescent="0.25">
      <c r="A2813" s="629" t="s">
        <v>3071</v>
      </c>
      <c r="B2813" s="630">
        <v>309</v>
      </c>
      <c r="C2813" s="631" t="str">
        <f t="shared" si="47"/>
        <v>Ô tô tự đổ 27 tấn309</v>
      </c>
      <c r="D2813" s="630"/>
      <c r="E2813" s="630"/>
      <c r="F2813" s="630"/>
      <c r="G2813" s="630"/>
    </row>
    <row r="2814" spans="1:7" ht="18.75" x14ac:dyDescent="0.25">
      <c r="A2814" s="629" t="s">
        <v>3071</v>
      </c>
      <c r="B2814" s="630">
        <v>310</v>
      </c>
      <c r="C2814" s="631" t="str">
        <f t="shared" si="47"/>
        <v>Ô tô tự đổ 27 tấn310</v>
      </c>
      <c r="D2814" s="630"/>
      <c r="E2814" s="630"/>
      <c r="F2814" s="630"/>
      <c r="G2814" s="630"/>
    </row>
    <row r="2815" spans="1:7" ht="18.75" x14ac:dyDescent="0.25">
      <c r="A2815" s="629" t="s">
        <v>3071</v>
      </c>
      <c r="B2815" s="630">
        <v>311</v>
      </c>
      <c r="C2815" s="631" t="str">
        <f t="shared" si="47"/>
        <v>Ô tô tự đổ 27 tấn311</v>
      </c>
      <c r="D2815" s="630"/>
      <c r="E2815" s="630"/>
      <c r="F2815" s="630"/>
      <c r="G2815" s="630"/>
    </row>
    <row r="2816" spans="1:7" ht="18.75" x14ac:dyDescent="0.25">
      <c r="A2816" s="629" t="s">
        <v>3071</v>
      </c>
      <c r="B2816" s="630">
        <v>312</v>
      </c>
      <c r="C2816" s="631" t="str">
        <f t="shared" si="47"/>
        <v>Ô tô tự đổ 27 tấn312</v>
      </c>
      <c r="D2816" s="630"/>
      <c r="E2816" s="630"/>
      <c r="F2816" s="630"/>
      <c r="G2816" s="630"/>
    </row>
    <row r="2817" spans="1:7" ht="18.75" x14ac:dyDescent="0.25">
      <c r="A2817" s="629" t="s">
        <v>3071</v>
      </c>
      <c r="B2817" s="630">
        <v>313</v>
      </c>
      <c r="C2817" s="631" t="str">
        <f t="shared" si="47"/>
        <v>Ô tô tự đổ 27 tấn313</v>
      </c>
      <c r="D2817" s="630"/>
      <c r="E2817" s="630"/>
      <c r="F2817" s="630"/>
      <c r="G2817" s="630"/>
    </row>
    <row r="2818" spans="1:7" ht="18.75" x14ac:dyDescent="0.25">
      <c r="A2818" s="629" t="s">
        <v>3071</v>
      </c>
      <c r="B2818" s="630">
        <v>314</v>
      </c>
      <c r="C2818" s="631" t="str">
        <f t="shared" si="47"/>
        <v>Ô tô tự đổ 27 tấn314</v>
      </c>
      <c r="D2818" s="630"/>
      <c r="E2818" s="630"/>
      <c r="F2818" s="630"/>
      <c r="G2818" s="630"/>
    </row>
    <row r="2819" spans="1:7" ht="18.75" x14ac:dyDescent="0.25">
      <c r="A2819" s="629" t="s">
        <v>3071</v>
      </c>
      <c r="B2819" s="630">
        <v>315</v>
      </c>
      <c r="C2819" s="631" t="str">
        <f t="shared" si="47"/>
        <v>Ô tô tự đổ 27 tấn315</v>
      </c>
      <c r="D2819" s="630"/>
      <c r="E2819" s="630"/>
      <c r="F2819" s="630"/>
      <c r="G2819" s="630"/>
    </row>
    <row r="2820" spans="1:7" ht="18.75" x14ac:dyDescent="0.25">
      <c r="A2820" s="629" t="s">
        <v>3071</v>
      </c>
      <c r="B2820" s="630">
        <v>316</v>
      </c>
      <c r="C2820" s="631" t="str">
        <f t="shared" si="47"/>
        <v>Ô tô tự đổ 27 tấn316</v>
      </c>
      <c r="D2820" s="630"/>
      <c r="E2820" s="630"/>
      <c r="F2820" s="630"/>
      <c r="G2820" s="630"/>
    </row>
    <row r="2821" spans="1:7" ht="18.75" x14ac:dyDescent="0.25">
      <c r="A2821" s="629" t="s">
        <v>3071</v>
      </c>
      <c r="B2821" s="630">
        <v>317</v>
      </c>
      <c r="C2821" s="631" t="str">
        <f t="shared" si="47"/>
        <v>Ô tô tự đổ 27 tấn317</v>
      </c>
      <c r="D2821" s="630"/>
      <c r="E2821" s="630"/>
      <c r="F2821" s="630"/>
      <c r="G2821" s="630"/>
    </row>
    <row r="2822" spans="1:7" ht="18.75" x14ac:dyDescent="0.25">
      <c r="A2822" s="629" t="s">
        <v>3071</v>
      </c>
      <c r="B2822" s="630">
        <v>318</v>
      </c>
      <c r="C2822" s="631" t="str">
        <f t="shared" si="47"/>
        <v>Ô tô tự đổ 27 tấn318</v>
      </c>
      <c r="D2822" s="630"/>
      <c r="E2822" s="630"/>
      <c r="F2822" s="630"/>
      <c r="G2822" s="630"/>
    </row>
    <row r="2823" spans="1:7" ht="18.75" x14ac:dyDescent="0.25">
      <c r="A2823" s="629" t="s">
        <v>3071</v>
      </c>
      <c r="B2823" s="630">
        <v>319</v>
      </c>
      <c r="C2823" s="631" t="str">
        <f t="shared" si="47"/>
        <v>Ô tô tự đổ 27 tấn319</v>
      </c>
      <c r="D2823" s="630"/>
      <c r="E2823" s="630"/>
      <c r="F2823" s="630"/>
      <c r="G2823" s="630"/>
    </row>
    <row r="2824" spans="1:7" ht="18.75" x14ac:dyDescent="0.25">
      <c r="A2824" s="629" t="s">
        <v>3071</v>
      </c>
      <c r="B2824" s="630">
        <v>320</v>
      </c>
      <c r="C2824" s="631" t="str">
        <f t="shared" si="47"/>
        <v>Ô tô tự đổ 27 tấn320</v>
      </c>
      <c r="D2824" s="630"/>
      <c r="E2824" s="630"/>
      <c r="F2824" s="630"/>
      <c r="G2824" s="630"/>
    </row>
    <row r="2825" spans="1:7" ht="18.75" x14ac:dyDescent="0.25">
      <c r="A2825" s="629" t="s">
        <v>3071</v>
      </c>
      <c r="B2825" s="630">
        <v>321</v>
      </c>
      <c r="C2825" s="631" t="str">
        <f t="shared" si="47"/>
        <v>Ô tô tự đổ 27 tấn321</v>
      </c>
      <c r="D2825" s="630"/>
      <c r="E2825" s="630"/>
      <c r="F2825" s="630"/>
      <c r="G2825" s="630"/>
    </row>
    <row r="2826" spans="1:7" ht="18.75" x14ac:dyDescent="0.25">
      <c r="A2826" s="629" t="s">
        <v>3071</v>
      </c>
      <c r="B2826" s="630">
        <v>322</v>
      </c>
      <c r="C2826" s="631" t="str">
        <f t="shared" ref="C2826:C2889" si="48">A2826&amp;B2826</f>
        <v>Ô tô tự đổ 27 tấn322</v>
      </c>
      <c r="D2826" s="630"/>
      <c r="E2826" s="630"/>
      <c r="F2826" s="630"/>
      <c r="G2826" s="630"/>
    </row>
    <row r="2827" spans="1:7" ht="18.75" x14ac:dyDescent="0.25">
      <c r="A2827" s="629" t="s">
        <v>3071</v>
      </c>
      <c r="B2827" s="630">
        <v>323</v>
      </c>
      <c r="C2827" s="631" t="str">
        <f t="shared" si="48"/>
        <v>Ô tô tự đổ 27 tấn323</v>
      </c>
      <c r="D2827" s="630"/>
      <c r="E2827" s="630"/>
      <c r="F2827" s="630"/>
      <c r="G2827" s="630"/>
    </row>
    <row r="2828" spans="1:7" ht="18.75" x14ac:dyDescent="0.25">
      <c r="A2828" s="629" t="s">
        <v>3071</v>
      </c>
      <c r="B2828" s="630">
        <v>324</v>
      </c>
      <c r="C2828" s="631" t="str">
        <f t="shared" si="48"/>
        <v>Ô tô tự đổ 27 tấn324</v>
      </c>
      <c r="D2828" s="630"/>
      <c r="E2828" s="630"/>
      <c r="F2828" s="630"/>
      <c r="G2828" s="630"/>
    </row>
    <row r="2829" spans="1:7" ht="18.75" x14ac:dyDescent="0.25">
      <c r="A2829" s="629" t="s">
        <v>3071</v>
      </c>
      <c r="B2829" s="630">
        <v>325</v>
      </c>
      <c r="C2829" s="631" t="str">
        <f t="shared" si="48"/>
        <v>Ô tô tự đổ 27 tấn325</v>
      </c>
      <c r="D2829" s="630"/>
      <c r="E2829" s="630"/>
      <c r="F2829" s="630"/>
      <c r="G2829" s="630"/>
    </row>
    <row r="2830" spans="1:7" ht="18.75" x14ac:dyDescent="0.25">
      <c r="A2830" s="629" t="s">
        <v>3071</v>
      </c>
      <c r="B2830" s="630">
        <v>326</v>
      </c>
      <c r="C2830" s="631" t="str">
        <f t="shared" si="48"/>
        <v>Ô tô tự đổ 27 tấn326</v>
      </c>
      <c r="D2830" s="630"/>
      <c r="E2830" s="630"/>
      <c r="F2830" s="630"/>
      <c r="G2830" s="630"/>
    </row>
    <row r="2831" spans="1:7" ht="18.75" x14ac:dyDescent="0.25">
      <c r="A2831" s="629" t="s">
        <v>3071</v>
      </c>
      <c r="B2831" s="630">
        <v>327</v>
      </c>
      <c r="C2831" s="631" t="str">
        <f t="shared" si="48"/>
        <v>Ô tô tự đổ 27 tấn327</v>
      </c>
      <c r="D2831" s="630"/>
      <c r="E2831" s="630"/>
      <c r="F2831" s="630"/>
      <c r="G2831" s="630"/>
    </row>
    <row r="2832" spans="1:7" ht="18.75" x14ac:dyDescent="0.25">
      <c r="A2832" s="629" t="s">
        <v>3071</v>
      </c>
      <c r="B2832" s="630">
        <v>328</v>
      </c>
      <c r="C2832" s="631" t="str">
        <f t="shared" si="48"/>
        <v>Ô tô tự đổ 27 tấn328</v>
      </c>
      <c r="D2832" s="630"/>
      <c r="E2832" s="630"/>
      <c r="F2832" s="630"/>
      <c r="G2832" s="630"/>
    </row>
    <row r="2833" spans="1:7" ht="18.75" x14ac:dyDescent="0.25">
      <c r="A2833" s="629" t="s">
        <v>3071</v>
      </c>
      <c r="B2833" s="630">
        <v>329</v>
      </c>
      <c r="C2833" s="631" t="str">
        <f t="shared" si="48"/>
        <v>Ô tô tự đổ 27 tấn329</v>
      </c>
      <c r="D2833" s="630"/>
      <c r="E2833" s="630"/>
      <c r="F2833" s="630"/>
      <c r="G2833" s="630"/>
    </row>
    <row r="2834" spans="1:7" ht="18.75" x14ac:dyDescent="0.25">
      <c r="A2834" s="629" t="s">
        <v>3071</v>
      </c>
      <c r="B2834" s="630">
        <v>330</v>
      </c>
      <c r="C2834" s="631" t="str">
        <f t="shared" si="48"/>
        <v>Ô tô tự đổ 27 tấn330</v>
      </c>
      <c r="D2834" s="630"/>
      <c r="E2834" s="630"/>
      <c r="F2834" s="630"/>
      <c r="G2834" s="630"/>
    </row>
    <row r="2835" spans="1:7" ht="18.75" x14ac:dyDescent="0.25">
      <c r="A2835" s="629" t="s">
        <v>3071</v>
      </c>
      <c r="B2835" s="630">
        <v>331</v>
      </c>
      <c r="C2835" s="631" t="str">
        <f t="shared" si="48"/>
        <v>Ô tô tự đổ 27 tấn331</v>
      </c>
      <c r="D2835" s="630"/>
      <c r="E2835" s="630"/>
      <c r="F2835" s="630"/>
      <c r="G2835" s="630"/>
    </row>
    <row r="2836" spans="1:7" ht="18.75" x14ac:dyDescent="0.25">
      <c r="A2836" s="629" t="s">
        <v>3071</v>
      </c>
      <c r="B2836" s="630">
        <v>332</v>
      </c>
      <c r="C2836" s="631" t="str">
        <f t="shared" si="48"/>
        <v>Ô tô tự đổ 27 tấn332</v>
      </c>
      <c r="D2836" s="630"/>
      <c r="E2836" s="630"/>
      <c r="F2836" s="630"/>
      <c r="G2836" s="630"/>
    </row>
    <row r="2837" spans="1:7" ht="18.75" x14ac:dyDescent="0.25">
      <c r="A2837" s="629" t="s">
        <v>3071</v>
      </c>
      <c r="B2837" s="630">
        <v>333</v>
      </c>
      <c r="C2837" s="631" t="str">
        <f t="shared" si="48"/>
        <v>Ô tô tự đổ 27 tấn333</v>
      </c>
      <c r="D2837" s="630"/>
      <c r="E2837" s="630"/>
      <c r="F2837" s="630"/>
      <c r="G2837" s="630"/>
    </row>
    <row r="2838" spans="1:7" ht="18.75" x14ac:dyDescent="0.25">
      <c r="A2838" s="629" t="s">
        <v>3071</v>
      </c>
      <c r="B2838" s="630">
        <v>334</v>
      </c>
      <c r="C2838" s="631" t="str">
        <f t="shared" si="48"/>
        <v>Ô tô tự đổ 27 tấn334</v>
      </c>
      <c r="D2838" s="630"/>
      <c r="E2838" s="630"/>
      <c r="F2838" s="630"/>
      <c r="G2838" s="630"/>
    </row>
    <row r="2839" spans="1:7" ht="18.75" x14ac:dyDescent="0.25">
      <c r="A2839" s="629" t="s">
        <v>3071</v>
      </c>
      <c r="B2839" s="630">
        <v>335</v>
      </c>
      <c r="C2839" s="631" t="str">
        <f t="shared" si="48"/>
        <v>Ô tô tự đổ 27 tấn335</v>
      </c>
      <c r="D2839" s="630"/>
      <c r="E2839" s="630"/>
      <c r="F2839" s="630"/>
      <c r="G2839" s="630"/>
    </row>
    <row r="2840" spans="1:7" ht="18.75" x14ac:dyDescent="0.25">
      <c r="A2840" s="629" t="s">
        <v>3071</v>
      </c>
      <c r="B2840" s="630">
        <v>336</v>
      </c>
      <c r="C2840" s="631" t="str">
        <f t="shared" si="48"/>
        <v>Ô tô tự đổ 27 tấn336</v>
      </c>
      <c r="D2840" s="630"/>
      <c r="E2840" s="630"/>
      <c r="F2840" s="630"/>
      <c r="G2840" s="630"/>
    </row>
    <row r="2841" spans="1:7" ht="18.75" x14ac:dyDescent="0.25">
      <c r="A2841" s="629" t="s">
        <v>3071</v>
      </c>
      <c r="B2841" s="630">
        <v>337</v>
      </c>
      <c r="C2841" s="631" t="str">
        <f t="shared" si="48"/>
        <v>Ô tô tự đổ 27 tấn337</v>
      </c>
      <c r="D2841" s="630"/>
      <c r="E2841" s="630"/>
      <c r="F2841" s="630"/>
      <c r="G2841" s="630"/>
    </row>
    <row r="2842" spans="1:7" ht="18.75" x14ac:dyDescent="0.25">
      <c r="A2842" s="629" t="s">
        <v>3071</v>
      </c>
      <c r="B2842" s="630">
        <v>338</v>
      </c>
      <c r="C2842" s="631" t="str">
        <f t="shared" si="48"/>
        <v>Ô tô tự đổ 27 tấn338</v>
      </c>
      <c r="D2842" s="630"/>
      <c r="E2842" s="630"/>
      <c r="F2842" s="630"/>
      <c r="G2842" s="630"/>
    </row>
    <row r="2843" spans="1:7" ht="18.75" x14ac:dyDescent="0.25">
      <c r="A2843" s="629" t="s">
        <v>3071</v>
      </c>
      <c r="B2843" s="630">
        <v>339</v>
      </c>
      <c r="C2843" s="631" t="str">
        <f t="shared" si="48"/>
        <v>Ô tô tự đổ 27 tấn339</v>
      </c>
      <c r="D2843" s="630"/>
      <c r="E2843" s="630"/>
      <c r="F2843" s="630"/>
      <c r="G2843" s="630"/>
    </row>
    <row r="2844" spans="1:7" ht="18.75" x14ac:dyDescent="0.25">
      <c r="A2844" s="629" t="s">
        <v>3071</v>
      </c>
      <c r="B2844" s="630">
        <v>340</v>
      </c>
      <c r="C2844" s="631" t="str">
        <f t="shared" si="48"/>
        <v>Ô tô tự đổ 27 tấn340</v>
      </c>
      <c r="D2844" s="630"/>
      <c r="E2844" s="630"/>
      <c r="F2844" s="630"/>
      <c r="G2844" s="630"/>
    </row>
    <row r="2845" spans="1:7" ht="18.75" x14ac:dyDescent="0.25">
      <c r="A2845" s="629" t="s">
        <v>3071</v>
      </c>
      <c r="B2845" s="630">
        <v>341</v>
      </c>
      <c r="C2845" s="631" t="str">
        <f t="shared" si="48"/>
        <v>Ô tô tự đổ 27 tấn341</v>
      </c>
      <c r="D2845" s="630"/>
      <c r="E2845" s="630"/>
      <c r="F2845" s="630"/>
      <c r="G2845" s="630"/>
    </row>
    <row r="2846" spans="1:7" ht="18.75" x14ac:dyDescent="0.25">
      <c r="A2846" s="629" t="s">
        <v>3071</v>
      </c>
      <c r="B2846" s="630">
        <v>342</v>
      </c>
      <c r="C2846" s="631" t="str">
        <f t="shared" si="48"/>
        <v>Ô tô tự đổ 27 tấn342</v>
      </c>
      <c r="D2846" s="630"/>
      <c r="E2846" s="630"/>
      <c r="F2846" s="630"/>
      <c r="G2846" s="630"/>
    </row>
    <row r="2847" spans="1:7" ht="18.75" x14ac:dyDescent="0.25">
      <c r="A2847" s="629" t="s">
        <v>3071</v>
      </c>
      <c r="B2847" s="630">
        <v>343</v>
      </c>
      <c r="C2847" s="631" t="str">
        <f t="shared" si="48"/>
        <v>Ô tô tự đổ 27 tấn343</v>
      </c>
      <c r="D2847" s="630"/>
      <c r="E2847" s="630"/>
      <c r="F2847" s="630"/>
      <c r="G2847" s="630"/>
    </row>
    <row r="2848" spans="1:7" ht="18.75" x14ac:dyDescent="0.25">
      <c r="A2848" s="629" t="s">
        <v>3071</v>
      </c>
      <c r="B2848" s="630">
        <v>344</v>
      </c>
      <c r="C2848" s="631" t="str">
        <f t="shared" si="48"/>
        <v>Ô tô tự đổ 27 tấn344</v>
      </c>
      <c r="D2848" s="630"/>
      <c r="E2848" s="630"/>
      <c r="F2848" s="630"/>
      <c r="G2848" s="630"/>
    </row>
    <row r="2849" spans="1:7" ht="18.75" x14ac:dyDescent="0.25">
      <c r="A2849" s="629" t="s">
        <v>3071</v>
      </c>
      <c r="B2849" s="630">
        <v>345</v>
      </c>
      <c r="C2849" s="631" t="str">
        <f t="shared" si="48"/>
        <v>Ô tô tự đổ 27 tấn345</v>
      </c>
      <c r="D2849" s="630"/>
      <c r="E2849" s="630"/>
      <c r="F2849" s="630"/>
      <c r="G2849" s="630"/>
    </row>
    <row r="2850" spans="1:7" ht="18.75" x14ac:dyDescent="0.25">
      <c r="A2850" s="629" t="s">
        <v>3071</v>
      </c>
      <c r="B2850" s="630">
        <v>346</v>
      </c>
      <c r="C2850" s="631" t="str">
        <f t="shared" si="48"/>
        <v>Ô tô tự đổ 27 tấn346</v>
      </c>
      <c r="D2850" s="630"/>
      <c r="E2850" s="630"/>
      <c r="F2850" s="630"/>
      <c r="G2850" s="630"/>
    </row>
    <row r="2851" spans="1:7" ht="18.75" x14ac:dyDescent="0.25">
      <c r="A2851" s="629" t="s">
        <v>3071</v>
      </c>
      <c r="B2851" s="630">
        <v>347</v>
      </c>
      <c r="C2851" s="631" t="str">
        <f t="shared" si="48"/>
        <v>Ô tô tự đổ 27 tấn347</v>
      </c>
      <c r="D2851" s="630"/>
      <c r="E2851" s="630"/>
      <c r="F2851" s="630"/>
      <c r="G2851" s="630"/>
    </row>
    <row r="2852" spans="1:7" ht="18.75" x14ac:dyDescent="0.25">
      <c r="A2852" s="629" t="s">
        <v>3071</v>
      </c>
      <c r="B2852" s="630">
        <v>348</v>
      </c>
      <c r="C2852" s="631" t="str">
        <f t="shared" si="48"/>
        <v>Ô tô tự đổ 27 tấn348</v>
      </c>
      <c r="D2852" s="630"/>
      <c r="E2852" s="630"/>
      <c r="F2852" s="630"/>
      <c r="G2852" s="630"/>
    </row>
    <row r="2853" spans="1:7" ht="18.75" x14ac:dyDescent="0.25">
      <c r="A2853" s="629" t="s">
        <v>3071</v>
      </c>
      <c r="B2853" s="630">
        <v>349</v>
      </c>
      <c r="C2853" s="631" t="str">
        <f t="shared" si="48"/>
        <v>Ô tô tự đổ 27 tấn349</v>
      </c>
      <c r="D2853" s="630"/>
      <c r="E2853" s="630"/>
      <c r="F2853" s="630"/>
      <c r="G2853" s="630"/>
    </row>
    <row r="2854" spans="1:7" ht="18.75" x14ac:dyDescent="0.25">
      <c r="A2854" s="629" t="s">
        <v>3071</v>
      </c>
      <c r="B2854" s="630">
        <v>350</v>
      </c>
      <c r="C2854" s="631" t="str">
        <f t="shared" si="48"/>
        <v>Ô tô tự đổ 27 tấn350</v>
      </c>
      <c r="D2854" s="630"/>
      <c r="E2854" s="630"/>
      <c r="F2854" s="630"/>
      <c r="G2854" s="630"/>
    </row>
    <row r="2855" spans="1:7" ht="18.75" x14ac:dyDescent="0.25">
      <c r="A2855" s="629" t="s">
        <v>3071</v>
      </c>
      <c r="B2855" s="630">
        <v>351</v>
      </c>
      <c r="C2855" s="631" t="str">
        <f t="shared" si="48"/>
        <v>Ô tô tự đổ 27 tấn351</v>
      </c>
      <c r="D2855" s="630"/>
      <c r="E2855" s="630"/>
      <c r="F2855" s="630"/>
      <c r="G2855" s="630"/>
    </row>
    <row r="2856" spans="1:7" ht="18.75" x14ac:dyDescent="0.25">
      <c r="A2856" s="629" t="s">
        <v>3071</v>
      </c>
      <c r="B2856" s="630">
        <v>352</v>
      </c>
      <c r="C2856" s="631" t="str">
        <f t="shared" si="48"/>
        <v>Ô tô tự đổ 27 tấn352</v>
      </c>
      <c r="D2856" s="630"/>
      <c r="E2856" s="630"/>
      <c r="F2856" s="630"/>
      <c r="G2856" s="630"/>
    </row>
    <row r="2857" spans="1:7" ht="18.75" x14ac:dyDescent="0.25">
      <c r="A2857" s="629" t="s">
        <v>3071</v>
      </c>
      <c r="B2857" s="630">
        <v>353</v>
      </c>
      <c r="C2857" s="631" t="str">
        <f t="shared" si="48"/>
        <v>Ô tô tự đổ 27 tấn353</v>
      </c>
      <c r="D2857" s="630"/>
      <c r="E2857" s="630"/>
      <c r="F2857" s="630"/>
      <c r="G2857" s="630"/>
    </row>
    <row r="2858" spans="1:7" ht="18.75" x14ac:dyDescent="0.25">
      <c r="A2858" s="629" t="s">
        <v>3071</v>
      </c>
      <c r="B2858" s="630">
        <v>354</v>
      </c>
      <c r="C2858" s="631" t="str">
        <f t="shared" si="48"/>
        <v>Ô tô tự đổ 27 tấn354</v>
      </c>
      <c r="D2858" s="630"/>
      <c r="E2858" s="630"/>
      <c r="F2858" s="630"/>
      <c r="G2858" s="630"/>
    </row>
    <row r="2859" spans="1:7" ht="18.75" x14ac:dyDescent="0.25">
      <c r="A2859" s="629" t="s">
        <v>3071</v>
      </c>
      <c r="B2859" s="630">
        <v>355</v>
      </c>
      <c r="C2859" s="631" t="str">
        <f t="shared" si="48"/>
        <v>Ô tô tự đổ 27 tấn355</v>
      </c>
      <c r="D2859" s="630"/>
      <c r="E2859" s="630"/>
      <c r="F2859" s="630"/>
      <c r="G2859" s="630"/>
    </row>
    <row r="2860" spans="1:7" ht="18.75" x14ac:dyDescent="0.25">
      <c r="A2860" s="629" t="s">
        <v>3071</v>
      </c>
      <c r="B2860" s="630">
        <v>356</v>
      </c>
      <c r="C2860" s="631" t="str">
        <f t="shared" si="48"/>
        <v>Ô tô tự đổ 27 tấn356</v>
      </c>
      <c r="D2860" s="630"/>
      <c r="E2860" s="630"/>
      <c r="F2860" s="630"/>
      <c r="G2860" s="630"/>
    </row>
    <row r="2861" spans="1:7" ht="18.75" x14ac:dyDescent="0.25">
      <c r="A2861" s="629" t="s">
        <v>3071</v>
      </c>
      <c r="B2861" s="630">
        <v>357</v>
      </c>
      <c r="C2861" s="631" t="str">
        <f t="shared" si="48"/>
        <v>Ô tô tự đổ 27 tấn357</v>
      </c>
      <c r="D2861" s="630"/>
      <c r="E2861" s="630"/>
      <c r="F2861" s="630"/>
      <c r="G2861" s="630"/>
    </row>
    <row r="2862" spans="1:7" ht="18.75" x14ac:dyDescent="0.25">
      <c r="A2862" s="629" t="s">
        <v>3071</v>
      </c>
      <c r="B2862" s="630">
        <v>358</v>
      </c>
      <c r="C2862" s="631" t="str">
        <f t="shared" si="48"/>
        <v>Ô tô tự đổ 27 tấn358</v>
      </c>
      <c r="D2862" s="630"/>
      <c r="E2862" s="630"/>
      <c r="F2862" s="630"/>
      <c r="G2862" s="630"/>
    </row>
    <row r="2863" spans="1:7" ht="18.75" x14ac:dyDescent="0.25">
      <c r="A2863" s="629" t="s">
        <v>3071</v>
      </c>
      <c r="B2863" s="630">
        <v>359</v>
      </c>
      <c r="C2863" s="631" t="str">
        <f t="shared" si="48"/>
        <v>Ô tô tự đổ 27 tấn359</v>
      </c>
      <c r="D2863" s="630"/>
      <c r="E2863" s="630"/>
      <c r="F2863" s="630"/>
      <c r="G2863" s="630"/>
    </row>
    <row r="2864" spans="1:7" ht="18.75" x14ac:dyDescent="0.25">
      <c r="A2864" s="629" t="s">
        <v>3071</v>
      </c>
      <c r="B2864" s="630">
        <v>360</v>
      </c>
      <c r="C2864" s="631" t="str">
        <f t="shared" si="48"/>
        <v>Ô tô tự đổ 27 tấn360</v>
      </c>
      <c r="D2864" s="630"/>
      <c r="E2864" s="630"/>
      <c r="F2864" s="630"/>
      <c r="G2864" s="630"/>
    </row>
    <row r="2865" spans="1:7" ht="18.75" x14ac:dyDescent="0.25">
      <c r="A2865" s="629" t="s">
        <v>3071</v>
      </c>
      <c r="B2865" s="630">
        <v>361</v>
      </c>
      <c r="C2865" s="631" t="str">
        <f t="shared" si="48"/>
        <v>Ô tô tự đổ 27 tấn361</v>
      </c>
      <c r="D2865" s="630"/>
      <c r="E2865" s="630"/>
      <c r="F2865" s="630"/>
      <c r="G2865" s="630"/>
    </row>
    <row r="2866" spans="1:7" ht="18.75" x14ac:dyDescent="0.25">
      <c r="A2866" s="629" t="s">
        <v>3071</v>
      </c>
      <c r="B2866" s="630">
        <v>362</v>
      </c>
      <c r="C2866" s="631" t="str">
        <f t="shared" si="48"/>
        <v>Ô tô tự đổ 27 tấn362</v>
      </c>
      <c r="D2866" s="630"/>
      <c r="E2866" s="630"/>
      <c r="F2866" s="630"/>
      <c r="G2866" s="630"/>
    </row>
    <row r="2867" spans="1:7" ht="18.75" x14ac:dyDescent="0.25">
      <c r="A2867" s="629" t="s">
        <v>3071</v>
      </c>
      <c r="B2867" s="630">
        <v>363</v>
      </c>
      <c r="C2867" s="631" t="str">
        <f t="shared" si="48"/>
        <v>Ô tô tự đổ 27 tấn363</v>
      </c>
      <c r="D2867" s="630"/>
      <c r="E2867" s="630"/>
      <c r="F2867" s="630"/>
      <c r="G2867" s="630"/>
    </row>
    <row r="2868" spans="1:7" ht="18.75" x14ac:dyDescent="0.25">
      <c r="A2868" s="629" t="s">
        <v>3071</v>
      </c>
      <c r="B2868" s="630">
        <v>364</v>
      </c>
      <c r="C2868" s="631" t="str">
        <f t="shared" si="48"/>
        <v>Ô tô tự đổ 27 tấn364</v>
      </c>
      <c r="D2868" s="630"/>
      <c r="E2868" s="630"/>
      <c r="F2868" s="630"/>
      <c r="G2868" s="630"/>
    </row>
    <row r="2869" spans="1:7" ht="18.75" x14ac:dyDescent="0.25">
      <c r="A2869" s="629" t="s">
        <v>3071</v>
      </c>
      <c r="B2869" s="630">
        <v>365</v>
      </c>
      <c r="C2869" s="631" t="str">
        <f t="shared" si="48"/>
        <v>Ô tô tự đổ 27 tấn365</v>
      </c>
      <c r="D2869" s="630"/>
      <c r="E2869" s="630"/>
      <c r="F2869" s="630"/>
      <c r="G2869" s="630"/>
    </row>
    <row r="2870" spans="1:7" ht="18.75" x14ac:dyDescent="0.25">
      <c r="A2870" s="629" t="s">
        <v>3071</v>
      </c>
      <c r="B2870" s="630">
        <v>366</v>
      </c>
      <c r="C2870" s="631" t="str">
        <f t="shared" si="48"/>
        <v>Ô tô tự đổ 27 tấn366</v>
      </c>
      <c r="D2870" s="630"/>
      <c r="E2870" s="630"/>
      <c r="F2870" s="630"/>
      <c r="G2870" s="630"/>
    </row>
    <row r="2871" spans="1:7" ht="18.75" x14ac:dyDescent="0.25">
      <c r="A2871" s="629" t="s">
        <v>3071</v>
      </c>
      <c r="B2871" s="630">
        <v>367</v>
      </c>
      <c r="C2871" s="631" t="str">
        <f t="shared" si="48"/>
        <v>Ô tô tự đổ 27 tấn367</v>
      </c>
      <c r="D2871" s="630"/>
      <c r="E2871" s="630"/>
      <c r="F2871" s="630"/>
      <c r="G2871" s="630"/>
    </row>
    <row r="2872" spans="1:7" ht="18.75" x14ac:dyDescent="0.25">
      <c r="A2872" s="629" t="s">
        <v>3071</v>
      </c>
      <c r="B2872" s="630">
        <v>368</v>
      </c>
      <c r="C2872" s="631" t="str">
        <f t="shared" si="48"/>
        <v>Ô tô tự đổ 27 tấn368</v>
      </c>
      <c r="D2872" s="630"/>
      <c r="E2872" s="630"/>
      <c r="F2872" s="630"/>
      <c r="G2872" s="630"/>
    </row>
    <row r="2873" spans="1:7" ht="18.75" x14ac:dyDescent="0.25">
      <c r="A2873" s="629" t="s">
        <v>3071</v>
      </c>
      <c r="B2873" s="630">
        <v>369</v>
      </c>
      <c r="C2873" s="631" t="str">
        <f t="shared" si="48"/>
        <v>Ô tô tự đổ 27 tấn369</v>
      </c>
      <c r="D2873" s="630"/>
      <c r="E2873" s="630"/>
      <c r="F2873" s="630"/>
      <c r="G2873" s="630"/>
    </row>
    <row r="2874" spans="1:7" ht="18.75" x14ac:dyDescent="0.25">
      <c r="A2874" s="629" t="s">
        <v>3071</v>
      </c>
      <c r="B2874" s="630">
        <v>370</v>
      </c>
      <c r="C2874" s="631" t="str">
        <f t="shared" si="48"/>
        <v>Ô tô tự đổ 27 tấn370</v>
      </c>
      <c r="D2874" s="630"/>
      <c r="E2874" s="630"/>
      <c r="F2874" s="630"/>
      <c r="G2874" s="630"/>
    </row>
    <row r="2875" spans="1:7" ht="18.75" x14ac:dyDescent="0.25">
      <c r="A2875" s="629" t="s">
        <v>3071</v>
      </c>
      <c r="B2875" s="630">
        <v>371</v>
      </c>
      <c r="C2875" s="631" t="str">
        <f t="shared" si="48"/>
        <v>Ô tô tự đổ 27 tấn371</v>
      </c>
      <c r="D2875" s="630"/>
      <c r="E2875" s="630"/>
      <c r="F2875" s="630"/>
      <c r="G2875" s="630"/>
    </row>
    <row r="2876" spans="1:7" ht="18.75" x14ac:dyDescent="0.25">
      <c r="A2876" s="629" t="s">
        <v>3071</v>
      </c>
      <c r="B2876" s="630">
        <v>372</v>
      </c>
      <c r="C2876" s="631" t="str">
        <f t="shared" si="48"/>
        <v>Ô tô tự đổ 27 tấn372</v>
      </c>
      <c r="D2876" s="630"/>
      <c r="E2876" s="630"/>
      <c r="F2876" s="630"/>
      <c r="G2876" s="630"/>
    </row>
    <row r="2877" spans="1:7" ht="18.75" x14ac:dyDescent="0.25">
      <c r="A2877" s="629" t="s">
        <v>3071</v>
      </c>
      <c r="B2877" s="630">
        <v>373</v>
      </c>
      <c r="C2877" s="631" t="str">
        <f t="shared" si="48"/>
        <v>Ô tô tự đổ 27 tấn373</v>
      </c>
      <c r="D2877" s="630"/>
      <c r="E2877" s="630"/>
      <c r="F2877" s="630"/>
      <c r="G2877" s="630"/>
    </row>
    <row r="2878" spans="1:7" ht="18.75" x14ac:dyDescent="0.25">
      <c r="A2878" s="629" t="s">
        <v>3071</v>
      </c>
      <c r="B2878" s="630">
        <v>374</v>
      </c>
      <c r="C2878" s="631" t="str">
        <f t="shared" si="48"/>
        <v>Ô tô tự đổ 27 tấn374</v>
      </c>
      <c r="D2878" s="630"/>
      <c r="E2878" s="630"/>
      <c r="F2878" s="630"/>
      <c r="G2878" s="630"/>
    </row>
    <row r="2879" spans="1:7" ht="18.75" x14ac:dyDescent="0.25">
      <c r="A2879" s="629" t="s">
        <v>3071</v>
      </c>
      <c r="B2879" s="630">
        <v>375</v>
      </c>
      <c r="C2879" s="631" t="str">
        <f t="shared" si="48"/>
        <v>Ô tô tự đổ 27 tấn375</v>
      </c>
      <c r="D2879" s="630"/>
      <c r="E2879" s="630"/>
      <c r="F2879" s="630"/>
      <c r="G2879" s="630"/>
    </row>
    <row r="2880" spans="1:7" ht="18.75" x14ac:dyDescent="0.25">
      <c r="A2880" s="629" t="s">
        <v>3071</v>
      </c>
      <c r="B2880" s="630">
        <v>376</v>
      </c>
      <c r="C2880" s="631" t="str">
        <f t="shared" si="48"/>
        <v>Ô tô tự đổ 27 tấn376</v>
      </c>
      <c r="D2880" s="630"/>
      <c r="E2880" s="630"/>
      <c r="F2880" s="630"/>
      <c r="G2880" s="630"/>
    </row>
    <row r="2881" spans="1:7" ht="18.75" x14ac:dyDescent="0.25">
      <c r="A2881" s="629" t="s">
        <v>3071</v>
      </c>
      <c r="B2881" s="630">
        <v>377</v>
      </c>
      <c r="C2881" s="631" t="str">
        <f t="shared" si="48"/>
        <v>Ô tô tự đổ 27 tấn377</v>
      </c>
      <c r="D2881" s="630"/>
      <c r="E2881" s="630"/>
      <c r="F2881" s="630"/>
      <c r="G2881" s="630"/>
    </row>
    <row r="2882" spans="1:7" ht="18.75" x14ac:dyDescent="0.25">
      <c r="A2882" s="629" t="s">
        <v>3071</v>
      </c>
      <c r="B2882" s="630">
        <v>378</v>
      </c>
      <c r="C2882" s="631" t="str">
        <f t="shared" si="48"/>
        <v>Ô tô tự đổ 27 tấn378</v>
      </c>
      <c r="D2882" s="630"/>
      <c r="E2882" s="630"/>
      <c r="F2882" s="630"/>
      <c r="G2882" s="630"/>
    </row>
    <row r="2883" spans="1:7" ht="18.75" x14ac:dyDescent="0.25">
      <c r="A2883" s="629" t="s">
        <v>3071</v>
      </c>
      <c r="B2883" s="630">
        <v>379</v>
      </c>
      <c r="C2883" s="631" t="str">
        <f t="shared" si="48"/>
        <v>Ô tô tự đổ 27 tấn379</v>
      </c>
      <c r="D2883" s="630"/>
      <c r="E2883" s="630"/>
      <c r="F2883" s="630"/>
      <c r="G2883" s="630"/>
    </row>
    <row r="2884" spans="1:7" ht="18.75" x14ac:dyDescent="0.25">
      <c r="A2884" s="629" t="s">
        <v>3071</v>
      </c>
      <c r="B2884" s="630">
        <v>380</v>
      </c>
      <c r="C2884" s="631" t="str">
        <f t="shared" si="48"/>
        <v>Ô tô tự đổ 27 tấn380</v>
      </c>
      <c r="D2884" s="630"/>
      <c r="E2884" s="630"/>
      <c r="F2884" s="630"/>
      <c r="G2884" s="630"/>
    </row>
    <row r="2885" spans="1:7" ht="18.75" x14ac:dyDescent="0.25">
      <c r="A2885" s="629" t="s">
        <v>3071</v>
      </c>
      <c r="B2885" s="630">
        <v>381</v>
      </c>
      <c r="C2885" s="631" t="str">
        <f t="shared" si="48"/>
        <v>Ô tô tự đổ 27 tấn381</v>
      </c>
      <c r="D2885" s="630"/>
      <c r="E2885" s="630"/>
      <c r="F2885" s="630"/>
      <c r="G2885" s="630"/>
    </row>
    <row r="2886" spans="1:7" ht="18.75" x14ac:dyDescent="0.25">
      <c r="A2886" s="629" t="s">
        <v>3071</v>
      </c>
      <c r="B2886" s="630">
        <v>382</v>
      </c>
      <c r="C2886" s="631" t="str">
        <f t="shared" si="48"/>
        <v>Ô tô tự đổ 27 tấn382</v>
      </c>
      <c r="D2886" s="630"/>
      <c r="E2886" s="630"/>
      <c r="F2886" s="630"/>
      <c r="G2886" s="630"/>
    </row>
    <row r="2887" spans="1:7" ht="18.75" x14ac:dyDescent="0.25">
      <c r="A2887" s="629" t="s">
        <v>3071</v>
      </c>
      <c r="B2887" s="630">
        <v>383</v>
      </c>
      <c r="C2887" s="631" t="str">
        <f t="shared" si="48"/>
        <v>Ô tô tự đổ 27 tấn383</v>
      </c>
      <c r="D2887" s="630"/>
      <c r="E2887" s="630"/>
      <c r="F2887" s="630"/>
      <c r="G2887" s="630"/>
    </row>
    <row r="2888" spans="1:7" ht="18.75" x14ac:dyDescent="0.25">
      <c r="A2888" s="629" t="s">
        <v>3071</v>
      </c>
      <c r="B2888" s="630">
        <v>384</v>
      </c>
      <c r="C2888" s="631" t="str">
        <f t="shared" si="48"/>
        <v>Ô tô tự đổ 27 tấn384</v>
      </c>
      <c r="D2888" s="630"/>
      <c r="E2888" s="630"/>
      <c r="F2888" s="630"/>
      <c r="G2888" s="630"/>
    </row>
    <row r="2889" spans="1:7" ht="18.75" x14ac:dyDescent="0.25">
      <c r="A2889" s="629" t="s">
        <v>3071</v>
      </c>
      <c r="B2889" s="630">
        <v>385</v>
      </c>
      <c r="C2889" s="631" t="str">
        <f t="shared" si="48"/>
        <v>Ô tô tự đổ 27 tấn385</v>
      </c>
      <c r="D2889" s="630"/>
      <c r="E2889" s="630"/>
      <c r="F2889" s="630"/>
      <c r="G2889" s="630"/>
    </row>
    <row r="2890" spans="1:7" ht="18.75" x14ac:dyDescent="0.25">
      <c r="A2890" s="629" t="s">
        <v>3071</v>
      </c>
      <c r="B2890" s="630">
        <v>386</v>
      </c>
      <c r="C2890" s="631" t="str">
        <f t="shared" ref="C2890:C2953" si="49">A2890&amp;B2890</f>
        <v>Ô tô tự đổ 27 tấn386</v>
      </c>
      <c r="D2890" s="630"/>
      <c r="E2890" s="630"/>
      <c r="F2890" s="630"/>
      <c r="G2890" s="630"/>
    </row>
    <row r="2891" spans="1:7" ht="18.75" x14ac:dyDescent="0.25">
      <c r="A2891" s="629" t="s">
        <v>3071</v>
      </c>
      <c r="B2891" s="630">
        <v>387</v>
      </c>
      <c r="C2891" s="631" t="str">
        <f t="shared" si="49"/>
        <v>Ô tô tự đổ 27 tấn387</v>
      </c>
      <c r="D2891" s="630"/>
      <c r="E2891" s="630"/>
      <c r="F2891" s="630"/>
      <c r="G2891" s="630"/>
    </row>
    <row r="2892" spans="1:7" ht="18.75" x14ac:dyDescent="0.25">
      <c r="A2892" s="629" t="s">
        <v>3071</v>
      </c>
      <c r="B2892" s="630">
        <v>388</v>
      </c>
      <c r="C2892" s="631" t="str">
        <f t="shared" si="49"/>
        <v>Ô tô tự đổ 27 tấn388</v>
      </c>
      <c r="D2892" s="630"/>
      <c r="E2892" s="630"/>
      <c r="F2892" s="630"/>
      <c r="G2892" s="630"/>
    </row>
    <row r="2893" spans="1:7" ht="18.75" x14ac:dyDescent="0.25">
      <c r="A2893" s="629" t="s">
        <v>3071</v>
      </c>
      <c r="B2893" s="630">
        <v>389</v>
      </c>
      <c r="C2893" s="631" t="str">
        <f t="shared" si="49"/>
        <v>Ô tô tự đổ 27 tấn389</v>
      </c>
      <c r="D2893" s="630"/>
      <c r="E2893" s="630"/>
      <c r="F2893" s="630"/>
      <c r="G2893" s="630"/>
    </row>
    <row r="2894" spans="1:7" ht="18.75" x14ac:dyDescent="0.25">
      <c r="A2894" s="629" t="s">
        <v>3071</v>
      </c>
      <c r="B2894" s="630">
        <v>390</v>
      </c>
      <c r="C2894" s="631" t="str">
        <f t="shared" si="49"/>
        <v>Ô tô tự đổ 27 tấn390</v>
      </c>
      <c r="D2894" s="630"/>
      <c r="E2894" s="630"/>
      <c r="F2894" s="630"/>
      <c r="G2894" s="630"/>
    </row>
    <row r="2895" spans="1:7" ht="18.75" x14ac:dyDescent="0.25">
      <c r="A2895" s="629" t="s">
        <v>3071</v>
      </c>
      <c r="B2895" s="630">
        <v>391</v>
      </c>
      <c r="C2895" s="631" t="str">
        <f t="shared" si="49"/>
        <v>Ô tô tự đổ 27 tấn391</v>
      </c>
      <c r="D2895" s="630"/>
      <c r="E2895" s="630"/>
      <c r="F2895" s="630"/>
      <c r="G2895" s="630"/>
    </row>
    <row r="2896" spans="1:7" ht="18.75" x14ac:dyDescent="0.25">
      <c r="A2896" s="629" t="s">
        <v>3071</v>
      </c>
      <c r="B2896" s="630">
        <v>392</v>
      </c>
      <c r="C2896" s="631" t="str">
        <f t="shared" si="49"/>
        <v>Ô tô tự đổ 27 tấn392</v>
      </c>
      <c r="D2896" s="630"/>
      <c r="E2896" s="630"/>
      <c r="F2896" s="630"/>
      <c r="G2896" s="630"/>
    </row>
    <row r="2897" spans="1:7" ht="18.75" x14ac:dyDescent="0.25">
      <c r="A2897" s="629" t="s">
        <v>3071</v>
      </c>
      <c r="B2897" s="630">
        <v>393</v>
      </c>
      <c r="C2897" s="631" t="str">
        <f t="shared" si="49"/>
        <v>Ô tô tự đổ 27 tấn393</v>
      </c>
      <c r="D2897" s="630"/>
      <c r="E2897" s="630"/>
      <c r="F2897" s="630"/>
      <c r="G2897" s="630"/>
    </row>
    <row r="2898" spans="1:7" ht="18.75" x14ac:dyDescent="0.25">
      <c r="A2898" s="629" t="s">
        <v>3071</v>
      </c>
      <c r="B2898" s="630">
        <v>394</v>
      </c>
      <c r="C2898" s="631" t="str">
        <f t="shared" si="49"/>
        <v>Ô tô tự đổ 27 tấn394</v>
      </c>
      <c r="D2898" s="630"/>
      <c r="E2898" s="630"/>
      <c r="F2898" s="630"/>
      <c r="G2898" s="630"/>
    </row>
    <row r="2899" spans="1:7" ht="18.75" x14ac:dyDescent="0.25">
      <c r="A2899" s="629" t="s">
        <v>3071</v>
      </c>
      <c r="B2899" s="630">
        <v>395</v>
      </c>
      <c r="C2899" s="631" t="str">
        <f t="shared" si="49"/>
        <v>Ô tô tự đổ 27 tấn395</v>
      </c>
      <c r="D2899" s="630"/>
      <c r="E2899" s="630"/>
      <c r="F2899" s="630"/>
      <c r="G2899" s="630"/>
    </row>
    <row r="2900" spans="1:7" ht="18.75" x14ac:dyDescent="0.25">
      <c r="A2900" s="629" t="s">
        <v>3071</v>
      </c>
      <c r="B2900" s="630">
        <v>396</v>
      </c>
      <c r="C2900" s="631" t="str">
        <f t="shared" si="49"/>
        <v>Ô tô tự đổ 27 tấn396</v>
      </c>
      <c r="D2900" s="630"/>
      <c r="E2900" s="630"/>
      <c r="F2900" s="630"/>
      <c r="G2900" s="630"/>
    </row>
    <row r="2901" spans="1:7" ht="18.75" x14ac:dyDescent="0.25">
      <c r="A2901" s="629" t="s">
        <v>3071</v>
      </c>
      <c r="B2901" s="630">
        <v>397</v>
      </c>
      <c r="C2901" s="631" t="str">
        <f t="shared" si="49"/>
        <v>Ô tô tự đổ 27 tấn397</v>
      </c>
      <c r="D2901" s="630"/>
      <c r="E2901" s="630"/>
      <c r="F2901" s="630"/>
      <c r="G2901" s="630"/>
    </row>
    <row r="2902" spans="1:7" ht="18.75" x14ac:dyDescent="0.25">
      <c r="A2902" s="629" t="s">
        <v>3071</v>
      </c>
      <c r="B2902" s="630">
        <v>398</v>
      </c>
      <c r="C2902" s="631" t="str">
        <f t="shared" si="49"/>
        <v>Ô tô tự đổ 27 tấn398</v>
      </c>
      <c r="D2902" s="630"/>
      <c r="E2902" s="630"/>
      <c r="F2902" s="630"/>
      <c r="G2902" s="630"/>
    </row>
    <row r="2903" spans="1:7" ht="18.75" x14ac:dyDescent="0.25">
      <c r="A2903" s="629" t="s">
        <v>3071</v>
      </c>
      <c r="B2903" s="630">
        <v>399</v>
      </c>
      <c r="C2903" s="631" t="str">
        <f t="shared" si="49"/>
        <v>Ô tô tự đổ 27 tấn399</v>
      </c>
      <c r="D2903" s="630"/>
      <c r="E2903" s="630"/>
      <c r="F2903" s="630"/>
      <c r="G2903" s="630"/>
    </row>
    <row r="2904" spans="1:7" ht="18.75" x14ac:dyDescent="0.25">
      <c r="A2904" s="629" t="s">
        <v>3071</v>
      </c>
      <c r="B2904" s="630">
        <v>400</v>
      </c>
      <c r="C2904" s="631" t="str">
        <f t="shared" si="49"/>
        <v>Ô tô tự đổ 27 tấn400</v>
      </c>
      <c r="D2904" s="630"/>
      <c r="E2904" s="630"/>
      <c r="F2904" s="630"/>
      <c r="G2904" s="630"/>
    </row>
    <row r="2905" spans="1:7" ht="18.75" x14ac:dyDescent="0.25">
      <c r="A2905" s="629" t="s">
        <v>3071</v>
      </c>
      <c r="B2905" s="630">
        <v>401</v>
      </c>
      <c r="C2905" s="631" t="str">
        <f t="shared" si="49"/>
        <v>Ô tô tự đổ 27 tấn401</v>
      </c>
      <c r="D2905" s="630"/>
      <c r="E2905" s="630"/>
      <c r="F2905" s="630"/>
      <c r="G2905" s="630"/>
    </row>
    <row r="2906" spans="1:7" ht="18.75" x14ac:dyDescent="0.25">
      <c r="A2906" s="629" t="s">
        <v>3071</v>
      </c>
      <c r="B2906" s="630">
        <v>402</v>
      </c>
      <c r="C2906" s="631" t="str">
        <f t="shared" si="49"/>
        <v>Ô tô tự đổ 27 tấn402</v>
      </c>
      <c r="D2906" s="630"/>
      <c r="E2906" s="630"/>
      <c r="F2906" s="630"/>
      <c r="G2906" s="630"/>
    </row>
    <row r="2907" spans="1:7" ht="18.75" x14ac:dyDescent="0.25">
      <c r="A2907" s="629" t="s">
        <v>3071</v>
      </c>
      <c r="B2907" s="630">
        <v>403</v>
      </c>
      <c r="C2907" s="631" t="str">
        <f t="shared" si="49"/>
        <v>Ô tô tự đổ 27 tấn403</v>
      </c>
      <c r="D2907" s="630"/>
      <c r="E2907" s="630"/>
      <c r="F2907" s="630"/>
      <c r="G2907" s="630"/>
    </row>
    <row r="2908" spans="1:7" ht="18.75" x14ac:dyDescent="0.25">
      <c r="A2908" s="629" t="s">
        <v>3071</v>
      </c>
      <c r="B2908" s="630">
        <v>404</v>
      </c>
      <c r="C2908" s="631" t="str">
        <f t="shared" si="49"/>
        <v>Ô tô tự đổ 27 tấn404</v>
      </c>
      <c r="D2908" s="630"/>
      <c r="E2908" s="630"/>
      <c r="F2908" s="630"/>
      <c r="G2908" s="630"/>
    </row>
    <row r="2909" spans="1:7" ht="18.75" x14ac:dyDescent="0.25">
      <c r="A2909" s="629" t="s">
        <v>3071</v>
      </c>
      <c r="B2909" s="630">
        <v>405</v>
      </c>
      <c r="C2909" s="631" t="str">
        <f t="shared" si="49"/>
        <v>Ô tô tự đổ 27 tấn405</v>
      </c>
      <c r="D2909" s="630"/>
      <c r="E2909" s="630"/>
      <c r="F2909" s="630"/>
      <c r="G2909" s="630"/>
    </row>
    <row r="2910" spans="1:7" ht="18.75" x14ac:dyDescent="0.25">
      <c r="A2910" s="629" t="s">
        <v>3071</v>
      </c>
      <c r="B2910" s="630">
        <v>406</v>
      </c>
      <c r="C2910" s="631" t="str">
        <f t="shared" si="49"/>
        <v>Ô tô tự đổ 27 tấn406</v>
      </c>
      <c r="D2910" s="630"/>
      <c r="E2910" s="630"/>
      <c r="F2910" s="630"/>
      <c r="G2910" s="630"/>
    </row>
    <row r="2911" spans="1:7" ht="18.75" x14ac:dyDescent="0.25">
      <c r="A2911" s="629" t="s">
        <v>3071</v>
      </c>
      <c r="B2911" s="630">
        <v>407</v>
      </c>
      <c r="C2911" s="631" t="str">
        <f t="shared" si="49"/>
        <v>Ô tô tự đổ 27 tấn407</v>
      </c>
      <c r="D2911" s="630"/>
      <c r="E2911" s="630"/>
      <c r="F2911" s="630"/>
      <c r="G2911" s="630"/>
    </row>
    <row r="2912" spans="1:7" ht="18.75" x14ac:dyDescent="0.25">
      <c r="A2912" s="629" t="s">
        <v>3071</v>
      </c>
      <c r="B2912" s="630">
        <v>408</v>
      </c>
      <c r="C2912" s="631" t="str">
        <f t="shared" si="49"/>
        <v>Ô tô tự đổ 27 tấn408</v>
      </c>
      <c r="D2912" s="630"/>
      <c r="E2912" s="630"/>
      <c r="F2912" s="630"/>
      <c r="G2912" s="630"/>
    </row>
    <row r="2913" spans="1:7" ht="18.75" x14ac:dyDescent="0.25">
      <c r="A2913" s="629" t="s">
        <v>3071</v>
      </c>
      <c r="B2913" s="630">
        <v>409</v>
      </c>
      <c r="C2913" s="631" t="str">
        <f t="shared" si="49"/>
        <v>Ô tô tự đổ 27 tấn409</v>
      </c>
      <c r="D2913" s="630"/>
      <c r="E2913" s="630"/>
      <c r="F2913" s="630"/>
      <c r="G2913" s="630"/>
    </row>
    <row r="2914" spans="1:7" ht="18.75" x14ac:dyDescent="0.25">
      <c r="A2914" s="629" t="s">
        <v>3071</v>
      </c>
      <c r="B2914" s="630">
        <v>410</v>
      </c>
      <c r="C2914" s="631" t="str">
        <f t="shared" si="49"/>
        <v>Ô tô tự đổ 27 tấn410</v>
      </c>
      <c r="D2914" s="630"/>
      <c r="E2914" s="630"/>
      <c r="F2914" s="630"/>
      <c r="G2914" s="630"/>
    </row>
    <row r="2915" spans="1:7" ht="18.75" x14ac:dyDescent="0.25">
      <c r="A2915" s="629" t="s">
        <v>3071</v>
      </c>
      <c r="B2915" s="630">
        <v>411</v>
      </c>
      <c r="C2915" s="631" t="str">
        <f t="shared" si="49"/>
        <v>Ô tô tự đổ 27 tấn411</v>
      </c>
      <c r="D2915" s="630"/>
      <c r="E2915" s="630"/>
      <c r="F2915" s="630"/>
      <c r="G2915" s="630"/>
    </row>
    <row r="2916" spans="1:7" ht="18.75" x14ac:dyDescent="0.25">
      <c r="A2916" s="629" t="s">
        <v>3071</v>
      </c>
      <c r="B2916" s="630">
        <v>412</v>
      </c>
      <c r="C2916" s="631" t="str">
        <f t="shared" si="49"/>
        <v>Ô tô tự đổ 27 tấn412</v>
      </c>
      <c r="D2916" s="630"/>
      <c r="E2916" s="630"/>
      <c r="F2916" s="630"/>
      <c r="G2916" s="630"/>
    </row>
    <row r="2917" spans="1:7" ht="18.75" x14ac:dyDescent="0.25">
      <c r="A2917" s="629" t="s">
        <v>3071</v>
      </c>
      <c r="B2917" s="630">
        <v>413</v>
      </c>
      <c r="C2917" s="631" t="str">
        <f t="shared" si="49"/>
        <v>Ô tô tự đổ 27 tấn413</v>
      </c>
      <c r="D2917" s="630"/>
      <c r="E2917" s="630"/>
      <c r="F2917" s="630"/>
      <c r="G2917" s="630"/>
    </row>
    <row r="2918" spans="1:7" ht="18.75" x14ac:dyDescent="0.25">
      <c r="A2918" s="629" t="s">
        <v>3071</v>
      </c>
      <c r="B2918" s="630">
        <v>414</v>
      </c>
      <c r="C2918" s="631" t="str">
        <f t="shared" si="49"/>
        <v>Ô tô tự đổ 27 tấn414</v>
      </c>
      <c r="D2918" s="630"/>
      <c r="E2918" s="630"/>
      <c r="F2918" s="630"/>
      <c r="G2918" s="630"/>
    </row>
    <row r="2919" spans="1:7" ht="18.75" x14ac:dyDescent="0.25">
      <c r="A2919" s="629" t="s">
        <v>3071</v>
      </c>
      <c r="B2919" s="630">
        <v>415</v>
      </c>
      <c r="C2919" s="631" t="str">
        <f t="shared" si="49"/>
        <v>Ô tô tự đổ 27 tấn415</v>
      </c>
      <c r="D2919" s="630"/>
      <c r="E2919" s="630"/>
      <c r="F2919" s="630"/>
      <c r="G2919" s="630"/>
    </row>
    <row r="2920" spans="1:7" ht="18.75" x14ac:dyDescent="0.25">
      <c r="A2920" s="629" t="s">
        <v>3071</v>
      </c>
      <c r="B2920" s="630">
        <v>416</v>
      </c>
      <c r="C2920" s="631" t="str">
        <f t="shared" si="49"/>
        <v>Ô tô tự đổ 27 tấn416</v>
      </c>
      <c r="D2920" s="630"/>
      <c r="E2920" s="630"/>
      <c r="F2920" s="630"/>
      <c r="G2920" s="630"/>
    </row>
    <row r="2921" spans="1:7" ht="18.75" x14ac:dyDescent="0.25">
      <c r="A2921" s="629" t="s">
        <v>3071</v>
      </c>
      <c r="B2921" s="630">
        <v>417</v>
      </c>
      <c r="C2921" s="631" t="str">
        <f t="shared" si="49"/>
        <v>Ô tô tự đổ 27 tấn417</v>
      </c>
      <c r="D2921" s="630"/>
      <c r="E2921" s="630"/>
      <c r="F2921" s="630"/>
      <c r="G2921" s="630"/>
    </row>
    <row r="2922" spans="1:7" ht="18.75" x14ac:dyDescent="0.25">
      <c r="A2922" s="629" t="s">
        <v>3071</v>
      </c>
      <c r="B2922" s="630">
        <v>418</v>
      </c>
      <c r="C2922" s="631" t="str">
        <f t="shared" si="49"/>
        <v>Ô tô tự đổ 27 tấn418</v>
      </c>
      <c r="D2922" s="630"/>
      <c r="E2922" s="630"/>
      <c r="F2922" s="630"/>
      <c r="G2922" s="630"/>
    </row>
    <row r="2923" spans="1:7" ht="18.75" x14ac:dyDescent="0.25">
      <c r="A2923" s="629" t="s">
        <v>3071</v>
      </c>
      <c r="B2923" s="630">
        <v>419</v>
      </c>
      <c r="C2923" s="631" t="str">
        <f t="shared" si="49"/>
        <v>Ô tô tự đổ 27 tấn419</v>
      </c>
      <c r="D2923" s="630"/>
      <c r="E2923" s="630"/>
      <c r="F2923" s="630"/>
      <c r="G2923" s="630"/>
    </row>
    <row r="2924" spans="1:7" ht="18.75" x14ac:dyDescent="0.25">
      <c r="A2924" s="629" t="s">
        <v>3071</v>
      </c>
      <c r="B2924" s="630">
        <v>420</v>
      </c>
      <c r="C2924" s="631" t="str">
        <f t="shared" si="49"/>
        <v>Ô tô tự đổ 27 tấn420</v>
      </c>
      <c r="D2924" s="630"/>
      <c r="E2924" s="630"/>
      <c r="F2924" s="630"/>
      <c r="G2924" s="630"/>
    </row>
    <row r="2925" spans="1:7" ht="18.75" x14ac:dyDescent="0.25">
      <c r="A2925" s="629" t="s">
        <v>3071</v>
      </c>
      <c r="B2925" s="630">
        <v>421</v>
      </c>
      <c r="C2925" s="631" t="str">
        <f t="shared" si="49"/>
        <v>Ô tô tự đổ 27 tấn421</v>
      </c>
      <c r="D2925" s="630"/>
      <c r="E2925" s="630"/>
      <c r="F2925" s="630"/>
      <c r="G2925" s="630"/>
    </row>
    <row r="2926" spans="1:7" ht="18.75" x14ac:dyDescent="0.25">
      <c r="A2926" s="629" t="s">
        <v>3071</v>
      </c>
      <c r="B2926" s="630">
        <v>422</v>
      </c>
      <c r="C2926" s="631" t="str">
        <f t="shared" si="49"/>
        <v>Ô tô tự đổ 27 tấn422</v>
      </c>
      <c r="D2926" s="630"/>
      <c r="E2926" s="630"/>
      <c r="F2926" s="630"/>
      <c r="G2926" s="630"/>
    </row>
    <row r="2927" spans="1:7" ht="18.75" x14ac:dyDescent="0.25">
      <c r="A2927" s="629" t="s">
        <v>3071</v>
      </c>
      <c r="B2927" s="630">
        <v>423</v>
      </c>
      <c r="C2927" s="631" t="str">
        <f t="shared" si="49"/>
        <v>Ô tô tự đổ 27 tấn423</v>
      </c>
      <c r="D2927" s="630"/>
      <c r="E2927" s="630"/>
      <c r="F2927" s="630"/>
      <c r="G2927" s="630"/>
    </row>
    <row r="2928" spans="1:7" ht="18.75" x14ac:dyDescent="0.25">
      <c r="A2928" s="629" t="s">
        <v>3071</v>
      </c>
      <c r="B2928" s="630">
        <v>424</v>
      </c>
      <c r="C2928" s="631" t="str">
        <f t="shared" si="49"/>
        <v>Ô tô tự đổ 27 tấn424</v>
      </c>
      <c r="D2928" s="630"/>
      <c r="E2928" s="630"/>
      <c r="F2928" s="630"/>
      <c r="G2928" s="630"/>
    </row>
    <row r="2929" spans="1:7" ht="18.75" x14ac:dyDescent="0.25">
      <c r="A2929" s="629" t="s">
        <v>3071</v>
      </c>
      <c r="B2929" s="630">
        <v>425</v>
      </c>
      <c r="C2929" s="631" t="str">
        <f t="shared" si="49"/>
        <v>Ô tô tự đổ 27 tấn425</v>
      </c>
      <c r="D2929" s="630"/>
      <c r="E2929" s="630"/>
      <c r="F2929" s="630"/>
      <c r="G2929" s="630"/>
    </row>
    <row r="2930" spans="1:7" ht="18.75" x14ac:dyDescent="0.25">
      <c r="A2930" s="629" t="s">
        <v>3071</v>
      </c>
      <c r="B2930" s="630">
        <v>426</v>
      </c>
      <c r="C2930" s="631" t="str">
        <f t="shared" si="49"/>
        <v>Ô tô tự đổ 27 tấn426</v>
      </c>
      <c r="D2930" s="630"/>
      <c r="E2930" s="630"/>
      <c r="F2930" s="630"/>
      <c r="G2930" s="630"/>
    </row>
    <row r="2931" spans="1:7" ht="18.75" x14ac:dyDescent="0.25">
      <c r="A2931" s="629" t="s">
        <v>3071</v>
      </c>
      <c r="B2931" s="630">
        <v>427</v>
      </c>
      <c r="C2931" s="631" t="str">
        <f t="shared" si="49"/>
        <v>Ô tô tự đổ 27 tấn427</v>
      </c>
      <c r="D2931" s="630"/>
      <c r="E2931" s="630"/>
      <c r="F2931" s="630"/>
      <c r="G2931" s="630"/>
    </row>
    <row r="2932" spans="1:7" ht="18.75" x14ac:dyDescent="0.25">
      <c r="A2932" s="629" t="s">
        <v>3071</v>
      </c>
      <c r="B2932" s="630">
        <v>428</v>
      </c>
      <c r="C2932" s="631" t="str">
        <f t="shared" si="49"/>
        <v>Ô tô tự đổ 27 tấn428</v>
      </c>
      <c r="D2932" s="630"/>
      <c r="E2932" s="630"/>
      <c r="F2932" s="630"/>
      <c r="G2932" s="630"/>
    </row>
    <row r="2933" spans="1:7" ht="18.75" x14ac:dyDescent="0.25">
      <c r="A2933" s="629" t="s">
        <v>3071</v>
      </c>
      <c r="B2933" s="630">
        <v>429</v>
      </c>
      <c r="C2933" s="631" t="str">
        <f t="shared" si="49"/>
        <v>Ô tô tự đổ 27 tấn429</v>
      </c>
      <c r="D2933" s="630"/>
      <c r="E2933" s="630"/>
      <c r="F2933" s="630"/>
      <c r="G2933" s="630"/>
    </row>
    <row r="2934" spans="1:7" ht="18.75" x14ac:dyDescent="0.25">
      <c r="A2934" s="629" t="s">
        <v>3071</v>
      </c>
      <c r="B2934" s="630">
        <v>430</v>
      </c>
      <c r="C2934" s="631" t="str">
        <f t="shared" si="49"/>
        <v>Ô tô tự đổ 27 tấn430</v>
      </c>
      <c r="D2934" s="630"/>
      <c r="E2934" s="630"/>
      <c r="F2934" s="630"/>
      <c r="G2934" s="630"/>
    </row>
    <row r="2935" spans="1:7" ht="18.75" x14ac:dyDescent="0.25">
      <c r="A2935" s="629" t="s">
        <v>3071</v>
      </c>
      <c r="B2935" s="630">
        <v>431</v>
      </c>
      <c r="C2935" s="631" t="str">
        <f t="shared" si="49"/>
        <v>Ô tô tự đổ 27 tấn431</v>
      </c>
      <c r="D2935" s="630"/>
      <c r="E2935" s="630"/>
      <c r="F2935" s="630"/>
      <c r="G2935" s="630"/>
    </row>
    <row r="2936" spans="1:7" ht="18.75" x14ac:dyDescent="0.25">
      <c r="A2936" s="629" t="s">
        <v>3071</v>
      </c>
      <c r="B2936" s="630">
        <v>432</v>
      </c>
      <c r="C2936" s="631" t="str">
        <f t="shared" si="49"/>
        <v>Ô tô tự đổ 27 tấn432</v>
      </c>
      <c r="D2936" s="630"/>
      <c r="E2936" s="630"/>
      <c r="F2936" s="630"/>
      <c r="G2936" s="630"/>
    </row>
    <row r="2937" spans="1:7" ht="18.75" x14ac:dyDescent="0.25">
      <c r="A2937" s="629" t="s">
        <v>3071</v>
      </c>
      <c r="B2937" s="630">
        <v>433</v>
      </c>
      <c r="C2937" s="631" t="str">
        <f t="shared" si="49"/>
        <v>Ô tô tự đổ 27 tấn433</v>
      </c>
      <c r="D2937" s="630"/>
      <c r="E2937" s="630"/>
      <c r="F2937" s="630"/>
      <c r="G2937" s="630"/>
    </row>
    <row r="2938" spans="1:7" ht="18.75" x14ac:dyDescent="0.25">
      <c r="A2938" s="629" t="s">
        <v>3071</v>
      </c>
      <c r="B2938" s="630">
        <v>434</v>
      </c>
      <c r="C2938" s="631" t="str">
        <f t="shared" si="49"/>
        <v>Ô tô tự đổ 27 tấn434</v>
      </c>
      <c r="D2938" s="630"/>
      <c r="E2938" s="630"/>
      <c r="F2938" s="630"/>
      <c r="G2938" s="630"/>
    </row>
    <row r="2939" spans="1:7" ht="18.75" x14ac:dyDescent="0.25">
      <c r="A2939" s="629" t="s">
        <v>3071</v>
      </c>
      <c r="B2939" s="630">
        <v>435</v>
      </c>
      <c r="C2939" s="631" t="str">
        <f t="shared" si="49"/>
        <v>Ô tô tự đổ 27 tấn435</v>
      </c>
      <c r="D2939" s="630"/>
      <c r="E2939" s="630"/>
      <c r="F2939" s="630"/>
      <c r="G2939" s="630"/>
    </row>
    <row r="2940" spans="1:7" ht="18.75" x14ac:dyDescent="0.25">
      <c r="A2940" s="629" t="s">
        <v>3071</v>
      </c>
      <c r="B2940" s="630">
        <v>436</v>
      </c>
      <c r="C2940" s="631" t="str">
        <f t="shared" si="49"/>
        <v>Ô tô tự đổ 27 tấn436</v>
      </c>
      <c r="D2940" s="630"/>
      <c r="E2940" s="630"/>
      <c r="F2940" s="630"/>
      <c r="G2940" s="630"/>
    </row>
    <row r="2941" spans="1:7" ht="18.75" x14ac:dyDescent="0.25">
      <c r="A2941" s="629" t="s">
        <v>3071</v>
      </c>
      <c r="B2941" s="630">
        <v>437</v>
      </c>
      <c r="C2941" s="631" t="str">
        <f t="shared" si="49"/>
        <v>Ô tô tự đổ 27 tấn437</v>
      </c>
      <c r="D2941" s="630"/>
      <c r="E2941" s="630"/>
      <c r="F2941" s="630"/>
      <c r="G2941" s="630"/>
    </row>
    <row r="2942" spans="1:7" ht="18.75" x14ac:dyDescent="0.25">
      <c r="A2942" s="629" t="s">
        <v>3071</v>
      </c>
      <c r="B2942" s="630">
        <v>438</v>
      </c>
      <c r="C2942" s="631" t="str">
        <f t="shared" si="49"/>
        <v>Ô tô tự đổ 27 tấn438</v>
      </c>
      <c r="D2942" s="630"/>
      <c r="E2942" s="630"/>
      <c r="F2942" s="630"/>
      <c r="G2942" s="630"/>
    </row>
    <row r="2943" spans="1:7" ht="18.75" x14ac:dyDescent="0.25">
      <c r="A2943" s="629" t="s">
        <v>3071</v>
      </c>
      <c r="B2943" s="630">
        <v>439</v>
      </c>
      <c r="C2943" s="631" t="str">
        <f t="shared" si="49"/>
        <v>Ô tô tự đổ 27 tấn439</v>
      </c>
      <c r="D2943" s="630"/>
      <c r="E2943" s="630"/>
      <c r="F2943" s="630"/>
      <c r="G2943" s="630"/>
    </row>
    <row r="2944" spans="1:7" ht="18.75" x14ac:dyDescent="0.25">
      <c r="A2944" s="629" t="s">
        <v>3071</v>
      </c>
      <c r="B2944" s="630">
        <v>440</v>
      </c>
      <c r="C2944" s="631" t="str">
        <f t="shared" si="49"/>
        <v>Ô tô tự đổ 27 tấn440</v>
      </c>
      <c r="D2944" s="630"/>
      <c r="E2944" s="630"/>
      <c r="F2944" s="630"/>
      <c r="G2944" s="630"/>
    </row>
    <row r="2945" spans="1:7" ht="18.75" x14ac:dyDescent="0.25">
      <c r="A2945" s="629" t="s">
        <v>3071</v>
      </c>
      <c r="B2945" s="630">
        <v>441</v>
      </c>
      <c r="C2945" s="631" t="str">
        <f t="shared" si="49"/>
        <v>Ô tô tự đổ 27 tấn441</v>
      </c>
      <c r="D2945" s="630"/>
      <c r="E2945" s="630"/>
      <c r="F2945" s="630"/>
      <c r="G2945" s="630"/>
    </row>
    <row r="2946" spans="1:7" ht="18.75" x14ac:dyDescent="0.25">
      <c r="A2946" s="629" t="s">
        <v>3071</v>
      </c>
      <c r="B2946" s="630">
        <v>442</v>
      </c>
      <c r="C2946" s="631" t="str">
        <f t="shared" si="49"/>
        <v>Ô tô tự đổ 27 tấn442</v>
      </c>
      <c r="D2946" s="630"/>
      <c r="E2946" s="630"/>
      <c r="F2946" s="630"/>
      <c r="G2946" s="630"/>
    </row>
    <row r="2947" spans="1:7" ht="18.75" x14ac:dyDescent="0.25">
      <c r="A2947" s="629" t="s">
        <v>3071</v>
      </c>
      <c r="B2947" s="630">
        <v>443</v>
      </c>
      <c r="C2947" s="631" t="str">
        <f t="shared" si="49"/>
        <v>Ô tô tự đổ 27 tấn443</v>
      </c>
      <c r="D2947" s="630"/>
      <c r="E2947" s="630"/>
      <c r="F2947" s="630"/>
      <c r="G2947" s="630"/>
    </row>
    <row r="2948" spans="1:7" ht="18.75" x14ac:dyDescent="0.25">
      <c r="A2948" s="629" t="s">
        <v>3071</v>
      </c>
      <c r="B2948" s="630">
        <v>444</v>
      </c>
      <c r="C2948" s="631" t="str">
        <f t="shared" si="49"/>
        <v>Ô tô tự đổ 27 tấn444</v>
      </c>
      <c r="D2948" s="630"/>
      <c r="E2948" s="630"/>
      <c r="F2948" s="630"/>
      <c r="G2948" s="630"/>
    </row>
    <row r="2949" spans="1:7" ht="18.75" x14ac:dyDescent="0.25">
      <c r="A2949" s="629" t="s">
        <v>3071</v>
      </c>
      <c r="B2949" s="630">
        <v>445</v>
      </c>
      <c r="C2949" s="631" t="str">
        <f t="shared" si="49"/>
        <v>Ô tô tự đổ 27 tấn445</v>
      </c>
      <c r="D2949" s="630"/>
      <c r="E2949" s="630"/>
      <c r="F2949" s="630"/>
      <c r="G2949" s="630"/>
    </row>
    <row r="2950" spans="1:7" ht="18.75" x14ac:dyDescent="0.25">
      <c r="A2950" s="629" t="s">
        <v>3071</v>
      </c>
      <c r="B2950" s="630">
        <v>446</v>
      </c>
      <c r="C2950" s="631" t="str">
        <f t="shared" si="49"/>
        <v>Ô tô tự đổ 27 tấn446</v>
      </c>
      <c r="D2950" s="630"/>
      <c r="E2950" s="630"/>
      <c r="F2950" s="630"/>
      <c r="G2950" s="630"/>
    </row>
    <row r="2951" spans="1:7" ht="18.75" x14ac:dyDescent="0.25">
      <c r="A2951" s="629" t="s">
        <v>3071</v>
      </c>
      <c r="B2951" s="630">
        <v>447</v>
      </c>
      <c r="C2951" s="631" t="str">
        <f t="shared" si="49"/>
        <v>Ô tô tự đổ 27 tấn447</v>
      </c>
      <c r="D2951" s="630"/>
      <c r="E2951" s="630"/>
      <c r="F2951" s="630"/>
      <c r="G2951" s="630"/>
    </row>
    <row r="2952" spans="1:7" ht="18.75" x14ac:dyDescent="0.25">
      <c r="A2952" s="629" t="s">
        <v>3071</v>
      </c>
      <c r="B2952" s="630">
        <v>448</v>
      </c>
      <c r="C2952" s="631" t="str">
        <f t="shared" si="49"/>
        <v>Ô tô tự đổ 27 tấn448</v>
      </c>
      <c r="D2952" s="630"/>
      <c r="E2952" s="630"/>
      <c r="F2952" s="630"/>
      <c r="G2952" s="630"/>
    </row>
    <row r="2953" spans="1:7" ht="18.75" x14ac:dyDescent="0.25">
      <c r="A2953" s="629" t="s">
        <v>3071</v>
      </c>
      <c r="B2953" s="630">
        <v>449</v>
      </c>
      <c r="C2953" s="631" t="str">
        <f t="shared" si="49"/>
        <v>Ô tô tự đổ 27 tấn449</v>
      </c>
      <c r="D2953" s="630"/>
      <c r="E2953" s="630"/>
      <c r="F2953" s="630"/>
      <c r="G2953" s="630"/>
    </row>
    <row r="2954" spans="1:7" ht="18.75" x14ac:dyDescent="0.25">
      <c r="A2954" s="629" t="s">
        <v>3071</v>
      </c>
      <c r="B2954" s="630">
        <v>450</v>
      </c>
      <c r="C2954" s="631" t="str">
        <f t="shared" ref="C2954:C3004" si="50">A2954&amp;B2954</f>
        <v>Ô tô tự đổ 27 tấn450</v>
      </c>
      <c r="D2954" s="630"/>
      <c r="E2954" s="630"/>
      <c r="F2954" s="630"/>
      <c r="G2954" s="630"/>
    </row>
    <row r="2955" spans="1:7" ht="18.75" x14ac:dyDescent="0.25">
      <c r="A2955" s="629" t="s">
        <v>3071</v>
      </c>
      <c r="B2955" s="630">
        <v>451</v>
      </c>
      <c r="C2955" s="631" t="str">
        <f t="shared" si="50"/>
        <v>Ô tô tự đổ 27 tấn451</v>
      </c>
      <c r="D2955" s="630"/>
      <c r="E2955" s="630"/>
      <c r="F2955" s="630"/>
      <c r="G2955" s="630"/>
    </row>
    <row r="2956" spans="1:7" ht="18.75" x14ac:dyDescent="0.25">
      <c r="A2956" s="629" t="s">
        <v>3071</v>
      </c>
      <c r="B2956" s="630">
        <v>452</v>
      </c>
      <c r="C2956" s="631" t="str">
        <f t="shared" si="50"/>
        <v>Ô tô tự đổ 27 tấn452</v>
      </c>
      <c r="D2956" s="630"/>
      <c r="E2956" s="630"/>
      <c r="F2956" s="630"/>
      <c r="G2956" s="630"/>
    </row>
    <row r="2957" spans="1:7" ht="18.75" x14ac:dyDescent="0.25">
      <c r="A2957" s="629" t="s">
        <v>3071</v>
      </c>
      <c r="B2957" s="630">
        <v>453</v>
      </c>
      <c r="C2957" s="631" t="str">
        <f t="shared" si="50"/>
        <v>Ô tô tự đổ 27 tấn453</v>
      </c>
      <c r="D2957" s="630"/>
      <c r="E2957" s="630"/>
      <c r="F2957" s="630"/>
      <c r="G2957" s="630"/>
    </row>
    <row r="2958" spans="1:7" ht="18.75" x14ac:dyDescent="0.25">
      <c r="A2958" s="629" t="s">
        <v>3071</v>
      </c>
      <c r="B2958" s="630">
        <v>454</v>
      </c>
      <c r="C2958" s="631" t="str">
        <f t="shared" si="50"/>
        <v>Ô tô tự đổ 27 tấn454</v>
      </c>
      <c r="D2958" s="630"/>
      <c r="E2958" s="630"/>
      <c r="F2958" s="630"/>
      <c r="G2958" s="630"/>
    </row>
    <row r="2959" spans="1:7" ht="18.75" x14ac:dyDescent="0.25">
      <c r="A2959" s="629" t="s">
        <v>3071</v>
      </c>
      <c r="B2959" s="630">
        <v>455</v>
      </c>
      <c r="C2959" s="631" t="str">
        <f t="shared" si="50"/>
        <v>Ô tô tự đổ 27 tấn455</v>
      </c>
      <c r="D2959" s="630"/>
      <c r="E2959" s="630"/>
      <c r="F2959" s="630"/>
      <c r="G2959" s="630"/>
    </row>
    <row r="2960" spans="1:7" ht="18.75" x14ac:dyDescent="0.25">
      <c r="A2960" s="629" t="s">
        <v>3071</v>
      </c>
      <c r="B2960" s="630">
        <v>456</v>
      </c>
      <c r="C2960" s="631" t="str">
        <f t="shared" si="50"/>
        <v>Ô tô tự đổ 27 tấn456</v>
      </c>
      <c r="D2960" s="630"/>
      <c r="E2960" s="630"/>
      <c r="F2960" s="630"/>
      <c r="G2960" s="630"/>
    </row>
    <row r="2961" spans="1:7" ht="18.75" x14ac:dyDescent="0.25">
      <c r="A2961" s="629" t="s">
        <v>3071</v>
      </c>
      <c r="B2961" s="630">
        <v>457</v>
      </c>
      <c r="C2961" s="631" t="str">
        <f t="shared" si="50"/>
        <v>Ô tô tự đổ 27 tấn457</v>
      </c>
      <c r="D2961" s="630"/>
      <c r="E2961" s="630"/>
      <c r="F2961" s="630"/>
      <c r="G2961" s="630"/>
    </row>
    <row r="2962" spans="1:7" ht="18.75" x14ac:dyDescent="0.25">
      <c r="A2962" s="629" t="s">
        <v>3071</v>
      </c>
      <c r="B2962" s="630">
        <v>458</v>
      </c>
      <c r="C2962" s="631" t="str">
        <f t="shared" si="50"/>
        <v>Ô tô tự đổ 27 tấn458</v>
      </c>
      <c r="D2962" s="630"/>
      <c r="E2962" s="630"/>
      <c r="F2962" s="630"/>
      <c r="G2962" s="630"/>
    </row>
    <row r="2963" spans="1:7" ht="18.75" x14ac:dyDescent="0.25">
      <c r="A2963" s="629" t="s">
        <v>3071</v>
      </c>
      <c r="B2963" s="630">
        <v>459</v>
      </c>
      <c r="C2963" s="631" t="str">
        <f t="shared" si="50"/>
        <v>Ô tô tự đổ 27 tấn459</v>
      </c>
      <c r="D2963" s="630"/>
      <c r="E2963" s="630"/>
      <c r="F2963" s="630"/>
      <c r="G2963" s="630"/>
    </row>
    <row r="2964" spans="1:7" ht="18.75" x14ac:dyDescent="0.25">
      <c r="A2964" s="629" t="s">
        <v>3071</v>
      </c>
      <c r="B2964" s="630">
        <v>460</v>
      </c>
      <c r="C2964" s="631" t="str">
        <f t="shared" si="50"/>
        <v>Ô tô tự đổ 27 tấn460</v>
      </c>
      <c r="D2964" s="630"/>
      <c r="E2964" s="630"/>
      <c r="F2964" s="630"/>
      <c r="G2964" s="630"/>
    </row>
    <row r="2965" spans="1:7" ht="18.75" x14ac:dyDescent="0.25">
      <c r="A2965" s="629" t="s">
        <v>3071</v>
      </c>
      <c r="B2965" s="630">
        <v>461</v>
      </c>
      <c r="C2965" s="631" t="str">
        <f t="shared" si="50"/>
        <v>Ô tô tự đổ 27 tấn461</v>
      </c>
      <c r="D2965" s="630"/>
      <c r="E2965" s="630"/>
      <c r="F2965" s="630"/>
      <c r="G2965" s="630"/>
    </row>
    <row r="2966" spans="1:7" ht="18.75" x14ac:dyDescent="0.25">
      <c r="A2966" s="629" t="s">
        <v>3071</v>
      </c>
      <c r="B2966" s="630">
        <v>462</v>
      </c>
      <c r="C2966" s="631" t="str">
        <f t="shared" si="50"/>
        <v>Ô tô tự đổ 27 tấn462</v>
      </c>
      <c r="D2966" s="630"/>
      <c r="E2966" s="630"/>
      <c r="F2966" s="630"/>
      <c r="G2966" s="630"/>
    </row>
    <row r="2967" spans="1:7" ht="18.75" x14ac:dyDescent="0.25">
      <c r="A2967" s="629" t="s">
        <v>3071</v>
      </c>
      <c r="B2967" s="630">
        <v>463</v>
      </c>
      <c r="C2967" s="631" t="str">
        <f t="shared" si="50"/>
        <v>Ô tô tự đổ 27 tấn463</v>
      </c>
      <c r="D2967" s="630"/>
      <c r="E2967" s="630"/>
      <c r="F2967" s="630"/>
      <c r="G2967" s="630"/>
    </row>
    <row r="2968" spans="1:7" ht="18.75" x14ac:dyDescent="0.25">
      <c r="A2968" s="629" t="s">
        <v>3071</v>
      </c>
      <c r="B2968" s="630">
        <v>464</v>
      </c>
      <c r="C2968" s="631" t="str">
        <f t="shared" si="50"/>
        <v>Ô tô tự đổ 27 tấn464</v>
      </c>
      <c r="D2968" s="630"/>
      <c r="E2968" s="630"/>
      <c r="F2968" s="630"/>
      <c r="G2968" s="630"/>
    </row>
    <row r="2969" spans="1:7" ht="18.75" x14ac:dyDescent="0.25">
      <c r="A2969" s="629" t="s">
        <v>3071</v>
      </c>
      <c r="B2969" s="630">
        <v>465</v>
      </c>
      <c r="C2969" s="631" t="str">
        <f t="shared" si="50"/>
        <v>Ô tô tự đổ 27 tấn465</v>
      </c>
      <c r="D2969" s="630"/>
      <c r="E2969" s="630"/>
      <c r="F2969" s="630"/>
      <c r="G2969" s="630"/>
    </row>
    <row r="2970" spans="1:7" ht="18.75" x14ac:dyDescent="0.25">
      <c r="A2970" s="629" t="s">
        <v>3071</v>
      </c>
      <c r="B2970" s="630">
        <v>466</v>
      </c>
      <c r="C2970" s="631" t="str">
        <f t="shared" si="50"/>
        <v>Ô tô tự đổ 27 tấn466</v>
      </c>
      <c r="D2970" s="630"/>
      <c r="E2970" s="630"/>
      <c r="F2970" s="630"/>
      <c r="G2970" s="630"/>
    </row>
    <row r="2971" spans="1:7" ht="18.75" x14ac:dyDescent="0.25">
      <c r="A2971" s="629" t="s">
        <v>3071</v>
      </c>
      <c r="B2971" s="630">
        <v>467</v>
      </c>
      <c r="C2971" s="631" t="str">
        <f t="shared" si="50"/>
        <v>Ô tô tự đổ 27 tấn467</v>
      </c>
      <c r="D2971" s="630"/>
      <c r="E2971" s="630"/>
      <c r="F2971" s="630"/>
      <c r="G2971" s="630"/>
    </row>
    <row r="2972" spans="1:7" ht="18.75" x14ac:dyDescent="0.25">
      <c r="A2972" s="629" t="s">
        <v>3071</v>
      </c>
      <c r="B2972" s="630">
        <v>468</v>
      </c>
      <c r="C2972" s="631" t="str">
        <f t="shared" si="50"/>
        <v>Ô tô tự đổ 27 tấn468</v>
      </c>
      <c r="D2972" s="630"/>
      <c r="E2972" s="630"/>
      <c r="F2972" s="630"/>
      <c r="G2972" s="630"/>
    </row>
    <row r="2973" spans="1:7" ht="18.75" x14ac:dyDescent="0.25">
      <c r="A2973" s="629" t="s">
        <v>3071</v>
      </c>
      <c r="B2973" s="630">
        <v>469</v>
      </c>
      <c r="C2973" s="631" t="str">
        <f t="shared" si="50"/>
        <v>Ô tô tự đổ 27 tấn469</v>
      </c>
      <c r="D2973" s="630"/>
      <c r="E2973" s="630"/>
      <c r="F2973" s="630"/>
      <c r="G2973" s="630"/>
    </row>
    <row r="2974" spans="1:7" ht="18.75" x14ac:dyDescent="0.25">
      <c r="A2974" s="629" t="s">
        <v>3071</v>
      </c>
      <c r="B2974" s="630">
        <v>470</v>
      </c>
      <c r="C2974" s="631" t="str">
        <f t="shared" si="50"/>
        <v>Ô tô tự đổ 27 tấn470</v>
      </c>
      <c r="D2974" s="630"/>
      <c r="E2974" s="630"/>
      <c r="F2974" s="630"/>
      <c r="G2974" s="630"/>
    </row>
    <row r="2975" spans="1:7" ht="18.75" x14ac:dyDescent="0.25">
      <c r="A2975" s="629" t="s">
        <v>3071</v>
      </c>
      <c r="B2975" s="630">
        <v>471</v>
      </c>
      <c r="C2975" s="631" t="str">
        <f t="shared" si="50"/>
        <v>Ô tô tự đổ 27 tấn471</v>
      </c>
      <c r="D2975" s="630"/>
      <c r="E2975" s="630"/>
      <c r="F2975" s="630"/>
      <c r="G2975" s="630"/>
    </row>
    <row r="2976" spans="1:7" ht="18.75" x14ac:dyDescent="0.25">
      <c r="A2976" s="629" t="s">
        <v>3071</v>
      </c>
      <c r="B2976" s="630">
        <v>472</v>
      </c>
      <c r="C2976" s="631" t="str">
        <f t="shared" si="50"/>
        <v>Ô tô tự đổ 27 tấn472</v>
      </c>
      <c r="D2976" s="630"/>
      <c r="E2976" s="630"/>
      <c r="F2976" s="630"/>
      <c r="G2976" s="630"/>
    </row>
    <row r="2977" spans="1:7" ht="18.75" x14ac:dyDescent="0.25">
      <c r="A2977" s="629" t="s">
        <v>3071</v>
      </c>
      <c r="B2977" s="630">
        <v>473</v>
      </c>
      <c r="C2977" s="631" t="str">
        <f t="shared" si="50"/>
        <v>Ô tô tự đổ 27 tấn473</v>
      </c>
      <c r="D2977" s="630"/>
      <c r="E2977" s="630"/>
      <c r="F2977" s="630"/>
      <c r="G2977" s="630"/>
    </row>
    <row r="2978" spans="1:7" ht="18.75" x14ac:dyDescent="0.25">
      <c r="A2978" s="629" t="s">
        <v>3071</v>
      </c>
      <c r="B2978" s="630">
        <v>474</v>
      </c>
      <c r="C2978" s="631" t="str">
        <f t="shared" si="50"/>
        <v>Ô tô tự đổ 27 tấn474</v>
      </c>
      <c r="D2978" s="630"/>
      <c r="E2978" s="630"/>
      <c r="F2978" s="630"/>
      <c r="G2978" s="630"/>
    </row>
    <row r="2979" spans="1:7" ht="18.75" x14ac:dyDescent="0.25">
      <c r="A2979" s="629" t="s">
        <v>3071</v>
      </c>
      <c r="B2979" s="630">
        <v>475</v>
      </c>
      <c r="C2979" s="631" t="str">
        <f t="shared" si="50"/>
        <v>Ô tô tự đổ 27 tấn475</v>
      </c>
      <c r="D2979" s="630"/>
      <c r="E2979" s="630"/>
      <c r="F2979" s="630"/>
      <c r="G2979" s="630"/>
    </row>
    <row r="2980" spans="1:7" ht="18.75" x14ac:dyDescent="0.25">
      <c r="A2980" s="629" t="s">
        <v>3071</v>
      </c>
      <c r="B2980" s="630">
        <v>476</v>
      </c>
      <c r="C2980" s="631" t="str">
        <f t="shared" si="50"/>
        <v>Ô tô tự đổ 27 tấn476</v>
      </c>
      <c r="D2980" s="630"/>
      <c r="E2980" s="630"/>
      <c r="F2980" s="630"/>
      <c r="G2980" s="630"/>
    </row>
    <row r="2981" spans="1:7" ht="18.75" x14ac:dyDescent="0.25">
      <c r="A2981" s="629" t="s">
        <v>3071</v>
      </c>
      <c r="B2981" s="630">
        <v>477</v>
      </c>
      <c r="C2981" s="631" t="str">
        <f t="shared" si="50"/>
        <v>Ô tô tự đổ 27 tấn477</v>
      </c>
      <c r="D2981" s="630"/>
      <c r="E2981" s="630"/>
      <c r="F2981" s="630"/>
      <c r="G2981" s="630"/>
    </row>
    <row r="2982" spans="1:7" ht="18.75" x14ac:dyDescent="0.25">
      <c r="A2982" s="629" t="s">
        <v>3071</v>
      </c>
      <c r="B2982" s="630">
        <v>478</v>
      </c>
      <c r="C2982" s="631" t="str">
        <f t="shared" si="50"/>
        <v>Ô tô tự đổ 27 tấn478</v>
      </c>
      <c r="D2982" s="630"/>
      <c r="E2982" s="630"/>
      <c r="F2982" s="630"/>
      <c r="G2982" s="630"/>
    </row>
    <row r="2983" spans="1:7" ht="18.75" x14ac:dyDescent="0.25">
      <c r="A2983" s="629" t="s">
        <v>3071</v>
      </c>
      <c r="B2983" s="630">
        <v>479</v>
      </c>
      <c r="C2983" s="631" t="str">
        <f t="shared" si="50"/>
        <v>Ô tô tự đổ 27 tấn479</v>
      </c>
      <c r="D2983" s="630"/>
      <c r="E2983" s="630"/>
      <c r="F2983" s="630"/>
      <c r="G2983" s="630"/>
    </row>
    <row r="2984" spans="1:7" ht="18.75" x14ac:dyDescent="0.25">
      <c r="A2984" s="629" t="s">
        <v>3071</v>
      </c>
      <c r="B2984" s="630">
        <v>480</v>
      </c>
      <c r="C2984" s="631" t="str">
        <f t="shared" si="50"/>
        <v>Ô tô tự đổ 27 tấn480</v>
      </c>
      <c r="D2984" s="630"/>
      <c r="E2984" s="630"/>
      <c r="F2984" s="630"/>
      <c r="G2984" s="630"/>
    </row>
    <row r="2985" spans="1:7" ht="18.75" x14ac:dyDescent="0.25">
      <c r="A2985" s="629" t="s">
        <v>3071</v>
      </c>
      <c r="B2985" s="630">
        <v>481</v>
      </c>
      <c r="C2985" s="631" t="str">
        <f t="shared" si="50"/>
        <v>Ô tô tự đổ 27 tấn481</v>
      </c>
      <c r="D2985" s="630"/>
      <c r="E2985" s="630"/>
      <c r="F2985" s="630"/>
      <c r="G2985" s="630"/>
    </row>
    <row r="2986" spans="1:7" ht="18.75" x14ac:dyDescent="0.25">
      <c r="A2986" s="629" t="s">
        <v>3071</v>
      </c>
      <c r="B2986" s="630">
        <v>482</v>
      </c>
      <c r="C2986" s="631" t="str">
        <f t="shared" si="50"/>
        <v>Ô tô tự đổ 27 tấn482</v>
      </c>
      <c r="D2986" s="630"/>
      <c r="E2986" s="630"/>
      <c r="F2986" s="630"/>
      <c r="G2986" s="630"/>
    </row>
    <row r="2987" spans="1:7" ht="18.75" x14ac:dyDescent="0.25">
      <c r="A2987" s="629" t="s">
        <v>3071</v>
      </c>
      <c r="B2987" s="630">
        <v>483</v>
      </c>
      <c r="C2987" s="631" t="str">
        <f t="shared" si="50"/>
        <v>Ô tô tự đổ 27 tấn483</v>
      </c>
      <c r="D2987" s="630"/>
      <c r="E2987" s="630"/>
      <c r="F2987" s="630"/>
      <c r="G2987" s="630"/>
    </row>
    <row r="2988" spans="1:7" ht="18.75" x14ac:dyDescent="0.25">
      <c r="A2988" s="629" t="s">
        <v>3071</v>
      </c>
      <c r="B2988" s="630">
        <v>484</v>
      </c>
      <c r="C2988" s="631" t="str">
        <f t="shared" si="50"/>
        <v>Ô tô tự đổ 27 tấn484</v>
      </c>
      <c r="D2988" s="630"/>
      <c r="E2988" s="630"/>
      <c r="F2988" s="630"/>
      <c r="G2988" s="630"/>
    </row>
    <row r="2989" spans="1:7" ht="18.75" x14ac:dyDescent="0.25">
      <c r="A2989" s="629" t="s">
        <v>3071</v>
      </c>
      <c r="B2989" s="630">
        <v>485</v>
      </c>
      <c r="C2989" s="631" t="str">
        <f t="shared" si="50"/>
        <v>Ô tô tự đổ 27 tấn485</v>
      </c>
      <c r="D2989" s="630"/>
      <c r="E2989" s="630"/>
      <c r="F2989" s="630"/>
      <c r="G2989" s="630"/>
    </row>
    <row r="2990" spans="1:7" ht="18.75" x14ac:dyDescent="0.25">
      <c r="A2990" s="629" t="s">
        <v>3071</v>
      </c>
      <c r="B2990" s="630">
        <v>486</v>
      </c>
      <c r="C2990" s="631" t="str">
        <f t="shared" si="50"/>
        <v>Ô tô tự đổ 27 tấn486</v>
      </c>
      <c r="D2990" s="630"/>
      <c r="E2990" s="630"/>
      <c r="F2990" s="630"/>
      <c r="G2990" s="630"/>
    </row>
    <row r="2991" spans="1:7" ht="18.75" x14ac:dyDescent="0.25">
      <c r="A2991" s="629" t="s">
        <v>3071</v>
      </c>
      <c r="B2991" s="630">
        <v>487</v>
      </c>
      <c r="C2991" s="631" t="str">
        <f t="shared" si="50"/>
        <v>Ô tô tự đổ 27 tấn487</v>
      </c>
      <c r="D2991" s="630"/>
      <c r="E2991" s="630"/>
      <c r="F2991" s="630"/>
      <c r="G2991" s="630"/>
    </row>
    <row r="2992" spans="1:7" ht="18.75" x14ac:dyDescent="0.25">
      <c r="A2992" s="629" t="s">
        <v>3071</v>
      </c>
      <c r="B2992" s="630">
        <v>488</v>
      </c>
      <c r="C2992" s="631" t="str">
        <f t="shared" si="50"/>
        <v>Ô tô tự đổ 27 tấn488</v>
      </c>
      <c r="D2992" s="630"/>
      <c r="E2992" s="630"/>
      <c r="F2992" s="630"/>
      <c r="G2992" s="630"/>
    </row>
    <row r="2993" spans="1:7" ht="18.75" x14ac:dyDescent="0.25">
      <c r="A2993" s="629" t="s">
        <v>3071</v>
      </c>
      <c r="B2993" s="630">
        <v>489</v>
      </c>
      <c r="C2993" s="631" t="str">
        <f t="shared" si="50"/>
        <v>Ô tô tự đổ 27 tấn489</v>
      </c>
      <c r="D2993" s="630"/>
      <c r="E2993" s="630"/>
      <c r="F2993" s="630"/>
      <c r="G2993" s="630"/>
    </row>
    <row r="2994" spans="1:7" ht="18.75" x14ac:dyDescent="0.25">
      <c r="A2994" s="629" t="s">
        <v>3071</v>
      </c>
      <c r="B2994" s="630">
        <v>490</v>
      </c>
      <c r="C2994" s="631" t="str">
        <f t="shared" si="50"/>
        <v>Ô tô tự đổ 27 tấn490</v>
      </c>
      <c r="D2994" s="630"/>
      <c r="E2994" s="630"/>
      <c r="F2994" s="630"/>
      <c r="G2994" s="630"/>
    </row>
    <row r="2995" spans="1:7" ht="18.75" x14ac:dyDescent="0.25">
      <c r="A2995" s="629" t="s">
        <v>3071</v>
      </c>
      <c r="B2995" s="630">
        <v>491</v>
      </c>
      <c r="C2995" s="631" t="str">
        <f t="shared" si="50"/>
        <v>Ô tô tự đổ 27 tấn491</v>
      </c>
      <c r="D2995" s="630"/>
      <c r="E2995" s="630"/>
      <c r="F2995" s="630"/>
      <c r="G2995" s="630"/>
    </row>
    <row r="2996" spans="1:7" ht="18.75" x14ac:dyDescent="0.25">
      <c r="A2996" s="629" t="s">
        <v>3071</v>
      </c>
      <c r="B2996" s="630">
        <v>492</v>
      </c>
      <c r="C2996" s="631" t="str">
        <f t="shared" si="50"/>
        <v>Ô tô tự đổ 27 tấn492</v>
      </c>
      <c r="D2996" s="630"/>
      <c r="E2996" s="630"/>
      <c r="F2996" s="630"/>
      <c r="G2996" s="630"/>
    </row>
    <row r="2997" spans="1:7" ht="18.75" x14ac:dyDescent="0.25">
      <c r="A2997" s="629" t="s">
        <v>3071</v>
      </c>
      <c r="B2997" s="630">
        <v>493</v>
      </c>
      <c r="C2997" s="631" t="str">
        <f t="shared" si="50"/>
        <v>Ô tô tự đổ 27 tấn493</v>
      </c>
      <c r="D2997" s="630"/>
      <c r="E2997" s="630"/>
      <c r="F2997" s="630"/>
      <c r="G2997" s="630"/>
    </row>
    <row r="2998" spans="1:7" ht="18.75" x14ac:dyDescent="0.25">
      <c r="A2998" s="629" t="s">
        <v>3071</v>
      </c>
      <c r="B2998" s="630">
        <v>494</v>
      </c>
      <c r="C2998" s="631" t="str">
        <f t="shared" si="50"/>
        <v>Ô tô tự đổ 27 tấn494</v>
      </c>
      <c r="D2998" s="630"/>
      <c r="E2998" s="630"/>
      <c r="F2998" s="630"/>
      <c r="G2998" s="630"/>
    </row>
    <row r="2999" spans="1:7" ht="18.75" x14ac:dyDescent="0.25">
      <c r="A2999" s="629" t="s">
        <v>3071</v>
      </c>
      <c r="B2999" s="630">
        <v>495</v>
      </c>
      <c r="C2999" s="631" t="str">
        <f t="shared" si="50"/>
        <v>Ô tô tự đổ 27 tấn495</v>
      </c>
      <c r="D2999" s="630"/>
      <c r="E2999" s="630"/>
      <c r="F2999" s="630"/>
      <c r="G2999" s="630"/>
    </row>
    <row r="3000" spans="1:7" ht="18.75" x14ac:dyDescent="0.25">
      <c r="A3000" s="629" t="s">
        <v>3071</v>
      </c>
      <c r="B3000" s="630">
        <v>496</v>
      </c>
      <c r="C3000" s="631" t="str">
        <f t="shared" si="50"/>
        <v>Ô tô tự đổ 27 tấn496</v>
      </c>
      <c r="D3000" s="630"/>
      <c r="E3000" s="630"/>
      <c r="F3000" s="630"/>
      <c r="G3000" s="630"/>
    </row>
    <row r="3001" spans="1:7" ht="18.75" x14ac:dyDescent="0.25">
      <c r="A3001" s="629" t="s">
        <v>3071</v>
      </c>
      <c r="B3001" s="630">
        <v>497</v>
      </c>
      <c r="C3001" s="631" t="str">
        <f t="shared" si="50"/>
        <v>Ô tô tự đổ 27 tấn497</v>
      </c>
      <c r="D3001" s="630"/>
      <c r="E3001" s="630"/>
      <c r="F3001" s="630"/>
      <c r="G3001" s="630"/>
    </row>
    <row r="3002" spans="1:7" ht="18.75" x14ac:dyDescent="0.25">
      <c r="A3002" s="629" t="s">
        <v>3071</v>
      </c>
      <c r="B3002" s="630">
        <v>498</v>
      </c>
      <c r="C3002" s="631" t="str">
        <f t="shared" si="50"/>
        <v>Ô tô tự đổ 27 tấn498</v>
      </c>
      <c r="D3002" s="630"/>
      <c r="E3002" s="630"/>
      <c r="F3002" s="630"/>
      <c r="G3002" s="630"/>
    </row>
    <row r="3003" spans="1:7" ht="18.75" x14ac:dyDescent="0.25">
      <c r="A3003" s="629" t="s">
        <v>3071</v>
      </c>
      <c r="B3003" s="630">
        <v>499</v>
      </c>
      <c r="C3003" s="631" t="str">
        <f t="shared" si="50"/>
        <v>Ô tô tự đổ 27 tấn499</v>
      </c>
      <c r="D3003" s="630"/>
      <c r="E3003" s="630"/>
      <c r="F3003" s="630"/>
      <c r="G3003" s="630"/>
    </row>
    <row r="3004" spans="1:7" ht="18.75" x14ac:dyDescent="0.25">
      <c r="A3004" s="629" t="s">
        <v>3071</v>
      </c>
      <c r="B3004" s="630">
        <v>500</v>
      </c>
      <c r="C3004" s="631" t="str">
        <f t="shared" si="50"/>
        <v>Ô tô tự đổ 27 tấn500</v>
      </c>
      <c r="D3004" s="630"/>
      <c r="E3004" s="630"/>
      <c r="F3004" s="630"/>
      <c r="G3004" s="630"/>
    </row>
    <row r="3005" spans="1:7" ht="18.75" x14ac:dyDescent="0.25">
      <c r="A3005" s="629" t="s">
        <v>3069</v>
      </c>
      <c r="B3005" s="630">
        <v>1</v>
      </c>
      <c r="C3005" s="631" t="str">
        <f>A3005&amp;B3005</f>
        <v>Ô tô vận tải thùng 5 tấn1</v>
      </c>
      <c r="D3005" s="633"/>
      <c r="E3005" s="633"/>
      <c r="F3005" s="633">
        <v>0.56999999999999995</v>
      </c>
      <c r="G3005" s="633">
        <v>0.54</v>
      </c>
    </row>
    <row r="3006" spans="1:7" ht="18.75" x14ac:dyDescent="0.25">
      <c r="A3006" s="629" t="s">
        <v>3069</v>
      </c>
      <c r="B3006" s="630">
        <v>2</v>
      </c>
      <c r="C3006" s="631" t="str">
        <f t="shared" ref="C3006:C3069" si="51">A3006&amp;B3006</f>
        <v>Ô tô vận tải thùng 5 tấn2</v>
      </c>
      <c r="D3006" s="633"/>
      <c r="E3006" s="633"/>
      <c r="F3006" s="633">
        <v>0.28000000000000003</v>
      </c>
      <c r="G3006" s="633">
        <v>0.27</v>
      </c>
    </row>
    <row r="3007" spans="1:7" ht="18.75" x14ac:dyDescent="0.25">
      <c r="A3007" s="629" t="s">
        <v>3069</v>
      </c>
      <c r="B3007" s="630">
        <v>3</v>
      </c>
      <c r="C3007" s="631" t="str">
        <f t="shared" si="51"/>
        <v>Ô tô vận tải thùng 5 tấn3</v>
      </c>
      <c r="D3007" s="633"/>
      <c r="E3007" s="633"/>
      <c r="F3007" s="633">
        <v>0.28000000000000003</v>
      </c>
      <c r="G3007" s="633">
        <v>0.27</v>
      </c>
    </row>
    <row r="3008" spans="1:7" ht="18.75" x14ac:dyDescent="0.25">
      <c r="A3008" s="629" t="s">
        <v>3069</v>
      </c>
      <c r="B3008" s="630">
        <v>4</v>
      </c>
      <c r="C3008" s="631" t="str">
        <f t="shared" si="51"/>
        <v>Ô tô vận tải thùng 5 tấn4</v>
      </c>
      <c r="D3008" s="633"/>
      <c r="E3008" s="633"/>
      <c r="F3008" s="633">
        <v>0.28000000000000003</v>
      </c>
      <c r="G3008" s="633">
        <v>0.27</v>
      </c>
    </row>
    <row r="3009" spans="1:7" ht="18.75" x14ac:dyDescent="0.25">
      <c r="A3009" s="629" t="s">
        <v>3069</v>
      </c>
      <c r="B3009" s="630">
        <v>5</v>
      </c>
      <c r="C3009" s="631" t="str">
        <f t="shared" si="51"/>
        <v>Ô tô vận tải thùng 5 tấn5</v>
      </c>
      <c r="D3009" s="633"/>
      <c r="E3009" s="633"/>
      <c r="F3009" s="633">
        <v>0.28000000000000003</v>
      </c>
      <c r="G3009" s="633">
        <v>0.27</v>
      </c>
    </row>
    <row r="3010" spans="1:7" ht="18.75" x14ac:dyDescent="0.25">
      <c r="A3010" s="629" t="s">
        <v>3069</v>
      </c>
      <c r="B3010" s="630">
        <v>6</v>
      </c>
      <c r="C3010" s="631" t="str">
        <f t="shared" si="51"/>
        <v>Ô tô vận tải thùng 5 tấn6</v>
      </c>
      <c r="D3010" s="633"/>
      <c r="E3010" s="633"/>
      <c r="F3010" s="633">
        <v>0.22</v>
      </c>
      <c r="G3010" s="633">
        <v>0.21</v>
      </c>
    </row>
    <row r="3011" spans="1:7" ht="18.75" x14ac:dyDescent="0.25">
      <c r="A3011" s="629" t="s">
        <v>3069</v>
      </c>
      <c r="B3011" s="630">
        <v>7</v>
      </c>
      <c r="C3011" s="631" t="str">
        <f t="shared" si="51"/>
        <v>Ô tô vận tải thùng 5 tấn7</v>
      </c>
      <c r="D3011" s="633"/>
      <c r="E3011" s="633"/>
      <c r="F3011" s="633">
        <v>0.22</v>
      </c>
      <c r="G3011" s="633">
        <v>0.21</v>
      </c>
    </row>
    <row r="3012" spans="1:7" ht="18.75" x14ac:dyDescent="0.25">
      <c r="A3012" s="629" t="s">
        <v>3069</v>
      </c>
      <c r="B3012" s="630">
        <v>8</v>
      </c>
      <c r="C3012" s="631" t="str">
        <f t="shared" si="51"/>
        <v>Ô tô vận tải thùng 5 tấn8</v>
      </c>
      <c r="D3012" s="633"/>
      <c r="E3012" s="633"/>
      <c r="F3012" s="633">
        <v>0.22</v>
      </c>
      <c r="G3012" s="633">
        <v>0.21</v>
      </c>
    </row>
    <row r="3013" spans="1:7" ht="18.75" x14ac:dyDescent="0.25">
      <c r="A3013" s="629" t="s">
        <v>3069</v>
      </c>
      <c r="B3013" s="630">
        <v>9</v>
      </c>
      <c r="C3013" s="631" t="str">
        <f t="shared" si="51"/>
        <v>Ô tô vận tải thùng 5 tấn9</v>
      </c>
      <c r="D3013" s="633"/>
      <c r="E3013" s="633"/>
      <c r="F3013" s="633">
        <v>0.22</v>
      </c>
      <c r="G3013" s="633">
        <v>0.21</v>
      </c>
    </row>
    <row r="3014" spans="1:7" ht="18.75" x14ac:dyDescent="0.25">
      <c r="A3014" s="629" t="s">
        <v>3069</v>
      </c>
      <c r="B3014" s="630">
        <v>10</v>
      </c>
      <c r="C3014" s="631" t="str">
        <f t="shared" si="51"/>
        <v>Ô tô vận tải thùng 5 tấn10</v>
      </c>
      <c r="D3014" s="633"/>
      <c r="E3014" s="633"/>
      <c r="F3014" s="633">
        <v>0.22</v>
      </c>
      <c r="G3014" s="633">
        <v>0.21</v>
      </c>
    </row>
    <row r="3015" spans="1:7" ht="18.75" x14ac:dyDescent="0.25">
      <c r="A3015" s="629" t="s">
        <v>3069</v>
      </c>
      <c r="B3015" s="630">
        <v>11</v>
      </c>
      <c r="C3015" s="631" t="str">
        <f t="shared" si="51"/>
        <v>Ô tô vận tải thùng 5 tấn11</v>
      </c>
      <c r="D3015" s="633"/>
      <c r="E3015" s="633"/>
      <c r="F3015" s="633">
        <v>0.19</v>
      </c>
      <c r="G3015" s="633">
        <v>0.18</v>
      </c>
    </row>
    <row r="3016" spans="1:7" ht="18.75" x14ac:dyDescent="0.25">
      <c r="A3016" s="629" t="s">
        <v>3069</v>
      </c>
      <c r="B3016" s="630">
        <v>12</v>
      </c>
      <c r="C3016" s="631" t="str">
        <f t="shared" si="51"/>
        <v>Ô tô vận tải thùng 5 tấn12</v>
      </c>
      <c r="D3016" s="633"/>
      <c r="E3016" s="633"/>
      <c r="F3016" s="633">
        <v>0.19</v>
      </c>
      <c r="G3016" s="633">
        <v>0.18</v>
      </c>
    </row>
    <row r="3017" spans="1:7" ht="18.75" x14ac:dyDescent="0.25">
      <c r="A3017" s="629" t="s">
        <v>3069</v>
      </c>
      <c r="B3017" s="630">
        <v>13</v>
      </c>
      <c r="C3017" s="631" t="str">
        <f t="shared" si="51"/>
        <v>Ô tô vận tải thùng 5 tấn13</v>
      </c>
      <c r="D3017" s="633"/>
      <c r="E3017" s="633"/>
      <c r="F3017" s="633">
        <v>0.19</v>
      </c>
      <c r="G3017" s="633">
        <v>0.18</v>
      </c>
    </row>
    <row r="3018" spans="1:7" ht="18.75" x14ac:dyDescent="0.25">
      <c r="A3018" s="629" t="s">
        <v>3069</v>
      </c>
      <c r="B3018" s="630">
        <v>14</v>
      </c>
      <c r="C3018" s="631" t="str">
        <f t="shared" si="51"/>
        <v>Ô tô vận tải thùng 5 tấn14</v>
      </c>
      <c r="D3018" s="633"/>
      <c r="E3018" s="633"/>
      <c r="F3018" s="633">
        <v>0.19</v>
      </c>
      <c r="G3018" s="633">
        <v>0.18</v>
      </c>
    </row>
    <row r="3019" spans="1:7" ht="18.75" x14ac:dyDescent="0.25">
      <c r="A3019" s="629" t="s">
        <v>3069</v>
      </c>
      <c r="B3019" s="630">
        <v>15</v>
      </c>
      <c r="C3019" s="631" t="str">
        <f t="shared" si="51"/>
        <v>Ô tô vận tải thùng 5 tấn15</v>
      </c>
      <c r="D3019" s="633"/>
      <c r="E3019" s="633"/>
      <c r="F3019" s="633">
        <v>0.19</v>
      </c>
      <c r="G3019" s="633">
        <v>0.18</v>
      </c>
    </row>
    <row r="3020" spans="1:7" ht="18.75" x14ac:dyDescent="0.25">
      <c r="A3020" s="629" t="s">
        <v>3069</v>
      </c>
      <c r="B3020" s="630">
        <v>16</v>
      </c>
      <c r="C3020" s="631" t="str">
        <f t="shared" si="51"/>
        <v>Ô tô vận tải thùng 5 tấn16</v>
      </c>
      <c r="D3020" s="633"/>
      <c r="E3020" s="633"/>
      <c r="F3020" s="633">
        <v>0.17</v>
      </c>
      <c r="G3020" s="633">
        <v>0.16</v>
      </c>
    </row>
    <row r="3021" spans="1:7" ht="18.75" x14ac:dyDescent="0.25">
      <c r="A3021" s="629" t="s">
        <v>3069</v>
      </c>
      <c r="B3021" s="630">
        <v>17</v>
      </c>
      <c r="C3021" s="631" t="str">
        <f t="shared" si="51"/>
        <v>Ô tô vận tải thùng 5 tấn17</v>
      </c>
      <c r="D3021" s="633"/>
      <c r="E3021" s="633"/>
      <c r="F3021" s="633">
        <v>0.17</v>
      </c>
      <c r="G3021" s="633">
        <v>0.16</v>
      </c>
    </row>
    <row r="3022" spans="1:7" ht="18.75" x14ac:dyDescent="0.25">
      <c r="A3022" s="629" t="s">
        <v>3069</v>
      </c>
      <c r="B3022" s="630">
        <v>18</v>
      </c>
      <c r="C3022" s="631" t="str">
        <f t="shared" si="51"/>
        <v>Ô tô vận tải thùng 5 tấn18</v>
      </c>
      <c r="D3022" s="633"/>
      <c r="E3022" s="633"/>
      <c r="F3022" s="633">
        <v>0.17</v>
      </c>
      <c r="G3022" s="633">
        <v>0.16</v>
      </c>
    </row>
    <row r="3023" spans="1:7" ht="18.75" x14ac:dyDescent="0.25">
      <c r="A3023" s="629" t="s">
        <v>3069</v>
      </c>
      <c r="B3023" s="630">
        <v>19</v>
      </c>
      <c r="C3023" s="631" t="str">
        <f t="shared" si="51"/>
        <v>Ô tô vận tải thùng 5 tấn19</v>
      </c>
      <c r="D3023" s="633"/>
      <c r="E3023" s="633"/>
      <c r="F3023" s="633">
        <v>0.17</v>
      </c>
      <c r="G3023" s="633">
        <v>0.16</v>
      </c>
    </row>
    <row r="3024" spans="1:7" ht="18.75" x14ac:dyDescent="0.25">
      <c r="A3024" s="629" t="s">
        <v>3069</v>
      </c>
      <c r="B3024" s="630">
        <v>20</v>
      </c>
      <c r="C3024" s="631" t="str">
        <f t="shared" si="51"/>
        <v>Ô tô vận tải thùng 5 tấn20</v>
      </c>
      <c r="D3024" s="633"/>
      <c r="E3024" s="633"/>
      <c r="F3024" s="633">
        <v>0.17</v>
      </c>
      <c r="G3024" s="633">
        <v>0.16</v>
      </c>
    </row>
    <row r="3025" spans="1:7" ht="18.75" x14ac:dyDescent="0.25">
      <c r="A3025" s="629" t="s">
        <v>3069</v>
      </c>
      <c r="B3025" s="630">
        <v>21</v>
      </c>
      <c r="C3025" s="631" t="str">
        <f t="shared" si="51"/>
        <v>Ô tô vận tải thùng 5 tấn21</v>
      </c>
      <c r="D3025" s="630"/>
      <c r="E3025" s="630"/>
      <c r="F3025" s="630"/>
      <c r="G3025" s="630"/>
    </row>
    <row r="3026" spans="1:7" ht="18.75" x14ac:dyDescent="0.25">
      <c r="A3026" s="629" t="s">
        <v>3069</v>
      </c>
      <c r="B3026" s="630">
        <v>22</v>
      </c>
      <c r="C3026" s="631" t="str">
        <f t="shared" si="51"/>
        <v>Ô tô vận tải thùng 5 tấn22</v>
      </c>
      <c r="D3026" s="630"/>
      <c r="E3026" s="630"/>
      <c r="F3026" s="630"/>
      <c r="G3026" s="630"/>
    </row>
    <row r="3027" spans="1:7" ht="18.75" x14ac:dyDescent="0.25">
      <c r="A3027" s="629" t="s">
        <v>3069</v>
      </c>
      <c r="B3027" s="630">
        <v>23</v>
      </c>
      <c r="C3027" s="631" t="str">
        <f t="shared" si="51"/>
        <v>Ô tô vận tải thùng 5 tấn23</v>
      </c>
      <c r="D3027" s="630"/>
      <c r="E3027" s="630"/>
      <c r="F3027" s="630"/>
      <c r="G3027" s="630"/>
    </row>
    <row r="3028" spans="1:7" ht="18.75" x14ac:dyDescent="0.25">
      <c r="A3028" s="629" t="s">
        <v>3069</v>
      </c>
      <c r="B3028" s="630">
        <v>24</v>
      </c>
      <c r="C3028" s="631" t="str">
        <f t="shared" si="51"/>
        <v>Ô tô vận tải thùng 5 tấn24</v>
      </c>
      <c r="D3028" s="630"/>
      <c r="E3028" s="630"/>
      <c r="F3028" s="630"/>
      <c r="G3028" s="630"/>
    </row>
    <row r="3029" spans="1:7" ht="18.75" x14ac:dyDescent="0.25">
      <c r="A3029" s="629" t="s">
        <v>3069</v>
      </c>
      <c r="B3029" s="630">
        <v>25</v>
      </c>
      <c r="C3029" s="631" t="str">
        <f t="shared" si="51"/>
        <v>Ô tô vận tải thùng 5 tấn25</v>
      </c>
      <c r="D3029" s="630"/>
      <c r="E3029" s="630"/>
      <c r="F3029" s="630"/>
      <c r="G3029" s="630"/>
    </row>
    <row r="3030" spans="1:7" ht="18.75" x14ac:dyDescent="0.25">
      <c r="A3030" s="629" t="s">
        <v>3069</v>
      </c>
      <c r="B3030" s="630">
        <v>26</v>
      </c>
      <c r="C3030" s="631" t="str">
        <f t="shared" si="51"/>
        <v>Ô tô vận tải thùng 5 tấn26</v>
      </c>
      <c r="D3030" s="630"/>
      <c r="E3030" s="630"/>
      <c r="F3030" s="630"/>
      <c r="G3030" s="630"/>
    </row>
    <row r="3031" spans="1:7" ht="18.75" x14ac:dyDescent="0.25">
      <c r="A3031" s="629" t="s">
        <v>3069</v>
      </c>
      <c r="B3031" s="630">
        <v>27</v>
      </c>
      <c r="C3031" s="631" t="str">
        <f t="shared" si="51"/>
        <v>Ô tô vận tải thùng 5 tấn27</v>
      </c>
      <c r="D3031" s="630"/>
      <c r="E3031" s="630"/>
      <c r="F3031" s="630"/>
      <c r="G3031" s="630"/>
    </row>
    <row r="3032" spans="1:7" ht="18.75" x14ac:dyDescent="0.25">
      <c r="A3032" s="629" t="s">
        <v>3069</v>
      </c>
      <c r="B3032" s="630">
        <v>28</v>
      </c>
      <c r="C3032" s="631" t="str">
        <f t="shared" si="51"/>
        <v>Ô tô vận tải thùng 5 tấn28</v>
      </c>
      <c r="D3032" s="630"/>
      <c r="E3032" s="630"/>
      <c r="F3032" s="630"/>
      <c r="G3032" s="630"/>
    </row>
    <row r="3033" spans="1:7" ht="18.75" x14ac:dyDescent="0.25">
      <c r="A3033" s="629" t="s">
        <v>3069</v>
      </c>
      <c r="B3033" s="630">
        <v>29</v>
      </c>
      <c r="C3033" s="631" t="str">
        <f t="shared" si="51"/>
        <v>Ô tô vận tải thùng 5 tấn29</v>
      </c>
      <c r="D3033" s="630"/>
      <c r="E3033" s="630"/>
      <c r="F3033" s="630"/>
      <c r="G3033" s="630"/>
    </row>
    <row r="3034" spans="1:7" ht="18.75" x14ac:dyDescent="0.25">
      <c r="A3034" s="629" t="s">
        <v>3069</v>
      </c>
      <c r="B3034" s="630">
        <v>30</v>
      </c>
      <c r="C3034" s="631" t="str">
        <f t="shared" si="51"/>
        <v>Ô tô vận tải thùng 5 tấn30</v>
      </c>
      <c r="D3034" s="630"/>
      <c r="E3034" s="630"/>
      <c r="F3034" s="630"/>
      <c r="G3034" s="630"/>
    </row>
    <row r="3035" spans="1:7" ht="18.75" x14ac:dyDescent="0.25">
      <c r="A3035" s="629" t="s">
        <v>3069</v>
      </c>
      <c r="B3035" s="630">
        <v>31</v>
      </c>
      <c r="C3035" s="631" t="str">
        <f t="shared" si="51"/>
        <v>Ô tô vận tải thùng 5 tấn31</v>
      </c>
      <c r="D3035" s="630"/>
      <c r="E3035" s="630"/>
      <c r="F3035" s="630"/>
      <c r="G3035" s="630"/>
    </row>
    <row r="3036" spans="1:7" ht="18.75" x14ac:dyDescent="0.25">
      <c r="A3036" s="629" t="s">
        <v>3069</v>
      </c>
      <c r="B3036" s="630">
        <v>32</v>
      </c>
      <c r="C3036" s="631" t="str">
        <f t="shared" si="51"/>
        <v>Ô tô vận tải thùng 5 tấn32</v>
      </c>
      <c r="D3036" s="630"/>
      <c r="E3036" s="630"/>
      <c r="F3036" s="630"/>
      <c r="G3036" s="630"/>
    </row>
    <row r="3037" spans="1:7" ht="18.75" x14ac:dyDescent="0.25">
      <c r="A3037" s="629" t="s">
        <v>3069</v>
      </c>
      <c r="B3037" s="630">
        <v>33</v>
      </c>
      <c r="C3037" s="631" t="str">
        <f t="shared" si="51"/>
        <v>Ô tô vận tải thùng 5 tấn33</v>
      </c>
      <c r="D3037" s="630"/>
      <c r="E3037" s="630"/>
      <c r="F3037" s="630"/>
      <c r="G3037" s="630"/>
    </row>
    <row r="3038" spans="1:7" ht="18.75" x14ac:dyDescent="0.25">
      <c r="A3038" s="629" t="s">
        <v>3069</v>
      </c>
      <c r="B3038" s="630">
        <v>34</v>
      </c>
      <c r="C3038" s="631" t="str">
        <f t="shared" si="51"/>
        <v>Ô tô vận tải thùng 5 tấn34</v>
      </c>
      <c r="D3038" s="630"/>
      <c r="E3038" s="630"/>
      <c r="F3038" s="630"/>
      <c r="G3038" s="630"/>
    </row>
    <row r="3039" spans="1:7" ht="18.75" x14ac:dyDescent="0.25">
      <c r="A3039" s="629" t="s">
        <v>3069</v>
      </c>
      <c r="B3039" s="630">
        <v>35</v>
      </c>
      <c r="C3039" s="631" t="str">
        <f t="shared" si="51"/>
        <v>Ô tô vận tải thùng 5 tấn35</v>
      </c>
      <c r="D3039" s="630"/>
      <c r="E3039" s="630"/>
      <c r="F3039" s="630"/>
      <c r="G3039" s="630"/>
    </row>
    <row r="3040" spans="1:7" ht="18.75" x14ac:dyDescent="0.25">
      <c r="A3040" s="629" t="s">
        <v>3069</v>
      </c>
      <c r="B3040" s="630">
        <v>36</v>
      </c>
      <c r="C3040" s="631" t="str">
        <f t="shared" si="51"/>
        <v>Ô tô vận tải thùng 5 tấn36</v>
      </c>
      <c r="D3040" s="630"/>
      <c r="E3040" s="630"/>
      <c r="F3040" s="630"/>
      <c r="G3040" s="630"/>
    </row>
    <row r="3041" spans="1:7" ht="18.75" x14ac:dyDescent="0.25">
      <c r="A3041" s="629" t="s">
        <v>3069</v>
      </c>
      <c r="B3041" s="630">
        <v>37</v>
      </c>
      <c r="C3041" s="631" t="str">
        <f t="shared" si="51"/>
        <v>Ô tô vận tải thùng 5 tấn37</v>
      </c>
      <c r="D3041" s="630"/>
      <c r="E3041" s="630"/>
      <c r="F3041" s="630"/>
      <c r="G3041" s="630"/>
    </row>
    <row r="3042" spans="1:7" ht="18.75" x14ac:dyDescent="0.25">
      <c r="A3042" s="629" t="s">
        <v>3069</v>
      </c>
      <c r="B3042" s="630">
        <v>38</v>
      </c>
      <c r="C3042" s="631" t="str">
        <f t="shared" si="51"/>
        <v>Ô tô vận tải thùng 5 tấn38</v>
      </c>
      <c r="D3042" s="630"/>
      <c r="E3042" s="630"/>
      <c r="F3042" s="630"/>
      <c r="G3042" s="630"/>
    </row>
    <row r="3043" spans="1:7" ht="18.75" x14ac:dyDescent="0.25">
      <c r="A3043" s="629" t="s">
        <v>3069</v>
      </c>
      <c r="B3043" s="630">
        <v>39</v>
      </c>
      <c r="C3043" s="631" t="str">
        <f t="shared" si="51"/>
        <v>Ô tô vận tải thùng 5 tấn39</v>
      </c>
      <c r="D3043" s="630"/>
      <c r="E3043" s="630"/>
      <c r="F3043" s="630"/>
      <c r="G3043" s="630"/>
    </row>
    <row r="3044" spans="1:7" ht="18.75" x14ac:dyDescent="0.25">
      <c r="A3044" s="629" t="s">
        <v>3069</v>
      </c>
      <c r="B3044" s="630">
        <v>40</v>
      </c>
      <c r="C3044" s="631" t="str">
        <f t="shared" si="51"/>
        <v>Ô tô vận tải thùng 5 tấn40</v>
      </c>
      <c r="D3044" s="630"/>
      <c r="E3044" s="630"/>
      <c r="F3044" s="630"/>
      <c r="G3044" s="630"/>
    </row>
    <row r="3045" spans="1:7" ht="18.75" x14ac:dyDescent="0.25">
      <c r="A3045" s="629" t="s">
        <v>3069</v>
      </c>
      <c r="B3045" s="630">
        <v>41</v>
      </c>
      <c r="C3045" s="631" t="str">
        <f t="shared" si="51"/>
        <v>Ô tô vận tải thùng 5 tấn41</v>
      </c>
      <c r="D3045" s="630"/>
      <c r="E3045" s="630"/>
      <c r="F3045" s="630"/>
      <c r="G3045" s="630"/>
    </row>
    <row r="3046" spans="1:7" ht="18.75" x14ac:dyDescent="0.25">
      <c r="A3046" s="629" t="s">
        <v>3069</v>
      </c>
      <c r="B3046" s="630">
        <v>42</v>
      </c>
      <c r="C3046" s="631" t="str">
        <f t="shared" si="51"/>
        <v>Ô tô vận tải thùng 5 tấn42</v>
      </c>
      <c r="D3046" s="630"/>
      <c r="E3046" s="630"/>
      <c r="F3046" s="630"/>
      <c r="G3046" s="630"/>
    </row>
    <row r="3047" spans="1:7" ht="18.75" x14ac:dyDescent="0.25">
      <c r="A3047" s="629" t="s">
        <v>3069</v>
      </c>
      <c r="B3047" s="630">
        <v>43</v>
      </c>
      <c r="C3047" s="631" t="str">
        <f t="shared" si="51"/>
        <v>Ô tô vận tải thùng 5 tấn43</v>
      </c>
      <c r="D3047" s="630"/>
      <c r="E3047" s="630"/>
      <c r="F3047" s="630"/>
      <c r="G3047" s="630"/>
    </row>
    <row r="3048" spans="1:7" ht="18.75" x14ac:dyDescent="0.25">
      <c r="A3048" s="629" t="s">
        <v>3069</v>
      </c>
      <c r="B3048" s="630">
        <v>44</v>
      </c>
      <c r="C3048" s="631" t="str">
        <f t="shared" si="51"/>
        <v>Ô tô vận tải thùng 5 tấn44</v>
      </c>
      <c r="D3048" s="630"/>
      <c r="E3048" s="630"/>
      <c r="F3048" s="630"/>
      <c r="G3048" s="630"/>
    </row>
    <row r="3049" spans="1:7" ht="18.75" x14ac:dyDescent="0.25">
      <c r="A3049" s="629" t="s">
        <v>3069</v>
      </c>
      <c r="B3049" s="630">
        <v>45</v>
      </c>
      <c r="C3049" s="631" t="str">
        <f t="shared" si="51"/>
        <v>Ô tô vận tải thùng 5 tấn45</v>
      </c>
      <c r="D3049" s="630"/>
      <c r="E3049" s="630"/>
      <c r="F3049" s="630"/>
      <c r="G3049" s="630"/>
    </row>
    <row r="3050" spans="1:7" ht="18.75" x14ac:dyDescent="0.25">
      <c r="A3050" s="629" t="s">
        <v>3069</v>
      </c>
      <c r="B3050" s="630">
        <v>46</v>
      </c>
      <c r="C3050" s="631" t="str">
        <f t="shared" si="51"/>
        <v>Ô tô vận tải thùng 5 tấn46</v>
      </c>
      <c r="D3050" s="630"/>
      <c r="E3050" s="630"/>
      <c r="F3050" s="630"/>
      <c r="G3050" s="630"/>
    </row>
    <row r="3051" spans="1:7" ht="18.75" x14ac:dyDescent="0.25">
      <c r="A3051" s="629" t="s">
        <v>3069</v>
      </c>
      <c r="B3051" s="630">
        <v>47</v>
      </c>
      <c r="C3051" s="631" t="str">
        <f t="shared" si="51"/>
        <v>Ô tô vận tải thùng 5 tấn47</v>
      </c>
      <c r="D3051" s="630"/>
      <c r="E3051" s="630"/>
      <c r="F3051" s="630"/>
      <c r="G3051" s="630"/>
    </row>
    <row r="3052" spans="1:7" ht="18.75" x14ac:dyDescent="0.25">
      <c r="A3052" s="629" t="s">
        <v>3069</v>
      </c>
      <c r="B3052" s="630">
        <v>48</v>
      </c>
      <c r="C3052" s="631" t="str">
        <f t="shared" si="51"/>
        <v>Ô tô vận tải thùng 5 tấn48</v>
      </c>
      <c r="D3052" s="630"/>
      <c r="E3052" s="630"/>
      <c r="F3052" s="630"/>
      <c r="G3052" s="630"/>
    </row>
    <row r="3053" spans="1:7" ht="18.75" x14ac:dyDescent="0.25">
      <c r="A3053" s="629" t="s">
        <v>3069</v>
      </c>
      <c r="B3053" s="630">
        <v>49</v>
      </c>
      <c r="C3053" s="631" t="str">
        <f t="shared" si="51"/>
        <v>Ô tô vận tải thùng 5 tấn49</v>
      </c>
      <c r="D3053" s="630"/>
      <c r="E3053" s="630"/>
      <c r="F3053" s="630"/>
      <c r="G3053" s="630"/>
    </row>
    <row r="3054" spans="1:7" ht="18.75" x14ac:dyDescent="0.25">
      <c r="A3054" s="629" t="s">
        <v>3069</v>
      </c>
      <c r="B3054" s="630">
        <v>50</v>
      </c>
      <c r="C3054" s="631" t="str">
        <f t="shared" si="51"/>
        <v>Ô tô vận tải thùng 5 tấn50</v>
      </c>
      <c r="D3054" s="630"/>
      <c r="E3054" s="630"/>
      <c r="F3054" s="630"/>
      <c r="G3054" s="630"/>
    </row>
    <row r="3055" spans="1:7" ht="18.75" x14ac:dyDescent="0.25">
      <c r="A3055" s="629" t="s">
        <v>3069</v>
      </c>
      <c r="B3055" s="630">
        <v>51</v>
      </c>
      <c r="C3055" s="631" t="str">
        <f t="shared" si="51"/>
        <v>Ô tô vận tải thùng 5 tấn51</v>
      </c>
      <c r="D3055" s="630"/>
      <c r="E3055" s="630"/>
      <c r="F3055" s="630"/>
      <c r="G3055" s="630"/>
    </row>
    <row r="3056" spans="1:7" ht="18.75" x14ac:dyDescent="0.25">
      <c r="A3056" s="629" t="s">
        <v>3069</v>
      </c>
      <c r="B3056" s="630">
        <v>52</v>
      </c>
      <c r="C3056" s="631" t="str">
        <f t="shared" si="51"/>
        <v>Ô tô vận tải thùng 5 tấn52</v>
      </c>
      <c r="D3056" s="630"/>
      <c r="E3056" s="630"/>
      <c r="F3056" s="630"/>
      <c r="G3056" s="630"/>
    </row>
    <row r="3057" spans="1:7" ht="18.75" x14ac:dyDescent="0.25">
      <c r="A3057" s="629" t="s">
        <v>3069</v>
      </c>
      <c r="B3057" s="630">
        <v>53</v>
      </c>
      <c r="C3057" s="631" t="str">
        <f t="shared" si="51"/>
        <v>Ô tô vận tải thùng 5 tấn53</v>
      </c>
      <c r="D3057" s="630"/>
      <c r="E3057" s="630"/>
      <c r="F3057" s="630"/>
      <c r="G3057" s="630"/>
    </row>
    <row r="3058" spans="1:7" ht="18.75" x14ac:dyDescent="0.25">
      <c r="A3058" s="629" t="s">
        <v>3069</v>
      </c>
      <c r="B3058" s="630">
        <v>54</v>
      </c>
      <c r="C3058" s="631" t="str">
        <f t="shared" si="51"/>
        <v>Ô tô vận tải thùng 5 tấn54</v>
      </c>
      <c r="D3058" s="630"/>
      <c r="E3058" s="630"/>
      <c r="F3058" s="630"/>
      <c r="G3058" s="630"/>
    </row>
    <row r="3059" spans="1:7" ht="18.75" x14ac:dyDescent="0.25">
      <c r="A3059" s="629" t="s">
        <v>3069</v>
      </c>
      <c r="B3059" s="630">
        <v>55</v>
      </c>
      <c r="C3059" s="631" t="str">
        <f t="shared" si="51"/>
        <v>Ô tô vận tải thùng 5 tấn55</v>
      </c>
      <c r="D3059" s="630"/>
      <c r="E3059" s="630"/>
      <c r="F3059" s="630"/>
      <c r="G3059" s="630"/>
    </row>
    <row r="3060" spans="1:7" ht="18.75" x14ac:dyDescent="0.25">
      <c r="A3060" s="629" t="s">
        <v>3069</v>
      </c>
      <c r="B3060" s="630">
        <v>56</v>
      </c>
      <c r="C3060" s="631" t="str">
        <f t="shared" si="51"/>
        <v>Ô tô vận tải thùng 5 tấn56</v>
      </c>
      <c r="D3060" s="630"/>
      <c r="E3060" s="630"/>
      <c r="F3060" s="630"/>
      <c r="G3060" s="630"/>
    </row>
    <row r="3061" spans="1:7" ht="18.75" x14ac:dyDescent="0.25">
      <c r="A3061" s="629" t="s">
        <v>3069</v>
      </c>
      <c r="B3061" s="630">
        <v>57</v>
      </c>
      <c r="C3061" s="631" t="str">
        <f t="shared" si="51"/>
        <v>Ô tô vận tải thùng 5 tấn57</v>
      </c>
      <c r="D3061" s="630"/>
      <c r="E3061" s="630"/>
      <c r="F3061" s="630"/>
      <c r="G3061" s="630"/>
    </row>
    <row r="3062" spans="1:7" ht="18.75" x14ac:dyDescent="0.25">
      <c r="A3062" s="629" t="s">
        <v>3069</v>
      </c>
      <c r="B3062" s="630">
        <v>58</v>
      </c>
      <c r="C3062" s="631" t="str">
        <f t="shared" si="51"/>
        <v>Ô tô vận tải thùng 5 tấn58</v>
      </c>
      <c r="D3062" s="630"/>
      <c r="E3062" s="630"/>
      <c r="F3062" s="630"/>
      <c r="G3062" s="630"/>
    </row>
    <row r="3063" spans="1:7" ht="18.75" x14ac:dyDescent="0.25">
      <c r="A3063" s="629" t="s">
        <v>3069</v>
      </c>
      <c r="B3063" s="630">
        <v>59</v>
      </c>
      <c r="C3063" s="631" t="str">
        <f t="shared" si="51"/>
        <v>Ô tô vận tải thùng 5 tấn59</v>
      </c>
      <c r="D3063" s="630"/>
      <c r="E3063" s="630"/>
      <c r="F3063" s="630"/>
      <c r="G3063" s="630"/>
    </row>
    <row r="3064" spans="1:7" ht="18.75" x14ac:dyDescent="0.25">
      <c r="A3064" s="629" t="s">
        <v>3069</v>
      </c>
      <c r="B3064" s="630">
        <v>60</v>
      </c>
      <c r="C3064" s="631" t="str">
        <f t="shared" si="51"/>
        <v>Ô tô vận tải thùng 5 tấn60</v>
      </c>
      <c r="D3064" s="630"/>
      <c r="E3064" s="630"/>
      <c r="F3064" s="630"/>
      <c r="G3064" s="630"/>
    </row>
    <row r="3065" spans="1:7" ht="18.75" x14ac:dyDescent="0.25">
      <c r="A3065" s="629" t="s">
        <v>3069</v>
      </c>
      <c r="B3065" s="630">
        <v>61</v>
      </c>
      <c r="C3065" s="631" t="str">
        <f t="shared" si="51"/>
        <v>Ô tô vận tải thùng 5 tấn61</v>
      </c>
      <c r="D3065" s="630"/>
      <c r="E3065" s="630"/>
      <c r="F3065" s="630"/>
      <c r="G3065" s="630"/>
    </row>
    <row r="3066" spans="1:7" ht="18.75" x14ac:dyDescent="0.25">
      <c r="A3066" s="629" t="s">
        <v>3069</v>
      </c>
      <c r="B3066" s="630">
        <v>62</v>
      </c>
      <c r="C3066" s="631" t="str">
        <f t="shared" si="51"/>
        <v>Ô tô vận tải thùng 5 tấn62</v>
      </c>
      <c r="D3066" s="630"/>
      <c r="E3066" s="630"/>
      <c r="F3066" s="630"/>
      <c r="G3066" s="630"/>
    </row>
    <row r="3067" spans="1:7" ht="18.75" x14ac:dyDescent="0.25">
      <c r="A3067" s="629" t="s">
        <v>3069</v>
      </c>
      <c r="B3067" s="630">
        <v>63</v>
      </c>
      <c r="C3067" s="631" t="str">
        <f t="shared" si="51"/>
        <v>Ô tô vận tải thùng 5 tấn63</v>
      </c>
      <c r="D3067" s="630"/>
      <c r="E3067" s="630"/>
      <c r="F3067" s="630"/>
      <c r="G3067" s="630"/>
    </row>
    <row r="3068" spans="1:7" ht="18.75" x14ac:dyDescent="0.25">
      <c r="A3068" s="629" t="s">
        <v>3069</v>
      </c>
      <c r="B3068" s="630">
        <v>64</v>
      </c>
      <c r="C3068" s="631" t="str">
        <f t="shared" si="51"/>
        <v>Ô tô vận tải thùng 5 tấn64</v>
      </c>
      <c r="D3068" s="630"/>
      <c r="E3068" s="630"/>
      <c r="F3068" s="630"/>
      <c r="G3068" s="630"/>
    </row>
    <row r="3069" spans="1:7" ht="18.75" x14ac:dyDescent="0.25">
      <c r="A3069" s="629" t="s">
        <v>3069</v>
      </c>
      <c r="B3069" s="630">
        <v>65</v>
      </c>
      <c r="C3069" s="631" t="str">
        <f t="shared" si="51"/>
        <v>Ô tô vận tải thùng 5 tấn65</v>
      </c>
      <c r="D3069" s="630"/>
      <c r="E3069" s="630"/>
      <c r="F3069" s="630"/>
      <c r="G3069" s="630"/>
    </row>
    <row r="3070" spans="1:7" ht="18.75" x14ac:dyDescent="0.25">
      <c r="A3070" s="629" t="s">
        <v>3069</v>
      </c>
      <c r="B3070" s="630">
        <v>66</v>
      </c>
      <c r="C3070" s="631" t="str">
        <f t="shared" ref="C3070:C3104" si="52">A3070&amp;B3070</f>
        <v>Ô tô vận tải thùng 5 tấn66</v>
      </c>
      <c r="D3070" s="630"/>
      <c r="E3070" s="630"/>
      <c r="F3070" s="630"/>
      <c r="G3070" s="630"/>
    </row>
    <row r="3071" spans="1:7" ht="18.75" x14ac:dyDescent="0.25">
      <c r="A3071" s="629" t="s">
        <v>3069</v>
      </c>
      <c r="B3071" s="630">
        <v>67</v>
      </c>
      <c r="C3071" s="631" t="str">
        <f t="shared" si="52"/>
        <v>Ô tô vận tải thùng 5 tấn67</v>
      </c>
      <c r="D3071" s="630"/>
      <c r="E3071" s="630"/>
      <c r="F3071" s="630"/>
      <c r="G3071" s="630"/>
    </row>
    <row r="3072" spans="1:7" ht="18.75" x14ac:dyDescent="0.25">
      <c r="A3072" s="629" t="s">
        <v>3069</v>
      </c>
      <c r="B3072" s="630">
        <v>68</v>
      </c>
      <c r="C3072" s="631" t="str">
        <f t="shared" si="52"/>
        <v>Ô tô vận tải thùng 5 tấn68</v>
      </c>
      <c r="D3072" s="630"/>
      <c r="E3072" s="630"/>
      <c r="F3072" s="630"/>
      <c r="G3072" s="630"/>
    </row>
    <row r="3073" spans="1:7" ht="18.75" x14ac:dyDescent="0.25">
      <c r="A3073" s="629" t="s">
        <v>3069</v>
      </c>
      <c r="B3073" s="630">
        <v>69</v>
      </c>
      <c r="C3073" s="631" t="str">
        <f t="shared" si="52"/>
        <v>Ô tô vận tải thùng 5 tấn69</v>
      </c>
      <c r="D3073" s="630"/>
      <c r="E3073" s="630"/>
      <c r="F3073" s="630"/>
      <c r="G3073" s="630"/>
    </row>
    <row r="3074" spans="1:7" ht="18.75" x14ac:dyDescent="0.25">
      <c r="A3074" s="629" t="s">
        <v>3069</v>
      </c>
      <c r="B3074" s="630">
        <v>70</v>
      </c>
      <c r="C3074" s="631" t="str">
        <f t="shared" si="52"/>
        <v>Ô tô vận tải thùng 5 tấn70</v>
      </c>
      <c r="D3074" s="630"/>
      <c r="E3074" s="630"/>
      <c r="F3074" s="630"/>
      <c r="G3074" s="630"/>
    </row>
    <row r="3075" spans="1:7" ht="18.75" x14ac:dyDescent="0.25">
      <c r="A3075" s="629" t="s">
        <v>3069</v>
      </c>
      <c r="B3075" s="630">
        <v>71</v>
      </c>
      <c r="C3075" s="631" t="str">
        <f t="shared" si="52"/>
        <v>Ô tô vận tải thùng 5 tấn71</v>
      </c>
      <c r="D3075" s="630"/>
      <c r="E3075" s="630"/>
      <c r="F3075" s="630"/>
      <c r="G3075" s="630"/>
    </row>
    <row r="3076" spans="1:7" ht="18.75" x14ac:dyDescent="0.25">
      <c r="A3076" s="629" t="s">
        <v>3069</v>
      </c>
      <c r="B3076" s="630">
        <v>72</v>
      </c>
      <c r="C3076" s="631" t="str">
        <f t="shared" si="52"/>
        <v>Ô tô vận tải thùng 5 tấn72</v>
      </c>
      <c r="D3076" s="630"/>
      <c r="E3076" s="630"/>
      <c r="F3076" s="630"/>
      <c r="G3076" s="630"/>
    </row>
    <row r="3077" spans="1:7" ht="18.75" x14ac:dyDescent="0.25">
      <c r="A3077" s="629" t="s">
        <v>3069</v>
      </c>
      <c r="B3077" s="630">
        <v>73</v>
      </c>
      <c r="C3077" s="631" t="str">
        <f t="shared" si="52"/>
        <v>Ô tô vận tải thùng 5 tấn73</v>
      </c>
      <c r="D3077" s="630"/>
      <c r="E3077" s="630"/>
      <c r="F3077" s="630"/>
      <c r="G3077" s="630"/>
    </row>
    <row r="3078" spans="1:7" ht="18.75" x14ac:dyDescent="0.25">
      <c r="A3078" s="629" t="s">
        <v>3069</v>
      </c>
      <c r="B3078" s="630">
        <v>74</v>
      </c>
      <c r="C3078" s="631" t="str">
        <f t="shared" si="52"/>
        <v>Ô tô vận tải thùng 5 tấn74</v>
      </c>
      <c r="D3078" s="630"/>
      <c r="E3078" s="630"/>
      <c r="F3078" s="630"/>
      <c r="G3078" s="630"/>
    </row>
    <row r="3079" spans="1:7" ht="18.75" x14ac:dyDescent="0.25">
      <c r="A3079" s="629" t="s">
        <v>3069</v>
      </c>
      <c r="B3079" s="630">
        <v>75</v>
      </c>
      <c r="C3079" s="631" t="str">
        <f t="shared" si="52"/>
        <v>Ô tô vận tải thùng 5 tấn75</v>
      </c>
      <c r="D3079" s="630"/>
      <c r="E3079" s="630"/>
      <c r="F3079" s="630"/>
      <c r="G3079" s="630"/>
    </row>
    <row r="3080" spans="1:7" ht="18.75" x14ac:dyDescent="0.25">
      <c r="A3080" s="629" t="s">
        <v>3069</v>
      </c>
      <c r="B3080" s="630">
        <v>76</v>
      </c>
      <c r="C3080" s="631" t="str">
        <f t="shared" si="52"/>
        <v>Ô tô vận tải thùng 5 tấn76</v>
      </c>
      <c r="D3080" s="630"/>
      <c r="E3080" s="630"/>
      <c r="F3080" s="630"/>
      <c r="G3080" s="630"/>
    </row>
    <row r="3081" spans="1:7" ht="18.75" x14ac:dyDescent="0.25">
      <c r="A3081" s="629" t="s">
        <v>3069</v>
      </c>
      <c r="B3081" s="630">
        <v>77</v>
      </c>
      <c r="C3081" s="631" t="str">
        <f t="shared" si="52"/>
        <v>Ô tô vận tải thùng 5 tấn77</v>
      </c>
      <c r="D3081" s="630"/>
      <c r="E3081" s="630"/>
      <c r="F3081" s="630"/>
      <c r="G3081" s="630"/>
    </row>
    <row r="3082" spans="1:7" ht="18.75" x14ac:dyDescent="0.25">
      <c r="A3082" s="629" t="s">
        <v>3069</v>
      </c>
      <c r="B3082" s="630">
        <v>78</v>
      </c>
      <c r="C3082" s="631" t="str">
        <f t="shared" si="52"/>
        <v>Ô tô vận tải thùng 5 tấn78</v>
      </c>
      <c r="D3082" s="630"/>
      <c r="E3082" s="630"/>
      <c r="F3082" s="630"/>
      <c r="G3082" s="630"/>
    </row>
    <row r="3083" spans="1:7" ht="18.75" x14ac:dyDescent="0.25">
      <c r="A3083" s="629" t="s">
        <v>3069</v>
      </c>
      <c r="B3083" s="630">
        <v>79</v>
      </c>
      <c r="C3083" s="631" t="str">
        <f t="shared" si="52"/>
        <v>Ô tô vận tải thùng 5 tấn79</v>
      </c>
      <c r="D3083" s="630"/>
      <c r="E3083" s="630"/>
      <c r="F3083" s="630"/>
      <c r="G3083" s="630"/>
    </row>
    <row r="3084" spans="1:7" ht="18.75" x14ac:dyDescent="0.25">
      <c r="A3084" s="629" t="s">
        <v>3069</v>
      </c>
      <c r="B3084" s="630">
        <v>80</v>
      </c>
      <c r="C3084" s="631" t="str">
        <f t="shared" si="52"/>
        <v>Ô tô vận tải thùng 5 tấn80</v>
      </c>
      <c r="D3084" s="630"/>
      <c r="E3084" s="630"/>
      <c r="F3084" s="630"/>
      <c r="G3084" s="630"/>
    </row>
    <row r="3085" spans="1:7" ht="18.75" x14ac:dyDescent="0.25">
      <c r="A3085" s="629" t="s">
        <v>3069</v>
      </c>
      <c r="B3085" s="630">
        <v>81</v>
      </c>
      <c r="C3085" s="631" t="str">
        <f t="shared" si="52"/>
        <v>Ô tô vận tải thùng 5 tấn81</v>
      </c>
      <c r="D3085" s="630"/>
      <c r="E3085" s="630"/>
      <c r="F3085" s="630"/>
      <c r="G3085" s="630"/>
    </row>
    <row r="3086" spans="1:7" ht="18.75" x14ac:dyDescent="0.25">
      <c r="A3086" s="629" t="s">
        <v>3069</v>
      </c>
      <c r="B3086" s="630">
        <v>82</v>
      </c>
      <c r="C3086" s="631" t="str">
        <f t="shared" si="52"/>
        <v>Ô tô vận tải thùng 5 tấn82</v>
      </c>
      <c r="D3086" s="630"/>
      <c r="E3086" s="630"/>
      <c r="F3086" s="630"/>
      <c r="G3086" s="630"/>
    </row>
    <row r="3087" spans="1:7" ht="18.75" x14ac:dyDescent="0.25">
      <c r="A3087" s="629" t="s">
        <v>3069</v>
      </c>
      <c r="B3087" s="630">
        <v>83</v>
      </c>
      <c r="C3087" s="631" t="str">
        <f t="shared" si="52"/>
        <v>Ô tô vận tải thùng 5 tấn83</v>
      </c>
      <c r="D3087" s="630"/>
      <c r="E3087" s="630"/>
      <c r="F3087" s="630"/>
      <c r="G3087" s="630"/>
    </row>
    <row r="3088" spans="1:7" ht="18.75" x14ac:dyDescent="0.25">
      <c r="A3088" s="629" t="s">
        <v>3069</v>
      </c>
      <c r="B3088" s="630">
        <v>84</v>
      </c>
      <c r="C3088" s="631" t="str">
        <f t="shared" si="52"/>
        <v>Ô tô vận tải thùng 5 tấn84</v>
      </c>
      <c r="D3088" s="630"/>
      <c r="E3088" s="630"/>
      <c r="F3088" s="630"/>
      <c r="G3088" s="630"/>
    </row>
    <row r="3089" spans="1:7" ht="18.75" x14ac:dyDescent="0.25">
      <c r="A3089" s="629" t="s">
        <v>3069</v>
      </c>
      <c r="B3089" s="630">
        <v>85</v>
      </c>
      <c r="C3089" s="631" t="str">
        <f t="shared" si="52"/>
        <v>Ô tô vận tải thùng 5 tấn85</v>
      </c>
      <c r="D3089" s="630"/>
      <c r="E3089" s="630"/>
      <c r="F3089" s="630"/>
      <c r="G3089" s="630"/>
    </row>
    <row r="3090" spans="1:7" ht="18.75" x14ac:dyDescent="0.25">
      <c r="A3090" s="629" t="s">
        <v>3069</v>
      </c>
      <c r="B3090" s="630">
        <v>86</v>
      </c>
      <c r="C3090" s="631" t="str">
        <f t="shared" si="52"/>
        <v>Ô tô vận tải thùng 5 tấn86</v>
      </c>
      <c r="D3090" s="630"/>
      <c r="E3090" s="630"/>
      <c r="F3090" s="630"/>
      <c r="G3090" s="630"/>
    </row>
    <row r="3091" spans="1:7" ht="18.75" x14ac:dyDescent="0.25">
      <c r="A3091" s="629" t="s">
        <v>3069</v>
      </c>
      <c r="B3091" s="630">
        <v>87</v>
      </c>
      <c r="C3091" s="631" t="str">
        <f t="shared" si="52"/>
        <v>Ô tô vận tải thùng 5 tấn87</v>
      </c>
      <c r="D3091" s="630"/>
      <c r="E3091" s="630"/>
      <c r="F3091" s="630"/>
      <c r="G3091" s="630"/>
    </row>
    <row r="3092" spans="1:7" ht="18.75" x14ac:dyDescent="0.25">
      <c r="A3092" s="629" t="s">
        <v>3069</v>
      </c>
      <c r="B3092" s="630">
        <v>88</v>
      </c>
      <c r="C3092" s="631" t="str">
        <f t="shared" si="52"/>
        <v>Ô tô vận tải thùng 5 tấn88</v>
      </c>
      <c r="D3092" s="630"/>
      <c r="E3092" s="630"/>
      <c r="F3092" s="630"/>
      <c r="G3092" s="630"/>
    </row>
    <row r="3093" spans="1:7" ht="18.75" x14ac:dyDescent="0.25">
      <c r="A3093" s="629" t="s">
        <v>3069</v>
      </c>
      <c r="B3093" s="630">
        <v>89</v>
      </c>
      <c r="C3093" s="631" t="str">
        <f t="shared" si="52"/>
        <v>Ô tô vận tải thùng 5 tấn89</v>
      </c>
      <c r="D3093" s="630"/>
      <c r="E3093" s="630"/>
      <c r="F3093" s="630"/>
      <c r="G3093" s="630"/>
    </row>
    <row r="3094" spans="1:7" ht="18.75" x14ac:dyDescent="0.25">
      <c r="A3094" s="629" t="s">
        <v>3069</v>
      </c>
      <c r="B3094" s="630">
        <v>90</v>
      </c>
      <c r="C3094" s="631" t="str">
        <f t="shared" si="52"/>
        <v>Ô tô vận tải thùng 5 tấn90</v>
      </c>
      <c r="D3094" s="630"/>
      <c r="E3094" s="630"/>
      <c r="F3094" s="630"/>
      <c r="G3094" s="630"/>
    </row>
    <row r="3095" spans="1:7" ht="18.75" x14ac:dyDescent="0.25">
      <c r="A3095" s="629" t="s">
        <v>3069</v>
      </c>
      <c r="B3095" s="630">
        <v>91</v>
      </c>
      <c r="C3095" s="631" t="str">
        <f t="shared" si="52"/>
        <v>Ô tô vận tải thùng 5 tấn91</v>
      </c>
      <c r="D3095" s="630"/>
      <c r="E3095" s="630"/>
      <c r="F3095" s="630"/>
      <c r="G3095" s="630"/>
    </row>
    <row r="3096" spans="1:7" ht="18.75" x14ac:dyDescent="0.25">
      <c r="A3096" s="629" t="s">
        <v>3069</v>
      </c>
      <c r="B3096" s="630">
        <v>92</v>
      </c>
      <c r="C3096" s="631" t="str">
        <f t="shared" si="52"/>
        <v>Ô tô vận tải thùng 5 tấn92</v>
      </c>
      <c r="D3096" s="630"/>
      <c r="E3096" s="630"/>
      <c r="F3096" s="630"/>
      <c r="G3096" s="630"/>
    </row>
    <row r="3097" spans="1:7" ht="18.75" x14ac:dyDescent="0.25">
      <c r="A3097" s="629" t="s">
        <v>3069</v>
      </c>
      <c r="B3097" s="630">
        <v>93</v>
      </c>
      <c r="C3097" s="631" t="str">
        <f t="shared" si="52"/>
        <v>Ô tô vận tải thùng 5 tấn93</v>
      </c>
      <c r="D3097" s="630"/>
      <c r="E3097" s="630"/>
      <c r="F3097" s="630"/>
      <c r="G3097" s="630"/>
    </row>
    <row r="3098" spans="1:7" ht="18.75" x14ac:dyDescent="0.25">
      <c r="A3098" s="629" t="s">
        <v>3069</v>
      </c>
      <c r="B3098" s="630">
        <v>94</v>
      </c>
      <c r="C3098" s="631" t="str">
        <f t="shared" si="52"/>
        <v>Ô tô vận tải thùng 5 tấn94</v>
      </c>
      <c r="D3098" s="630"/>
      <c r="E3098" s="630"/>
      <c r="F3098" s="630"/>
      <c r="G3098" s="630"/>
    </row>
    <row r="3099" spans="1:7" ht="18.75" x14ac:dyDescent="0.25">
      <c r="A3099" s="629" t="s">
        <v>3069</v>
      </c>
      <c r="B3099" s="630">
        <v>95</v>
      </c>
      <c r="C3099" s="631" t="str">
        <f t="shared" si="52"/>
        <v>Ô tô vận tải thùng 5 tấn95</v>
      </c>
      <c r="D3099" s="630"/>
      <c r="E3099" s="630"/>
      <c r="F3099" s="630"/>
      <c r="G3099" s="630"/>
    </row>
    <row r="3100" spans="1:7" ht="18.75" x14ac:dyDescent="0.25">
      <c r="A3100" s="629" t="s">
        <v>3069</v>
      </c>
      <c r="B3100" s="630">
        <v>96</v>
      </c>
      <c r="C3100" s="631" t="str">
        <f t="shared" si="52"/>
        <v>Ô tô vận tải thùng 5 tấn96</v>
      </c>
      <c r="D3100" s="630"/>
      <c r="E3100" s="630"/>
      <c r="F3100" s="630"/>
      <c r="G3100" s="630"/>
    </row>
    <row r="3101" spans="1:7" ht="18.75" x14ac:dyDescent="0.25">
      <c r="A3101" s="629" t="s">
        <v>3069</v>
      </c>
      <c r="B3101" s="630">
        <v>97</v>
      </c>
      <c r="C3101" s="631" t="str">
        <f t="shared" si="52"/>
        <v>Ô tô vận tải thùng 5 tấn97</v>
      </c>
      <c r="D3101" s="630"/>
      <c r="E3101" s="630"/>
      <c r="F3101" s="630"/>
      <c r="G3101" s="630"/>
    </row>
    <row r="3102" spans="1:7" ht="18.75" x14ac:dyDescent="0.25">
      <c r="A3102" s="629" t="s">
        <v>3069</v>
      </c>
      <c r="B3102" s="630">
        <v>98</v>
      </c>
      <c r="C3102" s="631" t="str">
        <f t="shared" si="52"/>
        <v>Ô tô vận tải thùng 5 tấn98</v>
      </c>
      <c r="D3102" s="630"/>
      <c r="E3102" s="630"/>
      <c r="F3102" s="630"/>
      <c r="G3102" s="630"/>
    </row>
    <row r="3103" spans="1:7" ht="18.75" x14ac:dyDescent="0.25">
      <c r="A3103" s="629" t="s">
        <v>3069</v>
      </c>
      <c r="B3103" s="630">
        <v>99</v>
      </c>
      <c r="C3103" s="631" t="str">
        <f t="shared" si="52"/>
        <v>Ô tô vận tải thùng 5 tấn99</v>
      </c>
      <c r="D3103" s="630"/>
      <c r="E3103" s="630"/>
      <c r="F3103" s="630"/>
      <c r="G3103" s="630"/>
    </row>
    <row r="3104" spans="1:7" ht="18.75" x14ac:dyDescent="0.25">
      <c r="A3104" s="629" t="s">
        <v>3069</v>
      </c>
      <c r="B3104" s="630">
        <v>100</v>
      </c>
      <c r="C3104" s="631" t="str">
        <f t="shared" si="52"/>
        <v>Ô tô vận tải thùng 5 tấn100</v>
      </c>
      <c r="D3104" s="630"/>
      <c r="E3104" s="630"/>
      <c r="F3104" s="630"/>
      <c r="G3104" s="630"/>
    </row>
    <row r="3105" spans="1:7" ht="18.75" x14ac:dyDescent="0.25">
      <c r="A3105" s="629" t="s">
        <v>3067</v>
      </c>
      <c r="B3105" s="630">
        <v>1</v>
      </c>
      <c r="C3105" s="631" t="str">
        <f>A3105&amp;B3105</f>
        <v>Ô tô vận tải thùng 7 tấn1</v>
      </c>
      <c r="D3105" s="633">
        <v>0.75</v>
      </c>
      <c r="E3105" s="633">
        <v>0.77</v>
      </c>
      <c r="F3105" s="633">
        <v>0.48</v>
      </c>
      <c r="G3105" s="633">
        <v>0.45</v>
      </c>
    </row>
    <row r="3106" spans="1:7" ht="18.75" x14ac:dyDescent="0.25">
      <c r="A3106" s="629" t="s">
        <v>3067</v>
      </c>
      <c r="B3106" s="630">
        <v>2</v>
      </c>
      <c r="C3106" s="631" t="str">
        <f t="shared" ref="C3106:C3169" si="53">A3106&amp;B3106</f>
        <v>Ô tô vận tải thùng 7 tấn2</v>
      </c>
      <c r="D3106" s="633">
        <v>0.36</v>
      </c>
      <c r="E3106" s="633">
        <v>0.38</v>
      </c>
      <c r="F3106" s="633">
        <v>0.23</v>
      </c>
      <c r="G3106" s="633">
        <v>0.22</v>
      </c>
    </row>
    <row r="3107" spans="1:7" ht="18.75" x14ac:dyDescent="0.25">
      <c r="A3107" s="629" t="s">
        <v>3067</v>
      </c>
      <c r="B3107" s="630">
        <v>3</v>
      </c>
      <c r="C3107" s="631" t="str">
        <f t="shared" si="53"/>
        <v>Ô tô vận tải thùng 7 tấn3</v>
      </c>
      <c r="D3107" s="633">
        <v>0.36</v>
      </c>
      <c r="E3107" s="633">
        <v>0.38</v>
      </c>
      <c r="F3107" s="633">
        <v>0.23</v>
      </c>
      <c r="G3107" s="633">
        <v>0.22</v>
      </c>
    </row>
    <row r="3108" spans="1:7" ht="18.75" x14ac:dyDescent="0.25">
      <c r="A3108" s="629" t="s">
        <v>3067</v>
      </c>
      <c r="B3108" s="630">
        <v>4</v>
      </c>
      <c r="C3108" s="631" t="str">
        <f t="shared" si="53"/>
        <v>Ô tô vận tải thùng 7 tấn4</v>
      </c>
      <c r="D3108" s="633">
        <v>0.36</v>
      </c>
      <c r="E3108" s="633">
        <v>0.38</v>
      </c>
      <c r="F3108" s="633">
        <v>0.23</v>
      </c>
      <c r="G3108" s="633">
        <v>0.22</v>
      </c>
    </row>
    <row r="3109" spans="1:7" ht="18.75" x14ac:dyDescent="0.25">
      <c r="A3109" s="629" t="s">
        <v>3067</v>
      </c>
      <c r="B3109" s="630">
        <v>5</v>
      </c>
      <c r="C3109" s="631" t="str">
        <f t="shared" si="53"/>
        <v>Ô tô vận tải thùng 7 tấn5</v>
      </c>
      <c r="D3109" s="633">
        <v>0.36</v>
      </c>
      <c r="E3109" s="633">
        <v>0.38</v>
      </c>
      <c r="F3109" s="633">
        <v>0.23</v>
      </c>
      <c r="G3109" s="633">
        <v>0.22</v>
      </c>
    </row>
    <row r="3110" spans="1:7" ht="18.75" x14ac:dyDescent="0.25">
      <c r="A3110" s="629" t="s">
        <v>3067</v>
      </c>
      <c r="B3110" s="630">
        <v>6</v>
      </c>
      <c r="C3110" s="631" t="str">
        <f t="shared" si="53"/>
        <v>Ô tô vận tải thùng 7 tấn6</v>
      </c>
      <c r="D3110" s="633">
        <v>0.28000000000000003</v>
      </c>
      <c r="E3110" s="633">
        <v>0.28999999999999998</v>
      </c>
      <c r="F3110" s="633">
        <v>0.18</v>
      </c>
      <c r="G3110" s="633">
        <v>0.17</v>
      </c>
    </row>
    <row r="3111" spans="1:7" ht="18.75" x14ac:dyDescent="0.25">
      <c r="A3111" s="629" t="s">
        <v>3067</v>
      </c>
      <c r="B3111" s="630">
        <v>7</v>
      </c>
      <c r="C3111" s="631" t="str">
        <f t="shared" si="53"/>
        <v>Ô tô vận tải thùng 7 tấn7</v>
      </c>
      <c r="D3111" s="633">
        <v>0.28000000000000003</v>
      </c>
      <c r="E3111" s="633">
        <v>0.28999999999999998</v>
      </c>
      <c r="F3111" s="633">
        <v>0.18</v>
      </c>
      <c r="G3111" s="633">
        <v>0.17</v>
      </c>
    </row>
    <row r="3112" spans="1:7" ht="18.75" x14ac:dyDescent="0.25">
      <c r="A3112" s="629" t="s">
        <v>3067</v>
      </c>
      <c r="B3112" s="630">
        <v>8</v>
      </c>
      <c r="C3112" s="631" t="str">
        <f t="shared" si="53"/>
        <v>Ô tô vận tải thùng 7 tấn8</v>
      </c>
      <c r="D3112" s="633">
        <v>0.28000000000000003</v>
      </c>
      <c r="E3112" s="633">
        <v>0.28999999999999998</v>
      </c>
      <c r="F3112" s="633">
        <v>0.18</v>
      </c>
      <c r="G3112" s="633">
        <v>0.17</v>
      </c>
    </row>
    <row r="3113" spans="1:7" ht="18.75" x14ac:dyDescent="0.25">
      <c r="A3113" s="629" t="s">
        <v>3067</v>
      </c>
      <c r="B3113" s="630">
        <v>9</v>
      </c>
      <c r="C3113" s="631" t="str">
        <f t="shared" si="53"/>
        <v>Ô tô vận tải thùng 7 tấn9</v>
      </c>
      <c r="D3113" s="633">
        <v>0.28000000000000003</v>
      </c>
      <c r="E3113" s="633">
        <v>0.28999999999999998</v>
      </c>
      <c r="F3113" s="633">
        <v>0.18</v>
      </c>
      <c r="G3113" s="633">
        <v>0.17</v>
      </c>
    </row>
    <row r="3114" spans="1:7" ht="18.75" x14ac:dyDescent="0.25">
      <c r="A3114" s="629" t="s">
        <v>3067</v>
      </c>
      <c r="B3114" s="630">
        <v>10</v>
      </c>
      <c r="C3114" s="631" t="str">
        <f t="shared" si="53"/>
        <v>Ô tô vận tải thùng 7 tấn10</v>
      </c>
      <c r="D3114" s="633">
        <v>0.28000000000000003</v>
      </c>
      <c r="E3114" s="633">
        <v>0.28999999999999998</v>
      </c>
      <c r="F3114" s="633">
        <v>0.18</v>
      </c>
      <c r="G3114" s="633">
        <v>0.17</v>
      </c>
    </row>
    <row r="3115" spans="1:7" ht="18.75" x14ac:dyDescent="0.25">
      <c r="A3115" s="629" t="s">
        <v>3067</v>
      </c>
      <c r="B3115" s="630">
        <v>11</v>
      </c>
      <c r="C3115" s="631" t="str">
        <f t="shared" si="53"/>
        <v>Ô tô vận tải thùng 7 tấn11</v>
      </c>
      <c r="D3115" s="633">
        <v>0.24</v>
      </c>
      <c r="E3115" s="633">
        <v>0.25</v>
      </c>
      <c r="F3115" s="633">
        <v>0.16</v>
      </c>
      <c r="G3115" s="633">
        <v>0.15</v>
      </c>
    </row>
    <row r="3116" spans="1:7" ht="18.75" x14ac:dyDescent="0.25">
      <c r="A3116" s="629" t="s">
        <v>3067</v>
      </c>
      <c r="B3116" s="630">
        <v>12</v>
      </c>
      <c r="C3116" s="631" t="str">
        <f t="shared" si="53"/>
        <v>Ô tô vận tải thùng 7 tấn12</v>
      </c>
      <c r="D3116" s="633">
        <v>0.24</v>
      </c>
      <c r="E3116" s="633">
        <v>0.25</v>
      </c>
      <c r="F3116" s="633">
        <v>0.16</v>
      </c>
      <c r="G3116" s="633">
        <v>0.15</v>
      </c>
    </row>
    <row r="3117" spans="1:7" ht="18.75" x14ac:dyDescent="0.25">
      <c r="A3117" s="629" t="s">
        <v>3067</v>
      </c>
      <c r="B3117" s="630">
        <v>13</v>
      </c>
      <c r="C3117" s="631" t="str">
        <f t="shared" si="53"/>
        <v>Ô tô vận tải thùng 7 tấn13</v>
      </c>
      <c r="D3117" s="633">
        <v>0.24</v>
      </c>
      <c r="E3117" s="633">
        <v>0.25</v>
      </c>
      <c r="F3117" s="633">
        <v>0.16</v>
      </c>
      <c r="G3117" s="633">
        <v>0.15</v>
      </c>
    </row>
    <row r="3118" spans="1:7" ht="18.75" x14ac:dyDescent="0.25">
      <c r="A3118" s="629" t="s">
        <v>3067</v>
      </c>
      <c r="B3118" s="630">
        <v>14</v>
      </c>
      <c r="C3118" s="631" t="str">
        <f t="shared" si="53"/>
        <v>Ô tô vận tải thùng 7 tấn14</v>
      </c>
      <c r="D3118" s="633">
        <v>0.24</v>
      </c>
      <c r="E3118" s="633">
        <v>0.25</v>
      </c>
      <c r="F3118" s="633">
        <v>0.16</v>
      </c>
      <c r="G3118" s="633">
        <v>0.15</v>
      </c>
    </row>
    <row r="3119" spans="1:7" ht="18.75" x14ac:dyDescent="0.25">
      <c r="A3119" s="629" t="s">
        <v>3067</v>
      </c>
      <c r="B3119" s="630">
        <v>15</v>
      </c>
      <c r="C3119" s="631" t="str">
        <f t="shared" si="53"/>
        <v>Ô tô vận tải thùng 7 tấn15</v>
      </c>
      <c r="D3119" s="633">
        <v>0.24</v>
      </c>
      <c r="E3119" s="633">
        <v>0.25</v>
      </c>
      <c r="F3119" s="633">
        <v>0.16</v>
      </c>
      <c r="G3119" s="633">
        <v>0.15</v>
      </c>
    </row>
    <row r="3120" spans="1:7" ht="18.75" x14ac:dyDescent="0.25">
      <c r="A3120" s="629" t="s">
        <v>3067</v>
      </c>
      <c r="B3120" s="630">
        <v>16</v>
      </c>
      <c r="C3120" s="631" t="str">
        <f t="shared" si="53"/>
        <v>Ô tô vận tải thùng 7 tấn16</v>
      </c>
      <c r="D3120" s="633">
        <v>0.22</v>
      </c>
      <c r="E3120" s="633">
        <v>0.23</v>
      </c>
      <c r="F3120" s="633">
        <v>0.14000000000000001</v>
      </c>
      <c r="G3120" s="633">
        <v>0.13</v>
      </c>
    </row>
    <row r="3121" spans="1:7" ht="18.75" x14ac:dyDescent="0.25">
      <c r="A3121" s="629" t="s">
        <v>3067</v>
      </c>
      <c r="B3121" s="630">
        <v>17</v>
      </c>
      <c r="C3121" s="631" t="str">
        <f t="shared" si="53"/>
        <v>Ô tô vận tải thùng 7 tấn17</v>
      </c>
      <c r="D3121" s="633">
        <v>0.22</v>
      </c>
      <c r="E3121" s="633">
        <v>0.23</v>
      </c>
      <c r="F3121" s="633">
        <v>0.14000000000000001</v>
      </c>
      <c r="G3121" s="633">
        <v>0.13</v>
      </c>
    </row>
    <row r="3122" spans="1:7" ht="18.75" x14ac:dyDescent="0.25">
      <c r="A3122" s="629" t="s">
        <v>3067</v>
      </c>
      <c r="B3122" s="630">
        <v>18</v>
      </c>
      <c r="C3122" s="631" t="str">
        <f t="shared" si="53"/>
        <v>Ô tô vận tải thùng 7 tấn18</v>
      </c>
      <c r="D3122" s="633">
        <v>0.22</v>
      </c>
      <c r="E3122" s="633">
        <v>0.23</v>
      </c>
      <c r="F3122" s="633">
        <v>0.14000000000000001</v>
      </c>
      <c r="G3122" s="633">
        <v>0.13</v>
      </c>
    </row>
    <row r="3123" spans="1:7" ht="18.75" x14ac:dyDescent="0.25">
      <c r="A3123" s="629" t="s">
        <v>3067</v>
      </c>
      <c r="B3123" s="630">
        <v>19</v>
      </c>
      <c r="C3123" s="631" t="str">
        <f t="shared" si="53"/>
        <v>Ô tô vận tải thùng 7 tấn19</v>
      </c>
      <c r="D3123" s="633">
        <v>0.22</v>
      </c>
      <c r="E3123" s="633">
        <v>0.23</v>
      </c>
      <c r="F3123" s="633">
        <v>0.14000000000000001</v>
      </c>
      <c r="G3123" s="633">
        <v>0.13</v>
      </c>
    </row>
    <row r="3124" spans="1:7" ht="18.75" x14ac:dyDescent="0.25">
      <c r="A3124" s="629" t="s">
        <v>3067</v>
      </c>
      <c r="B3124" s="630">
        <v>20</v>
      </c>
      <c r="C3124" s="631" t="str">
        <f t="shared" si="53"/>
        <v>Ô tô vận tải thùng 7 tấn20</v>
      </c>
      <c r="D3124" s="633">
        <v>0.22</v>
      </c>
      <c r="E3124" s="633">
        <v>0.23</v>
      </c>
      <c r="F3124" s="633">
        <v>0.14000000000000001</v>
      </c>
      <c r="G3124" s="633">
        <v>0.13</v>
      </c>
    </row>
    <row r="3125" spans="1:7" ht="18.75" x14ac:dyDescent="0.25">
      <c r="A3125" s="629" t="s">
        <v>3067</v>
      </c>
      <c r="B3125" s="630">
        <v>21</v>
      </c>
      <c r="C3125" s="631" t="str">
        <f t="shared" si="53"/>
        <v>Ô tô vận tải thùng 7 tấn21</v>
      </c>
      <c r="D3125" s="633">
        <v>0.21099999999999999</v>
      </c>
      <c r="E3125" s="633">
        <v>0.221</v>
      </c>
      <c r="F3125" s="633">
        <v>0.13400000000000001</v>
      </c>
      <c r="G3125" s="633">
        <v>0.125</v>
      </c>
    </row>
    <row r="3126" spans="1:7" ht="18.75" x14ac:dyDescent="0.25">
      <c r="A3126" s="629" t="s">
        <v>3067</v>
      </c>
      <c r="B3126" s="630">
        <v>22</v>
      </c>
      <c r="C3126" s="631" t="str">
        <f t="shared" si="53"/>
        <v>Ô tô vận tải thùng 7 tấn22</v>
      </c>
      <c r="D3126" s="633">
        <v>0.21099999999999999</v>
      </c>
      <c r="E3126" s="633">
        <v>0.221</v>
      </c>
      <c r="F3126" s="633">
        <v>0.13400000000000001</v>
      </c>
      <c r="G3126" s="633">
        <v>0.125</v>
      </c>
    </row>
    <row r="3127" spans="1:7" ht="18.75" x14ac:dyDescent="0.25">
      <c r="A3127" s="629" t="s">
        <v>3067</v>
      </c>
      <c r="B3127" s="630">
        <v>23</v>
      </c>
      <c r="C3127" s="631" t="str">
        <f t="shared" si="53"/>
        <v>Ô tô vận tải thùng 7 tấn23</v>
      </c>
      <c r="D3127" s="633">
        <v>0.21099999999999999</v>
      </c>
      <c r="E3127" s="633">
        <v>0.221</v>
      </c>
      <c r="F3127" s="633">
        <v>0.13400000000000001</v>
      </c>
      <c r="G3127" s="633">
        <v>0.125</v>
      </c>
    </row>
    <row r="3128" spans="1:7" ht="18.75" x14ac:dyDescent="0.25">
      <c r="A3128" s="629" t="s">
        <v>3067</v>
      </c>
      <c r="B3128" s="630">
        <v>24</v>
      </c>
      <c r="C3128" s="631" t="str">
        <f t="shared" si="53"/>
        <v>Ô tô vận tải thùng 7 tấn24</v>
      </c>
      <c r="D3128" s="633">
        <v>0.21099999999999999</v>
      </c>
      <c r="E3128" s="633">
        <v>0.221</v>
      </c>
      <c r="F3128" s="633">
        <v>0.13400000000000001</v>
      </c>
      <c r="G3128" s="633">
        <v>0.125</v>
      </c>
    </row>
    <row r="3129" spans="1:7" ht="18.75" x14ac:dyDescent="0.25">
      <c r="A3129" s="629" t="s">
        <v>3067</v>
      </c>
      <c r="B3129" s="630">
        <v>25</v>
      </c>
      <c r="C3129" s="631" t="str">
        <f t="shared" si="53"/>
        <v>Ô tô vận tải thùng 7 tấn25</v>
      </c>
      <c r="D3129" s="633">
        <v>0.21099999999999999</v>
      </c>
      <c r="E3129" s="633">
        <v>0.221</v>
      </c>
      <c r="F3129" s="633">
        <v>0.13400000000000001</v>
      </c>
      <c r="G3129" s="633">
        <v>0.125</v>
      </c>
    </row>
    <row r="3130" spans="1:7" ht="18.75" x14ac:dyDescent="0.25">
      <c r="A3130" s="629" t="s">
        <v>3067</v>
      </c>
      <c r="B3130" s="630">
        <v>26</v>
      </c>
      <c r="C3130" s="631" t="str">
        <f t="shared" si="53"/>
        <v>Ô tô vận tải thùng 7 tấn26</v>
      </c>
      <c r="D3130" s="633">
        <v>0.21099999999999999</v>
      </c>
      <c r="E3130" s="633">
        <v>0.221</v>
      </c>
      <c r="F3130" s="633">
        <v>0.13400000000000001</v>
      </c>
      <c r="G3130" s="633">
        <v>0.125</v>
      </c>
    </row>
    <row r="3131" spans="1:7" ht="18.75" x14ac:dyDescent="0.25">
      <c r="A3131" s="629" t="s">
        <v>3067</v>
      </c>
      <c r="B3131" s="630">
        <v>27</v>
      </c>
      <c r="C3131" s="631" t="str">
        <f t="shared" si="53"/>
        <v>Ô tô vận tải thùng 7 tấn27</v>
      </c>
      <c r="D3131" s="633">
        <v>0.21099999999999999</v>
      </c>
      <c r="E3131" s="633">
        <v>0.221</v>
      </c>
      <c r="F3131" s="633">
        <v>0.13400000000000001</v>
      </c>
      <c r="G3131" s="633">
        <v>0.125</v>
      </c>
    </row>
    <row r="3132" spans="1:7" ht="18.75" x14ac:dyDescent="0.25">
      <c r="A3132" s="629" t="s">
        <v>3067</v>
      </c>
      <c r="B3132" s="630">
        <v>28</v>
      </c>
      <c r="C3132" s="631" t="str">
        <f t="shared" si="53"/>
        <v>Ô tô vận tải thùng 7 tấn28</v>
      </c>
      <c r="D3132" s="633">
        <v>0.21099999999999999</v>
      </c>
      <c r="E3132" s="633">
        <v>0.221</v>
      </c>
      <c r="F3132" s="633">
        <v>0.13400000000000001</v>
      </c>
      <c r="G3132" s="633">
        <v>0.125</v>
      </c>
    </row>
    <row r="3133" spans="1:7" ht="18.75" x14ac:dyDescent="0.25">
      <c r="A3133" s="629" t="s">
        <v>3067</v>
      </c>
      <c r="B3133" s="630">
        <v>29</v>
      </c>
      <c r="C3133" s="631" t="str">
        <f t="shared" si="53"/>
        <v>Ô tô vận tải thùng 7 tấn29</v>
      </c>
      <c r="D3133" s="633">
        <v>0.21099999999999999</v>
      </c>
      <c r="E3133" s="633">
        <v>0.221</v>
      </c>
      <c r="F3133" s="633">
        <v>0.13400000000000001</v>
      </c>
      <c r="G3133" s="633">
        <v>0.125</v>
      </c>
    </row>
    <row r="3134" spans="1:7" ht="18.75" x14ac:dyDescent="0.25">
      <c r="A3134" s="629" t="s">
        <v>3067</v>
      </c>
      <c r="B3134" s="630">
        <v>30</v>
      </c>
      <c r="C3134" s="631" t="str">
        <f t="shared" si="53"/>
        <v>Ô tô vận tải thùng 7 tấn30</v>
      </c>
      <c r="D3134" s="633">
        <v>0.21099999999999999</v>
      </c>
      <c r="E3134" s="633">
        <v>0.221</v>
      </c>
      <c r="F3134" s="633">
        <v>0.13400000000000001</v>
      </c>
      <c r="G3134" s="633">
        <v>0.125</v>
      </c>
    </row>
    <row r="3135" spans="1:7" ht="18.75" x14ac:dyDescent="0.25">
      <c r="A3135" s="629" t="s">
        <v>3067</v>
      </c>
      <c r="B3135" s="630">
        <v>31</v>
      </c>
      <c r="C3135" s="631" t="str">
        <f t="shared" si="53"/>
        <v>Ô tô vận tải thùng 7 tấn31</v>
      </c>
      <c r="D3135" s="633">
        <v>0.20499999999999999</v>
      </c>
      <c r="E3135" s="633">
        <v>0.214</v>
      </c>
      <c r="F3135" s="633">
        <v>0.13</v>
      </c>
      <c r="G3135" s="633">
        <v>0.121</v>
      </c>
    </row>
    <row r="3136" spans="1:7" ht="18.75" x14ac:dyDescent="0.25">
      <c r="A3136" s="629" t="s">
        <v>3067</v>
      </c>
      <c r="B3136" s="630">
        <v>32</v>
      </c>
      <c r="C3136" s="631" t="str">
        <f t="shared" si="53"/>
        <v>Ô tô vận tải thùng 7 tấn32</v>
      </c>
      <c r="D3136" s="633">
        <v>0.20499999999999999</v>
      </c>
      <c r="E3136" s="633">
        <v>0.214</v>
      </c>
      <c r="F3136" s="633">
        <v>0.13</v>
      </c>
      <c r="G3136" s="633">
        <v>0.121</v>
      </c>
    </row>
    <row r="3137" spans="1:7" ht="18.75" x14ac:dyDescent="0.25">
      <c r="A3137" s="629" t="s">
        <v>3067</v>
      </c>
      <c r="B3137" s="630">
        <v>33</v>
      </c>
      <c r="C3137" s="631" t="str">
        <f t="shared" si="53"/>
        <v>Ô tô vận tải thùng 7 tấn33</v>
      </c>
      <c r="D3137" s="633">
        <v>0.20499999999999999</v>
      </c>
      <c r="E3137" s="633">
        <v>0.214</v>
      </c>
      <c r="F3137" s="633">
        <v>0.13</v>
      </c>
      <c r="G3137" s="633">
        <v>0.121</v>
      </c>
    </row>
    <row r="3138" spans="1:7" ht="18.75" x14ac:dyDescent="0.25">
      <c r="A3138" s="629" t="s">
        <v>3067</v>
      </c>
      <c r="B3138" s="630">
        <v>34</v>
      </c>
      <c r="C3138" s="631" t="str">
        <f t="shared" si="53"/>
        <v>Ô tô vận tải thùng 7 tấn34</v>
      </c>
      <c r="D3138" s="633">
        <v>0.20499999999999999</v>
      </c>
      <c r="E3138" s="633">
        <v>0.214</v>
      </c>
      <c r="F3138" s="633">
        <v>0.13</v>
      </c>
      <c r="G3138" s="633">
        <v>0.121</v>
      </c>
    </row>
    <row r="3139" spans="1:7" ht="18.75" x14ac:dyDescent="0.25">
      <c r="A3139" s="629" t="s">
        <v>3067</v>
      </c>
      <c r="B3139" s="630">
        <v>35</v>
      </c>
      <c r="C3139" s="631" t="str">
        <f t="shared" si="53"/>
        <v>Ô tô vận tải thùng 7 tấn35</v>
      </c>
      <c r="D3139" s="633">
        <v>0.20499999999999999</v>
      </c>
      <c r="E3139" s="633">
        <v>0.214</v>
      </c>
      <c r="F3139" s="633">
        <v>0.13</v>
      </c>
      <c r="G3139" s="633">
        <v>0.121</v>
      </c>
    </row>
    <row r="3140" spans="1:7" ht="18.75" x14ac:dyDescent="0.25">
      <c r="A3140" s="629" t="s">
        <v>3067</v>
      </c>
      <c r="B3140" s="630">
        <v>36</v>
      </c>
      <c r="C3140" s="631" t="str">
        <f t="shared" si="53"/>
        <v>Ô tô vận tải thùng 7 tấn36</v>
      </c>
      <c r="D3140" s="633">
        <v>0.20499999999999999</v>
      </c>
      <c r="E3140" s="633">
        <v>0.214</v>
      </c>
      <c r="F3140" s="633">
        <v>0.13</v>
      </c>
      <c r="G3140" s="633">
        <v>0.121</v>
      </c>
    </row>
    <row r="3141" spans="1:7" ht="18.75" x14ac:dyDescent="0.25">
      <c r="A3141" s="629" t="s">
        <v>3067</v>
      </c>
      <c r="B3141" s="630">
        <v>37</v>
      </c>
      <c r="C3141" s="631" t="str">
        <f t="shared" si="53"/>
        <v>Ô tô vận tải thùng 7 tấn37</v>
      </c>
      <c r="D3141" s="633">
        <v>0.20499999999999999</v>
      </c>
      <c r="E3141" s="633">
        <v>0.214</v>
      </c>
      <c r="F3141" s="633">
        <v>0.13</v>
      </c>
      <c r="G3141" s="633">
        <v>0.121</v>
      </c>
    </row>
    <row r="3142" spans="1:7" ht="18.75" x14ac:dyDescent="0.25">
      <c r="A3142" s="629" t="s">
        <v>3067</v>
      </c>
      <c r="B3142" s="630">
        <v>38</v>
      </c>
      <c r="C3142" s="631" t="str">
        <f t="shared" si="53"/>
        <v>Ô tô vận tải thùng 7 tấn38</v>
      </c>
      <c r="D3142" s="633">
        <v>0.20499999999999999</v>
      </c>
      <c r="E3142" s="633">
        <v>0.214</v>
      </c>
      <c r="F3142" s="633">
        <v>0.13</v>
      </c>
      <c r="G3142" s="633">
        <v>0.121</v>
      </c>
    </row>
    <row r="3143" spans="1:7" ht="18.75" x14ac:dyDescent="0.25">
      <c r="A3143" s="629" t="s">
        <v>3067</v>
      </c>
      <c r="B3143" s="630">
        <v>39</v>
      </c>
      <c r="C3143" s="631" t="str">
        <f t="shared" si="53"/>
        <v>Ô tô vận tải thùng 7 tấn39</v>
      </c>
      <c r="D3143" s="633">
        <v>0.20499999999999999</v>
      </c>
      <c r="E3143" s="633">
        <v>0.214</v>
      </c>
      <c r="F3143" s="633">
        <v>0.13</v>
      </c>
      <c r="G3143" s="633">
        <v>0.121</v>
      </c>
    </row>
    <row r="3144" spans="1:7" ht="18.75" x14ac:dyDescent="0.25">
      <c r="A3144" s="629" t="s">
        <v>3067</v>
      </c>
      <c r="B3144" s="630">
        <v>40</v>
      </c>
      <c r="C3144" s="631" t="str">
        <f t="shared" si="53"/>
        <v>Ô tô vận tải thùng 7 tấn40</v>
      </c>
      <c r="D3144" s="633">
        <v>0.20499999999999999</v>
      </c>
      <c r="E3144" s="633">
        <v>0.214</v>
      </c>
      <c r="F3144" s="633">
        <v>0.13</v>
      </c>
      <c r="G3144" s="633">
        <v>0.121</v>
      </c>
    </row>
    <row r="3145" spans="1:7" ht="18.75" x14ac:dyDescent="0.25">
      <c r="A3145" s="629" t="s">
        <v>3067</v>
      </c>
      <c r="B3145" s="630">
        <v>41</v>
      </c>
      <c r="C3145" s="631" t="str">
        <f t="shared" si="53"/>
        <v>Ô tô vận tải thùng 7 tấn41</v>
      </c>
      <c r="D3145" s="633">
        <v>0.20100000000000001</v>
      </c>
      <c r="E3145" s="633">
        <v>0.21</v>
      </c>
      <c r="F3145" s="633">
        <v>0.128</v>
      </c>
      <c r="G3145" s="633">
        <v>0.11899999999999999</v>
      </c>
    </row>
    <row r="3146" spans="1:7" ht="18.75" x14ac:dyDescent="0.25">
      <c r="A3146" s="629" t="s">
        <v>3067</v>
      </c>
      <c r="B3146" s="630">
        <v>42</v>
      </c>
      <c r="C3146" s="631" t="str">
        <f t="shared" si="53"/>
        <v>Ô tô vận tải thùng 7 tấn42</v>
      </c>
      <c r="D3146" s="633">
        <v>0.20100000000000001</v>
      </c>
      <c r="E3146" s="633">
        <v>0.21</v>
      </c>
      <c r="F3146" s="633">
        <v>0.128</v>
      </c>
      <c r="G3146" s="633">
        <v>0.11899999999999999</v>
      </c>
    </row>
    <row r="3147" spans="1:7" ht="18.75" x14ac:dyDescent="0.25">
      <c r="A3147" s="629" t="s">
        <v>3067</v>
      </c>
      <c r="B3147" s="630">
        <v>43</v>
      </c>
      <c r="C3147" s="631" t="str">
        <f t="shared" si="53"/>
        <v>Ô tô vận tải thùng 7 tấn43</v>
      </c>
      <c r="D3147" s="633">
        <v>0.20100000000000001</v>
      </c>
      <c r="E3147" s="633">
        <v>0.21</v>
      </c>
      <c r="F3147" s="633">
        <v>0.128</v>
      </c>
      <c r="G3147" s="633">
        <v>0.11899999999999999</v>
      </c>
    </row>
    <row r="3148" spans="1:7" ht="18.75" x14ac:dyDescent="0.25">
      <c r="A3148" s="629" t="s">
        <v>3067</v>
      </c>
      <c r="B3148" s="630">
        <v>44</v>
      </c>
      <c r="C3148" s="631" t="str">
        <f t="shared" si="53"/>
        <v>Ô tô vận tải thùng 7 tấn44</v>
      </c>
      <c r="D3148" s="633">
        <v>0.20100000000000001</v>
      </c>
      <c r="E3148" s="633">
        <v>0.21</v>
      </c>
      <c r="F3148" s="633">
        <v>0.128</v>
      </c>
      <c r="G3148" s="633">
        <v>0.11899999999999999</v>
      </c>
    </row>
    <row r="3149" spans="1:7" ht="18.75" x14ac:dyDescent="0.25">
      <c r="A3149" s="629" t="s">
        <v>3067</v>
      </c>
      <c r="B3149" s="630">
        <v>45</v>
      </c>
      <c r="C3149" s="631" t="str">
        <f t="shared" si="53"/>
        <v>Ô tô vận tải thùng 7 tấn45</v>
      </c>
      <c r="D3149" s="633">
        <v>0.20100000000000001</v>
      </c>
      <c r="E3149" s="633">
        <v>0.21</v>
      </c>
      <c r="F3149" s="633">
        <v>0.128</v>
      </c>
      <c r="G3149" s="633">
        <v>0.11899999999999999</v>
      </c>
    </row>
    <row r="3150" spans="1:7" ht="18.75" x14ac:dyDescent="0.25">
      <c r="A3150" s="629" t="s">
        <v>3067</v>
      </c>
      <c r="B3150" s="630">
        <v>46</v>
      </c>
      <c r="C3150" s="631" t="str">
        <f t="shared" si="53"/>
        <v>Ô tô vận tải thùng 7 tấn46</v>
      </c>
      <c r="D3150" s="633">
        <v>0.20100000000000001</v>
      </c>
      <c r="E3150" s="633">
        <v>0.21</v>
      </c>
      <c r="F3150" s="633">
        <v>0.128</v>
      </c>
      <c r="G3150" s="633">
        <v>0.11899999999999999</v>
      </c>
    </row>
    <row r="3151" spans="1:7" ht="18.75" x14ac:dyDescent="0.25">
      <c r="A3151" s="629" t="s">
        <v>3067</v>
      </c>
      <c r="B3151" s="630">
        <v>47</v>
      </c>
      <c r="C3151" s="631" t="str">
        <f t="shared" si="53"/>
        <v>Ô tô vận tải thùng 7 tấn47</v>
      </c>
      <c r="D3151" s="633">
        <v>0.20100000000000001</v>
      </c>
      <c r="E3151" s="633">
        <v>0.21</v>
      </c>
      <c r="F3151" s="633">
        <v>0.128</v>
      </c>
      <c r="G3151" s="633">
        <v>0.11899999999999999</v>
      </c>
    </row>
    <row r="3152" spans="1:7" ht="18.75" x14ac:dyDescent="0.25">
      <c r="A3152" s="629" t="s">
        <v>3067</v>
      </c>
      <c r="B3152" s="630">
        <v>48</v>
      </c>
      <c r="C3152" s="631" t="str">
        <f t="shared" si="53"/>
        <v>Ô tô vận tải thùng 7 tấn48</v>
      </c>
      <c r="D3152" s="633">
        <v>0.20100000000000001</v>
      </c>
      <c r="E3152" s="633">
        <v>0.21</v>
      </c>
      <c r="F3152" s="633">
        <v>0.128</v>
      </c>
      <c r="G3152" s="633">
        <v>0.11899999999999999</v>
      </c>
    </row>
    <row r="3153" spans="1:7" ht="18.75" x14ac:dyDescent="0.25">
      <c r="A3153" s="629" t="s">
        <v>3067</v>
      </c>
      <c r="B3153" s="630">
        <v>49</v>
      </c>
      <c r="C3153" s="631" t="str">
        <f t="shared" si="53"/>
        <v>Ô tô vận tải thùng 7 tấn49</v>
      </c>
      <c r="D3153" s="633">
        <v>0.20100000000000001</v>
      </c>
      <c r="E3153" s="633">
        <v>0.21</v>
      </c>
      <c r="F3153" s="633">
        <v>0.128</v>
      </c>
      <c r="G3153" s="633">
        <v>0.11899999999999999</v>
      </c>
    </row>
    <row r="3154" spans="1:7" ht="18.75" x14ac:dyDescent="0.25">
      <c r="A3154" s="629" t="s">
        <v>3067</v>
      </c>
      <c r="B3154" s="630">
        <v>50</v>
      </c>
      <c r="C3154" s="631" t="str">
        <f t="shared" si="53"/>
        <v>Ô tô vận tải thùng 7 tấn50</v>
      </c>
      <c r="D3154" s="633">
        <v>0.20100000000000001</v>
      </c>
      <c r="E3154" s="633">
        <v>0.21</v>
      </c>
      <c r="F3154" s="633">
        <v>0.128</v>
      </c>
      <c r="G3154" s="633">
        <v>0.11899999999999999</v>
      </c>
    </row>
    <row r="3155" spans="1:7" ht="18.75" x14ac:dyDescent="0.25">
      <c r="A3155" s="629" t="s">
        <v>3067</v>
      </c>
      <c r="B3155" s="630">
        <v>51</v>
      </c>
      <c r="C3155" s="631" t="str">
        <f t="shared" si="53"/>
        <v>Ô tô vận tải thùng 7 tấn51</v>
      </c>
      <c r="D3155" s="633">
        <v>0.19800000000000001</v>
      </c>
      <c r="E3155" s="633">
        <v>0.20699999999999999</v>
      </c>
      <c r="F3155" s="633">
        <v>0.126</v>
      </c>
      <c r="G3155" s="633">
        <v>0.11700000000000001</v>
      </c>
    </row>
    <row r="3156" spans="1:7" ht="18.75" x14ac:dyDescent="0.25">
      <c r="A3156" s="629" t="s">
        <v>3067</v>
      </c>
      <c r="B3156" s="630">
        <v>52</v>
      </c>
      <c r="C3156" s="631" t="str">
        <f t="shared" si="53"/>
        <v>Ô tô vận tải thùng 7 tấn52</v>
      </c>
      <c r="D3156" s="633">
        <v>0.19800000000000001</v>
      </c>
      <c r="E3156" s="633">
        <v>0.20699999999999999</v>
      </c>
      <c r="F3156" s="633">
        <v>0.126</v>
      </c>
      <c r="G3156" s="633">
        <v>0.11700000000000001</v>
      </c>
    </row>
    <row r="3157" spans="1:7" ht="18.75" x14ac:dyDescent="0.25">
      <c r="A3157" s="629" t="s">
        <v>3067</v>
      </c>
      <c r="B3157" s="630">
        <v>53</v>
      </c>
      <c r="C3157" s="631" t="str">
        <f t="shared" si="53"/>
        <v>Ô tô vận tải thùng 7 tấn53</v>
      </c>
      <c r="D3157" s="633">
        <v>0.19800000000000001</v>
      </c>
      <c r="E3157" s="633">
        <v>0.20699999999999999</v>
      </c>
      <c r="F3157" s="633">
        <v>0.126</v>
      </c>
      <c r="G3157" s="633">
        <v>0.11700000000000001</v>
      </c>
    </row>
    <row r="3158" spans="1:7" ht="18.75" x14ac:dyDescent="0.25">
      <c r="A3158" s="629" t="s">
        <v>3067</v>
      </c>
      <c r="B3158" s="630">
        <v>54</v>
      </c>
      <c r="C3158" s="631" t="str">
        <f t="shared" si="53"/>
        <v>Ô tô vận tải thùng 7 tấn54</v>
      </c>
      <c r="D3158" s="633">
        <v>0.19800000000000001</v>
      </c>
      <c r="E3158" s="633">
        <v>0.20699999999999999</v>
      </c>
      <c r="F3158" s="633">
        <v>0.126</v>
      </c>
      <c r="G3158" s="633">
        <v>0.11700000000000001</v>
      </c>
    </row>
    <row r="3159" spans="1:7" ht="18.75" x14ac:dyDescent="0.25">
      <c r="A3159" s="629" t="s">
        <v>3067</v>
      </c>
      <c r="B3159" s="630">
        <v>55</v>
      </c>
      <c r="C3159" s="631" t="str">
        <f t="shared" si="53"/>
        <v>Ô tô vận tải thùng 7 tấn55</v>
      </c>
      <c r="D3159" s="633">
        <v>0.19800000000000001</v>
      </c>
      <c r="E3159" s="633">
        <v>0.20699999999999999</v>
      </c>
      <c r="F3159" s="633">
        <v>0.126</v>
      </c>
      <c r="G3159" s="633">
        <v>0.11700000000000001</v>
      </c>
    </row>
    <row r="3160" spans="1:7" ht="18.75" x14ac:dyDescent="0.25">
      <c r="A3160" s="629" t="s">
        <v>3067</v>
      </c>
      <c r="B3160" s="630">
        <v>56</v>
      </c>
      <c r="C3160" s="631" t="str">
        <f t="shared" si="53"/>
        <v>Ô tô vận tải thùng 7 tấn56</v>
      </c>
      <c r="D3160" s="633">
        <v>0.19800000000000001</v>
      </c>
      <c r="E3160" s="633">
        <v>0.20699999999999999</v>
      </c>
      <c r="F3160" s="633">
        <v>0.126</v>
      </c>
      <c r="G3160" s="633">
        <v>0.11700000000000001</v>
      </c>
    </row>
    <row r="3161" spans="1:7" ht="18.75" x14ac:dyDescent="0.25">
      <c r="A3161" s="629" t="s">
        <v>3067</v>
      </c>
      <c r="B3161" s="630">
        <v>57</v>
      </c>
      <c r="C3161" s="631" t="str">
        <f t="shared" si="53"/>
        <v>Ô tô vận tải thùng 7 tấn57</v>
      </c>
      <c r="D3161" s="633">
        <v>0.19800000000000001</v>
      </c>
      <c r="E3161" s="633">
        <v>0.20699999999999999</v>
      </c>
      <c r="F3161" s="633">
        <v>0.126</v>
      </c>
      <c r="G3161" s="633">
        <v>0.11700000000000001</v>
      </c>
    </row>
    <row r="3162" spans="1:7" ht="18.75" x14ac:dyDescent="0.25">
      <c r="A3162" s="629" t="s">
        <v>3067</v>
      </c>
      <c r="B3162" s="630">
        <v>58</v>
      </c>
      <c r="C3162" s="631" t="str">
        <f t="shared" si="53"/>
        <v>Ô tô vận tải thùng 7 tấn58</v>
      </c>
      <c r="D3162" s="633">
        <v>0.19800000000000001</v>
      </c>
      <c r="E3162" s="633">
        <v>0.20699999999999999</v>
      </c>
      <c r="F3162" s="633">
        <v>0.126</v>
      </c>
      <c r="G3162" s="633">
        <v>0.11700000000000001</v>
      </c>
    </row>
    <row r="3163" spans="1:7" ht="18.75" x14ac:dyDescent="0.25">
      <c r="A3163" s="629" t="s">
        <v>3067</v>
      </c>
      <c r="B3163" s="630">
        <v>59</v>
      </c>
      <c r="C3163" s="631" t="str">
        <f t="shared" si="53"/>
        <v>Ô tô vận tải thùng 7 tấn59</v>
      </c>
      <c r="D3163" s="633">
        <v>0.19800000000000001</v>
      </c>
      <c r="E3163" s="633">
        <v>0.20699999999999999</v>
      </c>
      <c r="F3163" s="633">
        <v>0.126</v>
      </c>
      <c r="G3163" s="633">
        <v>0.11700000000000001</v>
      </c>
    </row>
    <row r="3164" spans="1:7" ht="18.75" x14ac:dyDescent="0.25">
      <c r="A3164" s="629" t="s">
        <v>3067</v>
      </c>
      <c r="B3164" s="630">
        <v>60</v>
      </c>
      <c r="C3164" s="631" t="str">
        <f t="shared" si="53"/>
        <v>Ô tô vận tải thùng 7 tấn60</v>
      </c>
      <c r="D3164" s="633">
        <v>0.19800000000000001</v>
      </c>
      <c r="E3164" s="633">
        <v>0.20699999999999999</v>
      </c>
      <c r="F3164" s="633">
        <v>0.126</v>
      </c>
      <c r="G3164" s="633">
        <v>0.11700000000000001</v>
      </c>
    </row>
    <row r="3165" spans="1:7" ht="18.75" x14ac:dyDescent="0.25">
      <c r="A3165" s="629" t="s">
        <v>3067</v>
      </c>
      <c r="B3165" s="630">
        <v>61</v>
      </c>
      <c r="C3165" s="631" t="str">
        <f t="shared" si="53"/>
        <v>Ô tô vận tải thùng 7 tấn61</v>
      </c>
      <c r="D3165" s="633">
        <v>0.19500000000000001</v>
      </c>
      <c r="E3165" s="633">
        <v>0.20399999999999999</v>
      </c>
      <c r="F3165" s="633">
        <v>0.124</v>
      </c>
      <c r="G3165" s="633">
        <v>0.115</v>
      </c>
    </row>
    <row r="3166" spans="1:7" ht="18.75" x14ac:dyDescent="0.25">
      <c r="A3166" s="629" t="s">
        <v>3067</v>
      </c>
      <c r="B3166" s="630">
        <v>62</v>
      </c>
      <c r="C3166" s="631" t="str">
        <f t="shared" si="53"/>
        <v>Ô tô vận tải thùng 7 tấn62</v>
      </c>
      <c r="D3166" s="633">
        <v>0.19500000000000001</v>
      </c>
      <c r="E3166" s="633">
        <v>0.20399999999999999</v>
      </c>
      <c r="F3166" s="633">
        <v>0.124</v>
      </c>
      <c r="G3166" s="633">
        <v>0.115</v>
      </c>
    </row>
    <row r="3167" spans="1:7" ht="18.75" x14ac:dyDescent="0.25">
      <c r="A3167" s="629" t="s">
        <v>3067</v>
      </c>
      <c r="B3167" s="630">
        <v>63</v>
      </c>
      <c r="C3167" s="631" t="str">
        <f t="shared" si="53"/>
        <v>Ô tô vận tải thùng 7 tấn63</v>
      </c>
      <c r="D3167" s="633">
        <v>0.19500000000000001</v>
      </c>
      <c r="E3167" s="633">
        <v>0.20399999999999999</v>
      </c>
      <c r="F3167" s="633">
        <v>0.124</v>
      </c>
      <c r="G3167" s="633">
        <v>0.115</v>
      </c>
    </row>
    <row r="3168" spans="1:7" ht="18.75" x14ac:dyDescent="0.25">
      <c r="A3168" s="629" t="s">
        <v>3067</v>
      </c>
      <c r="B3168" s="630">
        <v>64</v>
      </c>
      <c r="C3168" s="631" t="str">
        <f t="shared" si="53"/>
        <v>Ô tô vận tải thùng 7 tấn64</v>
      </c>
      <c r="D3168" s="633">
        <v>0.19500000000000001</v>
      </c>
      <c r="E3168" s="633">
        <v>0.20399999999999999</v>
      </c>
      <c r="F3168" s="633">
        <v>0.124</v>
      </c>
      <c r="G3168" s="633">
        <v>0.115</v>
      </c>
    </row>
    <row r="3169" spans="1:7" ht="18.75" x14ac:dyDescent="0.25">
      <c r="A3169" s="629" t="s">
        <v>3067</v>
      </c>
      <c r="B3169" s="630">
        <v>65</v>
      </c>
      <c r="C3169" s="631" t="str">
        <f t="shared" si="53"/>
        <v>Ô tô vận tải thùng 7 tấn65</v>
      </c>
      <c r="D3169" s="633">
        <v>0.19500000000000001</v>
      </c>
      <c r="E3169" s="633">
        <v>0.20399999999999999</v>
      </c>
      <c r="F3169" s="633">
        <v>0.124</v>
      </c>
      <c r="G3169" s="633">
        <v>0.115</v>
      </c>
    </row>
    <row r="3170" spans="1:7" ht="18.75" x14ac:dyDescent="0.25">
      <c r="A3170" s="629" t="s">
        <v>3067</v>
      </c>
      <c r="B3170" s="630">
        <v>66</v>
      </c>
      <c r="C3170" s="631" t="str">
        <f t="shared" ref="C3170:C3233" si="54">A3170&amp;B3170</f>
        <v>Ô tô vận tải thùng 7 tấn66</v>
      </c>
      <c r="D3170" s="633">
        <v>0.19500000000000001</v>
      </c>
      <c r="E3170" s="633">
        <v>0.20399999999999999</v>
      </c>
      <c r="F3170" s="633">
        <v>0.124</v>
      </c>
      <c r="G3170" s="633">
        <v>0.115</v>
      </c>
    </row>
    <row r="3171" spans="1:7" ht="18.75" x14ac:dyDescent="0.25">
      <c r="A3171" s="629" t="s">
        <v>3067</v>
      </c>
      <c r="B3171" s="630">
        <v>67</v>
      </c>
      <c r="C3171" s="631" t="str">
        <f t="shared" si="54"/>
        <v>Ô tô vận tải thùng 7 tấn67</v>
      </c>
      <c r="D3171" s="633">
        <v>0.19500000000000001</v>
      </c>
      <c r="E3171" s="633">
        <v>0.20399999999999999</v>
      </c>
      <c r="F3171" s="633">
        <v>0.124</v>
      </c>
      <c r="G3171" s="633">
        <v>0.115</v>
      </c>
    </row>
    <row r="3172" spans="1:7" ht="18.75" x14ac:dyDescent="0.25">
      <c r="A3172" s="629" t="s">
        <v>3067</v>
      </c>
      <c r="B3172" s="630">
        <v>68</v>
      </c>
      <c r="C3172" s="631" t="str">
        <f t="shared" si="54"/>
        <v>Ô tô vận tải thùng 7 tấn68</v>
      </c>
      <c r="D3172" s="633">
        <v>0.19500000000000001</v>
      </c>
      <c r="E3172" s="633">
        <v>0.20399999999999999</v>
      </c>
      <c r="F3172" s="633">
        <v>0.124</v>
      </c>
      <c r="G3172" s="633">
        <v>0.115</v>
      </c>
    </row>
    <row r="3173" spans="1:7" ht="18.75" x14ac:dyDescent="0.25">
      <c r="A3173" s="629" t="s">
        <v>3067</v>
      </c>
      <c r="B3173" s="630">
        <v>69</v>
      </c>
      <c r="C3173" s="631" t="str">
        <f t="shared" si="54"/>
        <v>Ô tô vận tải thùng 7 tấn69</v>
      </c>
      <c r="D3173" s="633">
        <v>0.19500000000000001</v>
      </c>
      <c r="E3173" s="633">
        <v>0.20399999999999999</v>
      </c>
      <c r="F3173" s="633">
        <v>0.124</v>
      </c>
      <c r="G3173" s="633">
        <v>0.115</v>
      </c>
    </row>
    <row r="3174" spans="1:7" ht="18.75" x14ac:dyDescent="0.25">
      <c r="A3174" s="629" t="s">
        <v>3067</v>
      </c>
      <c r="B3174" s="630">
        <v>70</v>
      </c>
      <c r="C3174" s="631" t="str">
        <f t="shared" si="54"/>
        <v>Ô tô vận tải thùng 7 tấn70</v>
      </c>
      <c r="D3174" s="633">
        <v>0.19500000000000001</v>
      </c>
      <c r="E3174" s="633">
        <v>0.20399999999999999</v>
      </c>
      <c r="F3174" s="633">
        <v>0.124</v>
      </c>
      <c r="G3174" s="633">
        <v>0.115</v>
      </c>
    </row>
    <row r="3175" spans="1:7" ht="18.75" x14ac:dyDescent="0.25">
      <c r="A3175" s="629" t="s">
        <v>3067</v>
      </c>
      <c r="B3175" s="630">
        <v>71</v>
      </c>
      <c r="C3175" s="631" t="str">
        <f t="shared" si="54"/>
        <v>Ô tô vận tải thùng 7 tấn71</v>
      </c>
      <c r="D3175" s="633">
        <v>0.193</v>
      </c>
      <c r="E3175" s="633">
        <v>0.20200000000000001</v>
      </c>
      <c r="F3175" s="633">
        <v>0.123</v>
      </c>
      <c r="G3175" s="633">
        <v>0.114</v>
      </c>
    </row>
    <row r="3176" spans="1:7" ht="18.75" x14ac:dyDescent="0.25">
      <c r="A3176" s="629" t="s">
        <v>3067</v>
      </c>
      <c r="B3176" s="630">
        <v>72</v>
      </c>
      <c r="C3176" s="631" t="str">
        <f t="shared" si="54"/>
        <v>Ô tô vận tải thùng 7 tấn72</v>
      </c>
      <c r="D3176" s="633">
        <v>0.193</v>
      </c>
      <c r="E3176" s="633">
        <v>0.20200000000000001</v>
      </c>
      <c r="F3176" s="633">
        <v>0.123</v>
      </c>
      <c r="G3176" s="633">
        <v>0.114</v>
      </c>
    </row>
    <row r="3177" spans="1:7" ht="18.75" x14ac:dyDescent="0.25">
      <c r="A3177" s="629" t="s">
        <v>3067</v>
      </c>
      <c r="B3177" s="630">
        <v>73</v>
      </c>
      <c r="C3177" s="631" t="str">
        <f t="shared" si="54"/>
        <v>Ô tô vận tải thùng 7 tấn73</v>
      </c>
      <c r="D3177" s="633">
        <v>0.193</v>
      </c>
      <c r="E3177" s="633">
        <v>0.20200000000000001</v>
      </c>
      <c r="F3177" s="633">
        <v>0.123</v>
      </c>
      <c r="G3177" s="633">
        <v>0.114</v>
      </c>
    </row>
    <row r="3178" spans="1:7" ht="18.75" x14ac:dyDescent="0.25">
      <c r="A3178" s="629" t="s">
        <v>3067</v>
      </c>
      <c r="B3178" s="630">
        <v>74</v>
      </c>
      <c r="C3178" s="631" t="str">
        <f t="shared" si="54"/>
        <v>Ô tô vận tải thùng 7 tấn74</v>
      </c>
      <c r="D3178" s="633">
        <v>0.193</v>
      </c>
      <c r="E3178" s="633">
        <v>0.20200000000000001</v>
      </c>
      <c r="F3178" s="633">
        <v>0.123</v>
      </c>
      <c r="G3178" s="633">
        <v>0.114</v>
      </c>
    </row>
    <row r="3179" spans="1:7" ht="18.75" x14ac:dyDescent="0.25">
      <c r="A3179" s="629" t="s">
        <v>3067</v>
      </c>
      <c r="B3179" s="630">
        <v>75</v>
      </c>
      <c r="C3179" s="631" t="str">
        <f t="shared" si="54"/>
        <v>Ô tô vận tải thùng 7 tấn75</v>
      </c>
      <c r="D3179" s="633">
        <v>0.193</v>
      </c>
      <c r="E3179" s="633">
        <v>0.20200000000000001</v>
      </c>
      <c r="F3179" s="633">
        <v>0.123</v>
      </c>
      <c r="G3179" s="633">
        <v>0.114</v>
      </c>
    </row>
    <row r="3180" spans="1:7" ht="18.75" x14ac:dyDescent="0.25">
      <c r="A3180" s="629" t="s">
        <v>3067</v>
      </c>
      <c r="B3180" s="630">
        <v>76</v>
      </c>
      <c r="C3180" s="631" t="str">
        <f t="shared" si="54"/>
        <v>Ô tô vận tải thùng 7 tấn76</v>
      </c>
      <c r="D3180" s="633">
        <v>0.193</v>
      </c>
      <c r="E3180" s="633">
        <v>0.20200000000000001</v>
      </c>
      <c r="F3180" s="633">
        <v>0.123</v>
      </c>
      <c r="G3180" s="633">
        <v>0.114</v>
      </c>
    </row>
    <row r="3181" spans="1:7" ht="18.75" x14ac:dyDescent="0.25">
      <c r="A3181" s="629" t="s">
        <v>3067</v>
      </c>
      <c r="B3181" s="630">
        <v>77</v>
      </c>
      <c r="C3181" s="631" t="str">
        <f t="shared" si="54"/>
        <v>Ô tô vận tải thùng 7 tấn77</v>
      </c>
      <c r="D3181" s="633">
        <v>0.193</v>
      </c>
      <c r="E3181" s="633">
        <v>0.20200000000000001</v>
      </c>
      <c r="F3181" s="633">
        <v>0.123</v>
      </c>
      <c r="G3181" s="633">
        <v>0.114</v>
      </c>
    </row>
    <row r="3182" spans="1:7" ht="18.75" x14ac:dyDescent="0.25">
      <c r="A3182" s="629" t="s">
        <v>3067</v>
      </c>
      <c r="B3182" s="630">
        <v>78</v>
      </c>
      <c r="C3182" s="631" t="str">
        <f t="shared" si="54"/>
        <v>Ô tô vận tải thùng 7 tấn78</v>
      </c>
      <c r="D3182" s="633">
        <v>0.193</v>
      </c>
      <c r="E3182" s="633">
        <v>0.20200000000000001</v>
      </c>
      <c r="F3182" s="633">
        <v>0.123</v>
      </c>
      <c r="G3182" s="633">
        <v>0.114</v>
      </c>
    </row>
    <row r="3183" spans="1:7" ht="18.75" x14ac:dyDescent="0.25">
      <c r="A3183" s="629" t="s">
        <v>3067</v>
      </c>
      <c r="B3183" s="630">
        <v>79</v>
      </c>
      <c r="C3183" s="631" t="str">
        <f t="shared" si="54"/>
        <v>Ô tô vận tải thùng 7 tấn79</v>
      </c>
      <c r="D3183" s="633">
        <v>0.193</v>
      </c>
      <c r="E3183" s="633">
        <v>0.20200000000000001</v>
      </c>
      <c r="F3183" s="633">
        <v>0.123</v>
      </c>
      <c r="G3183" s="633">
        <v>0.114</v>
      </c>
    </row>
    <row r="3184" spans="1:7" ht="18.75" x14ac:dyDescent="0.25">
      <c r="A3184" s="629" t="s">
        <v>3067</v>
      </c>
      <c r="B3184" s="630">
        <v>80</v>
      </c>
      <c r="C3184" s="631" t="str">
        <f t="shared" si="54"/>
        <v>Ô tô vận tải thùng 7 tấn80</v>
      </c>
      <c r="D3184" s="633">
        <v>0.193</v>
      </c>
      <c r="E3184" s="633">
        <v>0.20200000000000001</v>
      </c>
      <c r="F3184" s="633">
        <v>0.123</v>
      </c>
      <c r="G3184" s="633">
        <v>0.114</v>
      </c>
    </row>
    <row r="3185" spans="1:7" ht="18.75" x14ac:dyDescent="0.25">
      <c r="A3185" s="629" t="s">
        <v>3067</v>
      </c>
      <c r="B3185" s="630">
        <v>81</v>
      </c>
      <c r="C3185" s="631" t="str">
        <f t="shared" si="54"/>
        <v>Ô tô vận tải thùng 7 tấn81</v>
      </c>
      <c r="D3185" s="633">
        <v>0.191</v>
      </c>
      <c r="E3185" s="633">
        <v>0.2</v>
      </c>
      <c r="F3185" s="633">
        <v>0.121</v>
      </c>
      <c r="G3185" s="633">
        <v>0.113</v>
      </c>
    </row>
    <row r="3186" spans="1:7" ht="18.75" x14ac:dyDescent="0.25">
      <c r="A3186" s="629" t="s">
        <v>3067</v>
      </c>
      <c r="B3186" s="630">
        <v>82</v>
      </c>
      <c r="C3186" s="631" t="str">
        <f t="shared" si="54"/>
        <v>Ô tô vận tải thùng 7 tấn82</v>
      </c>
      <c r="D3186" s="633">
        <v>0.191</v>
      </c>
      <c r="E3186" s="633">
        <v>0.2</v>
      </c>
      <c r="F3186" s="633">
        <v>0.121</v>
      </c>
      <c r="G3186" s="633">
        <v>0.113</v>
      </c>
    </row>
    <row r="3187" spans="1:7" ht="18.75" x14ac:dyDescent="0.25">
      <c r="A3187" s="629" t="s">
        <v>3067</v>
      </c>
      <c r="B3187" s="630">
        <v>83</v>
      </c>
      <c r="C3187" s="631" t="str">
        <f t="shared" si="54"/>
        <v>Ô tô vận tải thùng 7 tấn83</v>
      </c>
      <c r="D3187" s="633">
        <v>0.191</v>
      </c>
      <c r="E3187" s="633">
        <v>0.2</v>
      </c>
      <c r="F3187" s="633">
        <v>0.121</v>
      </c>
      <c r="G3187" s="633">
        <v>0.113</v>
      </c>
    </row>
    <row r="3188" spans="1:7" ht="18.75" x14ac:dyDescent="0.25">
      <c r="A3188" s="629" t="s">
        <v>3067</v>
      </c>
      <c r="B3188" s="630">
        <v>84</v>
      </c>
      <c r="C3188" s="631" t="str">
        <f t="shared" si="54"/>
        <v>Ô tô vận tải thùng 7 tấn84</v>
      </c>
      <c r="D3188" s="633">
        <v>0.191</v>
      </c>
      <c r="E3188" s="633">
        <v>0.2</v>
      </c>
      <c r="F3188" s="633">
        <v>0.121</v>
      </c>
      <c r="G3188" s="633">
        <v>0.113</v>
      </c>
    </row>
    <row r="3189" spans="1:7" ht="18.75" x14ac:dyDescent="0.25">
      <c r="A3189" s="629" t="s">
        <v>3067</v>
      </c>
      <c r="B3189" s="630">
        <v>85</v>
      </c>
      <c r="C3189" s="631" t="str">
        <f t="shared" si="54"/>
        <v>Ô tô vận tải thùng 7 tấn85</v>
      </c>
      <c r="D3189" s="633">
        <v>0.191</v>
      </c>
      <c r="E3189" s="633">
        <v>0.2</v>
      </c>
      <c r="F3189" s="633">
        <v>0.121</v>
      </c>
      <c r="G3189" s="633">
        <v>0.113</v>
      </c>
    </row>
    <row r="3190" spans="1:7" ht="18.75" x14ac:dyDescent="0.25">
      <c r="A3190" s="629" t="s">
        <v>3067</v>
      </c>
      <c r="B3190" s="630">
        <v>86</v>
      </c>
      <c r="C3190" s="631" t="str">
        <f t="shared" si="54"/>
        <v>Ô tô vận tải thùng 7 tấn86</v>
      </c>
      <c r="D3190" s="633">
        <v>0.191</v>
      </c>
      <c r="E3190" s="633">
        <v>0.2</v>
      </c>
      <c r="F3190" s="633">
        <v>0.121</v>
      </c>
      <c r="G3190" s="633">
        <v>0.113</v>
      </c>
    </row>
    <row r="3191" spans="1:7" ht="18.75" x14ac:dyDescent="0.25">
      <c r="A3191" s="629" t="s">
        <v>3067</v>
      </c>
      <c r="B3191" s="630">
        <v>87</v>
      </c>
      <c r="C3191" s="631" t="str">
        <f t="shared" si="54"/>
        <v>Ô tô vận tải thùng 7 tấn87</v>
      </c>
      <c r="D3191" s="633">
        <v>0.191</v>
      </c>
      <c r="E3191" s="633">
        <v>0.2</v>
      </c>
      <c r="F3191" s="633">
        <v>0.121</v>
      </c>
      <c r="G3191" s="633">
        <v>0.113</v>
      </c>
    </row>
    <row r="3192" spans="1:7" ht="18.75" x14ac:dyDescent="0.25">
      <c r="A3192" s="629" t="s">
        <v>3067</v>
      </c>
      <c r="B3192" s="630">
        <v>88</v>
      </c>
      <c r="C3192" s="631" t="str">
        <f t="shared" si="54"/>
        <v>Ô tô vận tải thùng 7 tấn88</v>
      </c>
      <c r="D3192" s="633">
        <v>0.191</v>
      </c>
      <c r="E3192" s="633">
        <v>0.2</v>
      </c>
      <c r="F3192" s="633">
        <v>0.121</v>
      </c>
      <c r="G3192" s="633">
        <v>0.113</v>
      </c>
    </row>
    <row r="3193" spans="1:7" ht="18.75" x14ac:dyDescent="0.25">
      <c r="A3193" s="629" t="s">
        <v>3067</v>
      </c>
      <c r="B3193" s="630">
        <v>89</v>
      </c>
      <c r="C3193" s="631" t="str">
        <f t="shared" si="54"/>
        <v>Ô tô vận tải thùng 7 tấn89</v>
      </c>
      <c r="D3193" s="633">
        <v>0.191</v>
      </c>
      <c r="E3193" s="633">
        <v>0.2</v>
      </c>
      <c r="F3193" s="633">
        <v>0.121</v>
      </c>
      <c r="G3193" s="633">
        <v>0.113</v>
      </c>
    </row>
    <row r="3194" spans="1:7" ht="18.75" x14ac:dyDescent="0.25">
      <c r="A3194" s="629" t="s">
        <v>3067</v>
      </c>
      <c r="B3194" s="630">
        <v>90</v>
      </c>
      <c r="C3194" s="631" t="str">
        <f t="shared" si="54"/>
        <v>Ô tô vận tải thùng 7 tấn90</v>
      </c>
      <c r="D3194" s="633">
        <v>0.191</v>
      </c>
      <c r="E3194" s="633">
        <v>0.2</v>
      </c>
      <c r="F3194" s="633">
        <v>0.121</v>
      </c>
      <c r="G3194" s="633">
        <v>0.113</v>
      </c>
    </row>
    <row r="3195" spans="1:7" ht="18.75" x14ac:dyDescent="0.25">
      <c r="A3195" s="629" t="s">
        <v>3067</v>
      </c>
      <c r="B3195" s="630">
        <v>91</v>
      </c>
      <c r="C3195" s="631" t="str">
        <f t="shared" si="54"/>
        <v>Ô tô vận tải thùng 7 tấn91</v>
      </c>
      <c r="D3195" s="633">
        <v>0.189</v>
      </c>
      <c r="E3195" s="633">
        <v>0.19800000000000001</v>
      </c>
      <c r="F3195" s="633">
        <v>0.12</v>
      </c>
      <c r="G3195" s="633">
        <v>0.112</v>
      </c>
    </row>
    <row r="3196" spans="1:7" ht="18.75" x14ac:dyDescent="0.25">
      <c r="A3196" s="629" t="s">
        <v>3067</v>
      </c>
      <c r="B3196" s="630">
        <v>92</v>
      </c>
      <c r="C3196" s="631" t="str">
        <f t="shared" si="54"/>
        <v>Ô tô vận tải thùng 7 tấn92</v>
      </c>
      <c r="D3196" s="633">
        <v>0.189</v>
      </c>
      <c r="E3196" s="633">
        <v>0.19800000000000001</v>
      </c>
      <c r="F3196" s="633">
        <v>0.12</v>
      </c>
      <c r="G3196" s="633">
        <v>0.112</v>
      </c>
    </row>
    <row r="3197" spans="1:7" ht="18.75" x14ac:dyDescent="0.25">
      <c r="A3197" s="629" t="s">
        <v>3067</v>
      </c>
      <c r="B3197" s="630">
        <v>93</v>
      </c>
      <c r="C3197" s="631" t="str">
        <f t="shared" si="54"/>
        <v>Ô tô vận tải thùng 7 tấn93</v>
      </c>
      <c r="D3197" s="633">
        <v>0.189</v>
      </c>
      <c r="E3197" s="633">
        <v>0.19800000000000001</v>
      </c>
      <c r="F3197" s="633">
        <v>0.12</v>
      </c>
      <c r="G3197" s="633">
        <v>0.112</v>
      </c>
    </row>
    <row r="3198" spans="1:7" ht="18.75" x14ac:dyDescent="0.25">
      <c r="A3198" s="629" t="s">
        <v>3067</v>
      </c>
      <c r="B3198" s="630">
        <v>94</v>
      </c>
      <c r="C3198" s="631" t="str">
        <f t="shared" si="54"/>
        <v>Ô tô vận tải thùng 7 tấn94</v>
      </c>
      <c r="D3198" s="633">
        <v>0.189</v>
      </c>
      <c r="E3198" s="633">
        <v>0.19800000000000001</v>
      </c>
      <c r="F3198" s="633">
        <v>0.12</v>
      </c>
      <c r="G3198" s="633">
        <v>0.112</v>
      </c>
    </row>
    <row r="3199" spans="1:7" ht="18.75" x14ac:dyDescent="0.25">
      <c r="A3199" s="629" t="s">
        <v>3067</v>
      </c>
      <c r="B3199" s="630">
        <v>95</v>
      </c>
      <c r="C3199" s="631" t="str">
        <f t="shared" si="54"/>
        <v>Ô tô vận tải thùng 7 tấn95</v>
      </c>
      <c r="D3199" s="633">
        <v>0.189</v>
      </c>
      <c r="E3199" s="633">
        <v>0.19800000000000001</v>
      </c>
      <c r="F3199" s="633">
        <v>0.12</v>
      </c>
      <c r="G3199" s="633">
        <v>0.112</v>
      </c>
    </row>
    <row r="3200" spans="1:7" ht="18.75" x14ac:dyDescent="0.25">
      <c r="A3200" s="629" t="s">
        <v>3067</v>
      </c>
      <c r="B3200" s="630">
        <v>96</v>
      </c>
      <c r="C3200" s="631" t="str">
        <f t="shared" si="54"/>
        <v>Ô tô vận tải thùng 7 tấn96</v>
      </c>
      <c r="D3200" s="633">
        <v>0.189</v>
      </c>
      <c r="E3200" s="633">
        <v>0.19800000000000001</v>
      </c>
      <c r="F3200" s="633">
        <v>0.12</v>
      </c>
      <c r="G3200" s="633">
        <v>0.112</v>
      </c>
    </row>
    <row r="3201" spans="1:7" ht="18.75" x14ac:dyDescent="0.25">
      <c r="A3201" s="629" t="s">
        <v>3067</v>
      </c>
      <c r="B3201" s="630">
        <v>97</v>
      </c>
      <c r="C3201" s="631" t="str">
        <f t="shared" si="54"/>
        <v>Ô tô vận tải thùng 7 tấn97</v>
      </c>
      <c r="D3201" s="633">
        <v>0.189</v>
      </c>
      <c r="E3201" s="633">
        <v>0.19800000000000001</v>
      </c>
      <c r="F3201" s="633">
        <v>0.12</v>
      </c>
      <c r="G3201" s="633">
        <v>0.112</v>
      </c>
    </row>
    <row r="3202" spans="1:7" ht="18.75" x14ac:dyDescent="0.25">
      <c r="A3202" s="629" t="s">
        <v>3067</v>
      </c>
      <c r="B3202" s="630">
        <v>98</v>
      </c>
      <c r="C3202" s="631" t="str">
        <f t="shared" si="54"/>
        <v>Ô tô vận tải thùng 7 tấn98</v>
      </c>
      <c r="D3202" s="633">
        <v>0.189</v>
      </c>
      <c r="E3202" s="633">
        <v>0.19800000000000001</v>
      </c>
      <c r="F3202" s="633">
        <v>0.12</v>
      </c>
      <c r="G3202" s="633">
        <v>0.112</v>
      </c>
    </row>
    <row r="3203" spans="1:7" ht="18.75" x14ac:dyDescent="0.25">
      <c r="A3203" s="629" t="s">
        <v>3067</v>
      </c>
      <c r="B3203" s="630">
        <v>99</v>
      </c>
      <c r="C3203" s="631" t="str">
        <f t="shared" si="54"/>
        <v>Ô tô vận tải thùng 7 tấn99</v>
      </c>
      <c r="D3203" s="633">
        <v>0.189</v>
      </c>
      <c r="E3203" s="633">
        <v>0.19800000000000001</v>
      </c>
      <c r="F3203" s="633">
        <v>0.12</v>
      </c>
      <c r="G3203" s="633">
        <v>0.112</v>
      </c>
    </row>
    <row r="3204" spans="1:7" ht="18.75" x14ac:dyDescent="0.25">
      <c r="A3204" s="629" t="s">
        <v>3067</v>
      </c>
      <c r="B3204" s="630">
        <v>100</v>
      </c>
      <c r="C3204" s="631" t="str">
        <f t="shared" si="54"/>
        <v>Ô tô vận tải thùng 7 tấn100</v>
      </c>
      <c r="D3204" s="633">
        <v>0.189</v>
      </c>
      <c r="E3204" s="633">
        <v>0.19800000000000001</v>
      </c>
      <c r="F3204" s="633">
        <v>0.12</v>
      </c>
      <c r="G3204" s="633">
        <v>0.112</v>
      </c>
    </row>
    <row r="3205" spans="1:7" ht="18.75" x14ac:dyDescent="0.25">
      <c r="A3205" s="629" t="s">
        <v>3067</v>
      </c>
      <c r="B3205" s="630">
        <v>101</v>
      </c>
      <c r="C3205" s="631" t="str">
        <f t="shared" si="54"/>
        <v>Ô tô vận tải thùng 7 tấn101</v>
      </c>
      <c r="D3205" s="633">
        <v>0.189</v>
      </c>
      <c r="E3205" s="633">
        <v>0.19800000000000001</v>
      </c>
      <c r="F3205" s="633">
        <v>0.12</v>
      </c>
      <c r="G3205" s="633">
        <v>0.112</v>
      </c>
    </row>
    <row r="3206" spans="1:7" ht="18.75" x14ac:dyDescent="0.25">
      <c r="A3206" s="629" t="s">
        <v>3067</v>
      </c>
      <c r="B3206" s="630">
        <v>102</v>
      </c>
      <c r="C3206" s="631" t="str">
        <f t="shared" si="54"/>
        <v>Ô tô vận tải thùng 7 tấn102</v>
      </c>
      <c r="D3206" s="633">
        <v>0.189</v>
      </c>
      <c r="E3206" s="633">
        <v>0.19800000000000001</v>
      </c>
      <c r="F3206" s="633">
        <v>0.12</v>
      </c>
      <c r="G3206" s="633">
        <v>0.112</v>
      </c>
    </row>
    <row r="3207" spans="1:7" ht="18.75" x14ac:dyDescent="0.25">
      <c r="A3207" s="629" t="s">
        <v>3067</v>
      </c>
      <c r="B3207" s="630">
        <v>103</v>
      </c>
      <c r="C3207" s="631" t="str">
        <f t="shared" si="54"/>
        <v>Ô tô vận tải thùng 7 tấn103</v>
      </c>
      <c r="D3207" s="633">
        <v>0.189</v>
      </c>
      <c r="E3207" s="633">
        <v>0.19800000000000001</v>
      </c>
      <c r="F3207" s="633">
        <v>0.12</v>
      </c>
      <c r="G3207" s="633">
        <v>0.112</v>
      </c>
    </row>
    <row r="3208" spans="1:7" ht="18.75" x14ac:dyDescent="0.25">
      <c r="A3208" s="629" t="s">
        <v>3067</v>
      </c>
      <c r="B3208" s="630">
        <v>104</v>
      </c>
      <c r="C3208" s="631" t="str">
        <f t="shared" si="54"/>
        <v>Ô tô vận tải thùng 7 tấn104</v>
      </c>
      <c r="D3208" s="633">
        <v>0.189</v>
      </c>
      <c r="E3208" s="633">
        <v>0.19800000000000001</v>
      </c>
      <c r="F3208" s="633">
        <v>0.12</v>
      </c>
      <c r="G3208" s="633">
        <v>0.112</v>
      </c>
    </row>
    <row r="3209" spans="1:7" ht="18.75" x14ac:dyDescent="0.25">
      <c r="A3209" s="629" t="s">
        <v>3067</v>
      </c>
      <c r="B3209" s="630">
        <v>105</v>
      </c>
      <c r="C3209" s="631" t="str">
        <f t="shared" si="54"/>
        <v>Ô tô vận tải thùng 7 tấn105</v>
      </c>
      <c r="D3209" s="633">
        <v>0.189</v>
      </c>
      <c r="E3209" s="633">
        <v>0.19800000000000001</v>
      </c>
      <c r="F3209" s="633">
        <v>0.12</v>
      </c>
      <c r="G3209" s="633">
        <v>0.112</v>
      </c>
    </row>
    <row r="3210" spans="1:7" ht="18.75" x14ac:dyDescent="0.25">
      <c r="A3210" s="629" t="s">
        <v>3067</v>
      </c>
      <c r="B3210" s="630">
        <v>106</v>
      </c>
      <c r="C3210" s="631" t="str">
        <f t="shared" si="54"/>
        <v>Ô tô vận tải thùng 7 tấn106</v>
      </c>
      <c r="D3210" s="633">
        <v>0.189</v>
      </c>
      <c r="E3210" s="633">
        <v>0.19800000000000001</v>
      </c>
      <c r="F3210" s="633">
        <v>0.12</v>
      </c>
      <c r="G3210" s="633">
        <v>0.112</v>
      </c>
    </row>
    <row r="3211" spans="1:7" ht="18.75" x14ac:dyDescent="0.25">
      <c r="A3211" s="629" t="s">
        <v>3067</v>
      </c>
      <c r="B3211" s="630">
        <v>107</v>
      </c>
      <c r="C3211" s="631" t="str">
        <f t="shared" si="54"/>
        <v>Ô tô vận tải thùng 7 tấn107</v>
      </c>
      <c r="D3211" s="633">
        <v>0.189</v>
      </c>
      <c r="E3211" s="633">
        <v>0.19800000000000001</v>
      </c>
      <c r="F3211" s="633">
        <v>0.12</v>
      </c>
      <c r="G3211" s="633">
        <v>0.112</v>
      </c>
    </row>
    <row r="3212" spans="1:7" ht="18.75" x14ac:dyDescent="0.25">
      <c r="A3212" s="629" t="s">
        <v>3067</v>
      </c>
      <c r="B3212" s="630">
        <v>108</v>
      </c>
      <c r="C3212" s="631" t="str">
        <f t="shared" si="54"/>
        <v>Ô tô vận tải thùng 7 tấn108</v>
      </c>
      <c r="D3212" s="633">
        <v>0.189</v>
      </c>
      <c r="E3212" s="633">
        <v>0.19800000000000001</v>
      </c>
      <c r="F3212" s="633">
        <v>0.12</v>
      </c>
      <c r="G3212" s="633">
        <v>0.112</v>
      </c>
    </row>
    <row r="3213" spans="1:7" ht="18.75" x14ac:dyDescent="0.25">
      <c r="A3213" s="629" t="s">
        <v>3067</v>
      </c>
      <c r="B3213" s="630">
        <v>109</v>
      </c>
      <c r="C3213" s="631" t="str">
        <f t="shared" si="54"/>
        <v>Ô tô vận tải thùng 7 tấn109</v>
      </c>
      <c r="D3213" s="633">
        <v>0.189</v>
      </c>
      <c r="E3213" s="633">
        <v>0.19800000000000001</v>
      </c>
      <c r="F3213" s="633">
        <v>0.12</v>
      </c>
      <c r="G3213" s="633">
        <v>0.112</v>
      </c>
    </row>
    <row r="3214" spans="1:7" ht="18.75" x14ac:dyDescent="0.25">
      <c r="A3214" s="629" t="s">
        <v>3067</v>
      </c>
      <c r="B3214" s="630">
        <v>110</v>
      </c>
      <c r="C3214" s="631" t="str">
        <f t="shared" si="54"/>
        <v>Ô tô vận tải thùng 7 tấn110</v>
      </c>
      <c r="D3214" s="633">
        <v>0.189</v>
      </c>
      <c r="E3214" s="633">
        <v>0.19800000000000001</v>
      </c>
      <c r="F3214" s="633">
        <v>0.12</v>
      </c>
      <c r="G3214" s="633">
        <v>0.112</v>
      </c>
    </row>
    <row r="3215" spans="1:7" ht="18.75" x14ac:dyDescent="0.25">
      <c r="A3215" s="629" t="s">
        <v>3067</v>
      </c>
      <c r="B3215" s="630">
        <v>111</v>
      </c>
      <c r="C3215" s="631" t="str">
        <f t="shared" si="54"/>
        <v>Ô tô vận tải thùng 7 tấn111</v>
      </c>
      <c r="D3215" s="633">
        <v>0.189</v>
      </c>
      <c r="E3215" s="633">
        <v>0.19800000000000001</v>
      </c>
      <c r="F3215" s="633">
        <v>0.12</v>
      </c>
      <c r="G3215" s="633">
        <v>0.112</v>
      </c>
    </row>
    <row r="3216" spans="1:7" ht="18.75" x14ac:dyDescent="0.25">
      <c r="A3216" s="629" t="s">
        <v>3067</v>
      </c>
      <c r="B3216" s="630">
        <v>112</v>
      </c>
      <c r="C3216" s="631" t="str">
        <f t="shared" si="54"/>
        <v>Ô tô vận tải thùng 7 tấn112</v>
      </c>
      <c r="D3216" s="633">
        <v>0.189</v>
      </c>
      <c r="E3216" s="633">
        <v>0.19800000000000001</v>
      </c>
      <c r="F3216" s="633">
        <v>0.12</v>
      </c>
      <c r="G3216" s="633">
        <v>0.112</v>
      </c>
    </row>
    <row r="3217" spans="1:7" ht="18.75" x14ac:dyDescent="0.25">
      <c r="A3217" s="629" t="s">
        <v>3067</v>
      </c>
      <c r="B3217" s="630">
        <v>113</v>
      </c>
      <c r="C3217" s="631" t="str">
        <f t="shared" si="54"/>
        <v>Ô tô vận tải thùng 7 tấn113</v>
      </c>
      <c r="D3217" s="633">
        <v>0.189</v>
      </c>
      <c r="E3217" s="633">
        <v>0.19800000000000001</v>
      </c>
      <c r="F3217" s="633">
        <v>0.12</v>
      </c>
      <c r="G3217" s="633">
        <v>0.112</v>
      </c>
    </row>
    <row r="3218" spans="1:7" ht="18.75" x14ac:dyDescent="0.25">
      <c r="A3218" s="629" t="s">
        <v>3067</v>
      </c>
      <c r="B3218" s="630">
        <v>114</v>
      </c>
      <c r="C3218" s="631" t="str">
        <f t="shared" si="54"/>
        <v>Ô tô vận tải thùng 7 tấn114</v>
      </c>
      <c r="D3218" s="633">
        <v>0.189</v>
      </c>
      <c r="E3218" s="633">
        <v>0.19800000000000001</v>
      </c>
      <c r="F3218" s="633">
        <v>0.12</v>
      </c>
      <c r="G3218" s="633">
        <v>0.112</v>
      </c>
    </row>
    <row r="3219" spans="1:7" ht="18.75" x14ac:dyDescent="0.25">
      <c r="A3219" s="629" t="s">
        <v>3067</v>
      </c>
      <c r="B3219" s="630">
        <v>115</v>
      </c>
      <c r="C3219" s="631" t="str">
        <f t="shared" si="54"/>
        <v>Ô tô vận tải thùng 7 tấn115</v>
      </c>
      <c r="D3219" s="633">
        <v>0.189</v>
      </c>
      <c r="E3219" s="633">
        <v>0.19800000000000001</v>
      </c>
      <c r="F3219" s="633">
        <v>0.12</v>
      </c>
      <c r="G3219" s="633">
        <v>0.112</v>
      </c>
    </row>
    <row r="3220" spans="1:7" ht="18.75" x14ac:dyDescent="0.25">
      <c r="A3220" s="629" t="s">
        <v>3067</v>
      </c>
      <c r="B3220" s="630">
        <v>116</v>
      </c>
      <c r="C3220" s="631" t="str">
        <f t="shared" si="54"/>
        <v>Ô tô vận tải thùng 7 tấn116</v>
      </c>
      <c r="D3220" s="633">
        <v>0.189</v>
      </c>
      <c r="E3220" s="633">
        <v>0.19800000000000001</v>
      </c>
      <c r="F3220" s="633">
        <v>0.12</v>
      </c>
      <c r="G3220" s="633">
        <v>0.112</v>
      </c>
    </row>
    <row r="3221" spans="1:7" ht="18.75" x14ac:dyDescent="0.25">
      <c r="A3221" s="629" t="s">
        <v>3067</v>
      </c>
      <c r="B3221" s="630">
        <v>117</v>
      </c>
      <c r="C3221" s="631" t="str">
        <f t="shared" si="54"/>
        <v>Ô tô vận tải thùng 7 tấn117</v>
      </c>
      <c r="D3221" s="633">
        <v>0.189</v>
      </c>
      <c r="E3221" s="633">
        <v>0.19800000000000001</v>
      </c>
      <c r="F3221" s="633">
        <v>0.12</v>
      </c>
      <c r="G3221" s="633">
        <v>0.112</v>
      </c>
    </row>
    <row r="3222" spans="1:7" ht="18.75" x14ac:dyDescent="0.25">
      <c r="A3222" s="629" t="s">
        <v>3067</v>
      </c>
      <c r="B3222" s="630">
        <v>118</v>
      </c>
      <c r="C3222" s="631" t="str">
        <f t="shared" si="54"/>
        <v>Ô tô vận tải thùng 7 tấn118</v>
      </c>
      <c r="D3222" s="633">
        <v>0.189</v>
      </c>
      <c r="E3222" s="633">
        <v>0.19800000000000001</v>
      </c>
      <c r="F3222" s="633">
        <v>0.12</v>
      </c>
      <c r="G3222" s="633">
        <v>0.112</v>
      </c>
    </row>
    <row r="3223" spans="1:7" ht="18.75" x14ac:dyDescent="0.25">
      <c r="A3223" s="629" t="s">
        <v>3067</v>
      </c>
      <c r="B3223" s="630">
        <v>119</v>
      </c>
      <c r="C3223" s="631" t="str">
        <f t="shared" si="54"/>
        <v>Ô tô vận tải thùng 7 tấn119</v>
      </c>
      <c r="D3223" s="633">
        <v>0.189</v>
      </c>
      <c r="E3223" s="633">
        <v>0.19800000000000001</v>
      </c>
      <c r="F3223" s="633">
        <v>0.12</v>
      </c>
      <c r="G3223" s="633">
        <v>0.112</v>
      </c>
    </row>
    <row r="3224" spans="1:7" ht="18.75" x14ac:dyDescent="0.25">
      <c r="A3224" s="629" t="s">
        <v>3067</v>
      </c>
      <c r="B3224" s="630">
        <v>120</v>
      </c>
      <c r="C3224" s="631" t="str">
        <f t="shared" si="54"/>
        <v>Ô tô vận tải thùng 7 tấn120</v>
      </c>
      <c r="D3224" s="633">
        <v>0.189</v>
      </c>
      <c r="E3224" s="633">
        <v>0.19800000000000001</v>
      </c>
      <c r="F3224" s="633">
        <v>0.12</v>
      </c>
      <c r="G3224" s="633">
        <v>0.112</v>
      </c>
    </row>
    <row r="3225" spans="1:7" ht="18.75" x14ac:dyDescent="0.25">
      <c r="A3225" s="629" t="s">
        <v>3067</v>
      </c>
      <c r="B3225" s="630">
        <v>121</v>
      </c>
      <c r="C3225" s="631" t="str">
        <f t="shared" si="54"/>
        <v>Ô tô vận tải thùng 7 tấn121</v>
      </c>
      <c r="D3225" s="633">
        <v>0.189</v>
      </c>
      <c r="E3225" s="633">
        <v>0.19800000000000001</v>
      </c>
      <c r="F3225" s="633">
        <v>0.12</v>
      </c>
      <c r="G3225" s="633">
        <v>0.112</v>
      </c>
    </row>
    <row r="3226" spans="1:7" ht="18.75" x14ac:dyDescent="0.25">
      <c r="A3226" s="629" t="s">
        <v>3067</v>
      </c>
      <c r="B3226" s="630">
        <v>122</v>
      </c>
      <c r="C3226" s="631" t="str">
        <f t="shared" si="54"/>
        <v>Ô tô vận tải thùng 7 tấn122</v>
      </c>
      <c r="D3226" s="633">
        <v>0.189</v>
      </c>
      <c r="E3226" s="633">
        <v>0.19800000000000001</v>
      </c>
      <c r="F3226" s="633">
        <v>0.12</v>
      </c>
      <c r="G3226" s="633">
        <v>0.112</v>
      </c>
    </row>
    <row r="3227" spans="1:7" ht="18.75" x14ac:dyDescent="0.25">
      <c r="A3227" s="629" t="s">
        <v>3067</v>
      </c>
      <c r="B3227" s="630">
        <v>123</v>
      </c>
      <c r="C3227" s="631" t="str">
        <f t="shared" si="54"/>
        <v>Ô tô vận tải thùng 7 tấn123</v>
      </c>
      <c r="D3227" s="633">
        <v>0.189</v>
      </c>
      <c r="E3227" s="633">
        <v>0.19800000000000001</v>
      </c>
      <c r="F3227" s="633">
        <v>0.12</v>
      </c>
      <c r="G3227" s="633">
        <v>0.112</v>
      </c>
    </row>
    <row r="3228" spans="1:7" ht="18.75" x14ac:dyDescent="0.25">
      <c r="A3228" s="629" t="s">
        <v>3067</v>
      </c>
      <c r="B3228" s="630">
        <v>124</v>
      </c>
      <c r="C3228" s="631" t="str">
        <f t="shared" si="54"/>
        <v>Ô tô vận tải thùng 7 tấn124</v>
      </c>
      <c r="D3228" s="633">
        <v>0.189</v>
      </c>
      <c r="E3228" s="633">
        <v>0.19800000000000001</v>
      </c>
      <c r="F3228" s="633">
        <v>0.12</v>
      </c>
      <c r="G3228" s="633">
        <v>0.112</v>
      </c>
    </row>
    <row r="3229" spans="1:7" ht="18.75" x14ac:dyDescent="0.25">
      <c r="A3229" s="629" t="s">
        <v>3067</v>
      </c>
      <c r="B3229" s="630">
        <v>125</v>
      </c>
      <c r="C3229" s="631" t="str">
        <f t="shared" si="54"/>
        <v>Ô tô vận tải thùng 7 tấn125</v>
      </c>
      <c r="D3229" s="633">
        <v>0.189</v>
      </c>
      <c r="E3229" s="633">
        <v>0.19800000000000001</v>
      </c>
      <c r="F3229" s="633">
        <v>0.12</v>
      </c>
      <c r="G3229" s="633">
        <v>0.112</v>
      </c>
    </row>
    <row r="3230" spans="1:7" ht="18.75" x14ac:dyDescent="0.25">
      <c r="A3230" s="629" t="s">
        <v>3067</v>
      </c>
      <c r="B3230" s="630">
        <v>126</v>
      </c>
      <c r="C3230" s="631" t="str">
        <f t="shared" si="54"/>
        <v>Ô tô vận tải thùng 7 tấn126</v>
      </c>
      <c r="D3230" s="633">
        <v>0.189</v>
      </c>
      <c r="E3230" s="633">
        <v>0.19800000000000001</v>
      </c>
      <c r="F3230" s="633">
        <v>0.12</v>
      </c>
      <c r="G3230" s="633">
        <v>0.112</v>
      </c>
    </row>
    <row r="3231" spans="1:7" ht="18.75" x14ac:dyDescent="0.25">
      <c r="A3231" s="629" t="s">
        <v>3067</v>
      </c>
      <c r="B3231" s="630">
        <v>127</v>
      </c>
      <c r="C3231" s="631" t="str">
        <f t="shared" si="54"/>
        <v>Ô tô vận tải thùng 7 tấn127</v>
      </c>
      <c r="D3231" s="633">
        <v>0.189</v>
      </c>
      <c r="E3231" s="633">
        <v>0.19800000000000001</v>
      </c>
      <c r="F3231" s="633">
        <v>0.12</v>
      </c>
      <c r="G3231" s="633">
        <v>0.112</v>
      </c>
    </row>
    <row r="3232" spans="1:7" ht="18.75" x14ac:dyDescent="0.25">
      <c r="A3232" s="629" t="s">
        <v>3067</v>
      </c>
      <c r="B3232" s="630">
        <v>128</v>
      </c>
      <c r="C3232" s="631" t="str">
        <f t="shared" si="54"/>
        <v>Ô tô vận tải thùng 7 tấn128</v>
      </c>
      <c r="D3232" s="633">
        <v>0.189</v>
      </c>
      <c r="E3232" s="633">
        <v>0.19800000000000001</v>
      </c>
      <c r="F3232" s="633">
        <v>0.12</v>
      </c>
      <c r="G3232" s="633">
        <v>0.112</v>
      </c>
    </row>
    <row r="3233" spans="1:7" ht="18.75" x14ac:dyDescent="0.25">
      <c r="A3233" s="629" t="s">
        <v>3067</v>
      </c>
      <c r="B3233" s="630">
        <v>129</v>
      </c>
      <c r="C3233" s="631" t="str">
        <f t="shared" si="54"/>
        <v>Ô tô vận tải thùng 7 tấn129</v>
      </c>
      <c r="D3233" s="633">
        <v>0.189</v>
      </c>
      <c r="E3233" s="633">
        <v>0.19800000000000001</v>
      </c>
      <c r="F3233" s="633">
        <v>0.12</v>
      </c>
      <c r="G3233" s="633">
        <v>0.112</v>
      </c>
    </row>
    <row r="3234" spans="1:7" ht="18.75" x14ac:dyDescent="0.25">
      <c r="A3234" s="629" t="s">
        <v>3067</v>
      </c>
      <c r="B3234" s="630">
        <v>130</v>
      </c>
      <c r="C3234" s="631" t="str">
        <f t="shared" ref="C3234:C3297" si="55">A3234&amp;B3234</f>
        <v>Ô tô vận tải thùng 7 tấn130</v>
      </c>
      <c r="D3234" s="633">
        <v>0.189</v>
      </c>
      <c r="E3234" s="633">
        <v>0.19800000000000001</v>
      </c>
      <c r="F3234" s="633">
        <v>0.12</v>
      </c>
      <c r="G3234" s="633">
        <v>0.112</v>
      </c>
    </row>
    <row r="3235" spans="1:7" ht="18.75" x14ac:dyDescent="0.25">
      <c r="A3235" s="629" t="s">
        <v>3067</v>
      </c>
      <c r="B3235" s="630">
        <v>131</v>
      </c>
      <c r="C3235" s="631" t="str">
        <f t="shared" si="55"/>
        <v>Ô tô vận tải thùng 7 tấn131</v>
      </c>
      <c r="D3235" s="633">
        <v>0.189</v>
      </c>
      <c r="E3235" s="633">
        <v>0.19800000000000001</v>
      </c>
      <c r="F3235" s="633">
        <v>0.12</v>
      </c>
      <c r="G3235" s="633">
        <v>0.112</v>
      </c>
    </row>
    <row r="3236" spans="1:7" ht="18.75" x14ac:dyDescent="0.25">
      <c r="A3236" s="629" t="s">
        <v>3067</v>
      </c>
      <c r="B3236" s="630">
        <v>132</v>
      </c>
      <c r="C3236" s="631" t="str">
        <f t="shared" si="55"/>
        <v>Ô tô vận tải thùng 7 tấn132</v>
      </c>
      <c r="D3236" s="633">
        <v>0.189</v>
      </c>
      <c r="E3236" s="633">
        <v>0.19800000000000001</v>
      </c>
      <c r="F3236" s="633">
        <v>0.12</v>
      </c>
      <c r="G3236" s="633">
        <v>0.112</v>
      </c>
    </row>
    <row r="3237" spans="1:7" ht="18.75" x14ac:dyDescent="0.25">
      <c r="A3237" s="629" t="s">
        <v>3067</v>
      </c>
      <c r="B3237" s="630">
        <v>133</v>
      </c>
      <c r="C3237" s="631" t="str">
        <f t="shared" si="55"/>
        <v>Ô tô vận tải thùng 7 tấn133</v>
      </c>
      <c r="D3237" s="633">
        <v>0.189</v>
      </c>
      <c r="E3237" s="633">
        <v>0.19800000000000001</v>
      </c>
      <c r="F3237" s="633">
        <v>0.12</v>
      </c>
      <c r="G3237" s="633">
        <v>0.112</v>
      </c>
    </row>
    <row r="3238" spans="1:7" ht="18.75" x14ac:dyDescent="0.25">
      <c r="A3238" s="629" t="s">
        <v>3067</v>
      </c>
      <c r="B3238" s="630">
        <v>134</v>
      </c>
      <c r="C3238" s="631" t="str">
        <f t="shared" si="55"/>
        <v>Ô tô vận tải thùng 7 tấn134</v>
      </c>
      <c r="D3238" s="633">
        <v>0.189</v>
      </c>
      <c r="E3238" s="633">
        <v>0.19800000000000001</v>
      </c>
      <c r="F3238" s="633">
        <v>0.12</v>
      </c>
      <c r="G3238" s="633">
        <v>0.112</v>
      </c>
    </row>
    <row r="3239" spans="1:7" ht="18.75" x14ac:dyDescent="0.25">
      <c r="A3239" s="629" t="s">
        <v>3067</v>
      </c>
      <c r="B3239" s="630">
        <v>135</v>
      </c>
      <c r="C3239" s="631" t="str">
        <f t="shared" si="55"/>
        <v>Ô tô vận tải thùng 7 tấn135</v>
      </c>
      <c r="D3239" s="633">
        <v>0.189</v>
      </c>
      <c r="E3239" s="633">
        <v>0.19800000000000001</v>
      </c>
      <c r="F3239" s="633">
        <v>0.12</v>
      </c>
      <c r="G3239" s="633">
        <v>0.112</v>
      </c>
    </row>
    <row r="3240" spans="1:7" ht="18.75" x14ac:dyDescent="0.25">
      <c r="A3240" s="629" t="s">
        <v>3067</v>
      </c>
      <c r="B3240" s="630">
        <v>136</v>
      </c>
      <c r="C3240" s="631" t="str">
        <f t="shared" si="55"/>
        <v>Ô tô vận tải thùng 7 tấn136</v>
      </c>
      <c r="D3240" s="633">
        <v>0.189</v>
      </c>
      <c r="E3240" s="633">
        <v>0.19800000000000001</v>
      </c>
      <c r="F3240" s="633">
        <v>0.12</v>
      </c>
      <c r="G3240" s="633">
        <v>0.112</v>
      </c>
    </row>
    <row r="3241" spans="1:7" ht="18.75" x14ac:dyDescent="0.25">
      <c r="A3241" s="629" t="s">
        <v>3067</v>
      </c>
      <c r="B3241" s="630">
        <v>137</v>
      </c>
      <c r="C3241" s="631" t="str">
        <f t="shared" si="55"/>
        <v>Ô tô vận tải thùng 7 tấn137</v>
      </c>
      <c r="D3241" s="633">
        <v>0.189</v>
      </c>
      <c r="E3241" s="633">
        <v>0.19800000000000001</v>
      </c>
      <c r="F3241" s="633">
        <v>0.12</v>
      </c>
      <c r="G3241" s="633">
        <v>0.112</v>
      </c>
    </row>
    <row r="3242" spans="1:7" ht="18.75" x14ac:dyDescent="0.25">
      <c r="A3242" s="629" t="s">
        <v>3067</v>
      </c>
      <c r="B3242" s="630">
        <v>138</v>
      </c>
      <c r="C3242" s="631" t="str">
        <f t="shared" si="55"/>
        <v>Ô tô vận tải thùng 7 tấn138</v>
      </c>
      <c r="D3242" s="633">
        <v>0.189</v>
      </c>
      <c r="E3242" s="633">
        <v>0.19800000000000001</v>
      </c>
      <c r="F3242" s="633">
        <v>0.12</v>
      </c>
      <c r="G3242" s="633">
        <v>0.112</v>
      </c>
    </row>
    <row r="3243" spans="1:7" ht="18.75" x14ac:dyDescent="0.25">
      <c r="A3243" s="629" t="s">
        <v>3067</v>
      </c>
      <c r="B3243" s="630">
        <v>139</v>
      </c>
      <c r="C3243" s="631" t="str">
        <f t="shared" si="55"/>
        <v>Ô tô vận tải thùng 7 tấn139</v>
      </c>
      <c r="D3243" s="633">
        <v>0.189</v>
      </c>
      <c r="E3243" s="633">
        <v>0.19800000000000001</v>
      </c>
      <c r="F3243" s="633">
        <v>0.12</v>
      </c>
      <c r="G3243" s="633">
        <v>0.112</v>
      </c>
    </row>
    <row r="3244" spans="1:7" ht="18.75" x14ac:dyDescent="0.25">
      <c r="A3244" s="629" t="s">
        <v>3067</v>
      </c>
      <c r="B3244" s="630">
        <v>140</v>
      </c>
      <c r="C3244" s="631" t="str">
        <f t="shared" si="55"/>
        <v>Ô tô vận tải thùng 7 tấn140</v>
      </c>
      <c r="D3244" s="633">
        <v>0.189</v>
      </c>
      <c r="E3244" s="633">
        <v>0.19800000000000001</v>
      </c>
      <c r="F3244" s="633">
        <v>0.12</v>
      </c>
      <c r="G3244" s="633">
        <v>0.112</v>
      </c>
    </row>
    <row r="3245" spans="1:7" ht="18.75" x14ac:dyDescent="0.25">
      <c r="A3245" s="629" t="s">
        <v>3067</v>
      </c>
      <c r="B3245" s="630">
        <v>141</v>
      </c>
      <c r="C3245" s="631" t="str">
        <f t="shared" si="55"/>
        <v>Ô tô vận tải thùng 7 tấn141</v>
      </c>
      <c r="D3245" s="633">
        <v>0.189</v>
      </c>
      <c r="E3245" s="633">
        <v>0.19800000000000001</v>
      </c>
      <c r="F3245" s="633">
        <v>0.12</v>
      </c>
      <c r="G3245" s="633">
        <v>0.112</v>
      </c>
    </row>
    <row r="3246" spans="1:7" ht="18.75" x14ac:dyDescent="0.25">
      <c r="A3246" s="629" t="s">
        <v>3067</v>
      </c>
      <c r="B3246" s="630">
        <v>142</v>
      </c>
      <c r="C3246" s="631" t="str">
        <f t="shared" si="55"/>
        <v>Ô tô vận tải thùng 7 tấn142</v>
      </c>
      <c r="D3246" s="633">
        <v>0.189</v>
      </c>
      <c r="E3246" s="633">
        <v>0.19800000000000001</v>
      </c>
      <c r="F3246" s="633">
        <v>0.12</v>
      </c>
      <c r="G3246" s="633">
        <v>0.112</v>
      </c>
    </row>
    <row r="3247" spans="1:7" ht="18.75" x14ac:dyDescent="0.25">
      <c r="A3247" s="629" t="s">
        <v>3067</v>
      </c>
      <c r="B3247" s="630">
        <v>143</v>
      </c>
      <c r="C3247" s="631" t="str">
        <f t="shared" si="55"/>
        <v>Ô tô vận tải thùng 7 tấn143</v>
      </c>
      <c r="D3247" s="633">
        <v>0.189</v>
      </c>
      <c r="E3247" s="633">
        <v>0.19800000000000001</v>
      </c>
      <c r="F3247" s="633">
        <v>0.12</v>
      </c>
      <c r="G3247" s="633">
        <v>0.112</v>
      </c>
    </row>
    <row r="3248" spans="1:7" ht="18.75" x14ac:dyDescent="0.25">
      <c r="A3248" s="629" t="s">
        <v>3067</v>
      </c>
      <c r="B3248" s="630">
        <v>144</v>
      </c>
      <c r="C3248" s="631" t="str">
        <f t="shared" si="55"/>
        <v>Ô tô vận tải thùng 7 tấn144</v>
      </c>
      <c r="D3248" s="633">
        <v>0.189</v>
      </c>
      <c r="E3248" s="633">
        <v>0.19800000000000001</v>
      </c>
      <c r="F3248" s="633">
        <v>0.12</v>
      </c>
      <c r="G3248" s="633">
        <v>0.112</v>
      </c>
    </row>
    <row r="3249" spans="1:7" ht="18.75" x14ac:dyDescent="0.25">
      <c r="A3249" s="629" t="s">
        <v>3067</v>
      </c>
      <c r="B3249" s="630">
        <v>145</v>
      </c>
      <c r="C3249" s="631" t="str">
        <f t="shared" si="55"/>
        <v>Ô tô vận tải thùng 7 tấn145</v>
      </c>
      <c r="D3249" s="633">
        <v>0.189</v>
      </c>
      <c r="E3249" s="633">
        <v>0.19800000000000001</v>
      </c>
      <c r="F3249" s="633">
        <v>0.12</v>
      </c>
      <c r="G3249" s="633">
        <v>0.112</v>
      </c>
    </row>
    <row r="3250" spans="1:7" ht="18.75" x14ac:dyDescent="0.25">
      <c r="A3250" s="629" t="s">
        <v>3067</v>
      </c>
      <c r="B3250" s="630">
        <v>146</v>
      </c>
      <c r="C3250" s="631" t="str">
        <f t="shared" si="55"/>
        <v>Ô tô vận tải thùng 7 tấn146</v>
      </c>
      <c r="D3250" s="633">
        <v>0.189</v>
      </c>
      <c r="E3250" s="633">
        <v>0.19800000000000001</v>
      </c>
      <c r="F3250" s="633">
        <v>0.12</v>
      </c>
      <c r="G3250" s="633">
        <v>0.112</v>
      </c>
    </row>
    <row r="3251" spans="1:7" ht="18.75" x14ac:dyDescent="0.25">
      <c r="A3251" s="629" t="s">
        <v>3067</v>
      </c>
      <c r="B3251" s="630">
        <v>147</v>
      </c>
      <c r="C3251" s="631" t="str">
        <f t="shared" si="55"/>
        <v>Ô tô vận tải thùng 7 tấn147</v>
      </c>
      <c r="D3251" s="633">
        <v>0.189</v>
      </c>
      <c r="E3251" s="633">
        <v>0.19800000000000001</v>
      </c>
      <c r="F3251" s="633">
        <v>0.12</v>
      </c>
      <c r="G3251" s="633">
        <v>0.112</v>
      </c>
    </row>
    <row r="3252" spans="1:7" ht="18.75" x14ac:dyDescent="0.25">
      <c r="A3252" s="629" t="s">
        <v>3067</v>
      </c>
      <c r="B3252" s="630">
        <v>148</v>
      </c>
      <c r="C3252" s="631" t="str">
        <f t="shared" si="55"/>
        <v>Ô tô vận tải thùng 7 tấn148</v>
      </c>
      <c r="D3252" s="633">
        <v>0.189</v>
      </c>
      <c r="E3252" s="633">
        <v>0.19800000000000001</v>
      </c>
      <c r="F3252" s="633">
        <v>0.12</v>
      </c>
      <c r="G3252" s="633">
        <v>0.112</v>
      </c>
    </row>
    <row r="3253" spans="1:7" ht="18.75" x14ac:dyDescent="0.25">
      <c r="A3253" s="629" t="s">
        <v>3067</v>
      </c>
      <c r="B3253" s="630">
        <v>149</v>
      </c>
      <c r="C3253" s="631" t="str">
        <f t="shared" si="55"/>
        <v>Ô tô vận tải thùng 7 tấn149</v>
      </c>
      <c r="D3253" s="633">
        <v>0.189</v>
      </c>
      <c r="E3253" s="633">
        <v>0.19800000000000001</v>
      </c>
      <c r="F3253" s="633">
        <v>0.12</v>
      </c>
      <c r="G3253" s="633">
        <v>0.112</v>
      </c>
    </row>
    <row r="3254" spans="1:7" ht="18.75" x14ac:dyDescent="0.25">
      <c r="A3254" s="629" t="s">
        <v>3067</v>
      </c>
      <c r="B3254" s="630">
        <v>150</v>
      </c>
      <c r="C3254" s="631" t="str">
        <f t="shared" si="55"/>
        <v>Ô tô vận tải thùng 7 tấn150</v>
      </c>
      <c r="D3254" s="633">
        <v>0.189</v>
      </c>
      <c r="E3254" s="633">
        <v>0.19800000000000001</v>
      </c>
      <c r="F3254" s="633">
        <v>0.12</v>
      </c>
      <c r="G3254" s="633">
        <v>0.112</v>
      </c>
    </row>
    <row r="3255" spans="1:7" ht="18.75" x14ac:dyDescent="0.25">
      <c r="A3255" s="629" t="s">
        <v>3067</v>
      </c>
      <c r="B3255" s="630">
        <v>151</v>
      </c>
      <c r="C3255" s="631" t="str">
        <f t="shared" si="55"/>
        <v>Ô tô vận tải thùng 7 tấn151</v>
      </c>
      <c r="D3255" s="633">
        <v>0.189</v>
      </c>
      <c r="E3255" s="633">
        <v>0.19800000000000001</v>
      </c>
      <c r="F3255" s="633">
        <v>0.12</v>
      </c>
      <c r="G3255" s="633">
        <v>0.112</v>
      </c>
    </row>
    <row r="3256" spans="1:7" ht="18.75" x14ac:dyDescent="0.25">
      <c r="A3256" s="629" t="s">
        <v>3067</v>
      </c>
      <c r="B3256" s="630">
        <v>152</v>
      </c>
      <c r="C3256" s="631" t="str">
        <f t="shared" si="55"/>
        <v>Ô tô vận tải thùng 7 tấn152</v>
      </c>
      <c r="D3256" s="633">
        <v>0.189</v>
      </c>
      <c r="E3256" s="633">
        <v>0.19800000000000001</v>
      </c>
      <c r="F3256" s="633">
        <v>0.12</v>
      </c>
      <c r="G3256" s="633">
        <v>0.112</v>
      </c>
    </row>
    <row r="3257" spans="1:7" ht="18.75" x14ac:dyDescent="0.25">
      <c r="A3257" s="629" t="s">
        <v>3067</v>
      </c>
      <c r="B3257" s="630">
        <v>153</v>
      </c>
      <c r="C3257" s="631" t="str">
        <f t="shared" si="55"/>
        <v>Ô tô vận tải thùng 7 tấn153</v>
      </c>
      <c r="D3257" s="633">
        <v>0.189</v>
      </c>
      <c r="E3257" s="633">
        <v>0.19800000000000001</v>
      </c>
      <c r="F3257" s="633">
        <v>0.12</v>
      </c>
      <c r="G3257" s="633">
        <v>0.112</v>
      </c>
    </row>
    <row r="3258" spans="1:7" ht="18.75" x14ac:dyDescent="0.25">
      <c r="A3258" s="629" t="s">
        <v>3067</v>
      </c>
      <c r="B3258" s="630">
        <v>154</v>
      </c>
      <c r="C3258" s="631" t="str">
        <f t="shared" si="55"/>
        <v>Ô tô vận tải thùng 7 tấn154</v>
      </c>
      <c r="D3258" s="633">
        <v>0.189</v>
      </c>
      <c r="E3258" s="633">
        <v>0.19800000000000001</v>
      </c>
      <c r="F3258" s="633">
        <v>0.12</v>
      </c>
      <c r="G3258" s="633">
        <v>0.112</v>
      </c>
    </row>
    <row r="3259" spans="1:7" ht="18.75" x14ac:dyDescent="0.25">
      <c r="A3259" s="629" t="s">
        <v>3067</v>
      </c>
      <c r="B3259" s="630">
        <v>155</v>
      </c>
      <c r="C3259" s="631" t="str">
        <f t="shared" si="55"/>
        <v>Ô tô vận tải thùng 7 tấn155</v>
      </c>
      <c r="D3259" s="633">
        <v>0.189</v>
      </c>
      <c r="E3259" s="633">
        <v>0.19800000000000001</v>
      </c>
      <c r="F3259" s="633">
        <v>0.12</v>
      </c>
      <c r="G3259" s="633">
        <v>0.112</v>
      </c>
    </row>
    <row r="3260" spans="1:7" ht="18.75" x14ac:dyDescent="0.25">
      <c r="A3260" s="629" t="s">
        <v>3067</v>
      </c>
      <c r="B3260" s="630">
        <v>156</v>
      </c>
      <c r="C3260" s="631" t="str">
        <f t="shared" si="55"/>
        <v>Ô tô vận tải thùng 7 tấn156</v>
      </c>
      <c r="D3260" s="633">
        <v>0.189</v>
      </c>
      <c r="E3260" s="633">
        <v>0.19800000000000001</v>
      </c>
      <c r="F3260" s="633">
        <v>0.12</v>
      </c>
      <c r="G3260" s="633">
        <v>0.112</v>
      </c>
    </row>
    <row r="3261" spans="1:7" ht="18.75" x14ac:dyDescent="0.25">
      <c r="A3261" s="629" t="s">
        <v>3067</v>
      </c>
      <c r="B3261" s="630">
        <v>157</v>
      </c>
      <c r="C3261" s="631" t="str">
        <f t="shared" si="55"/>
        <v>Ô tô vận tải thùng 7 tấn157</v>
      </c>
      <c r="D3261" s="633">
        <v>0.189</v>
      </c>
      <c r="E3261" s="633">
        <v>0.19800000000000001</v>
      </c>
      <c r="F3261" s="633">
        <v>0.12</v>
      </c>
      <c r="G3261" s="633">
        <v>0.112</v>
      </c>
    </row>
    <row r="3262" spans="1:7" ht="18.75" x14ac:dyDescent="0.25">
      <c r="A3262" s="629" t="s">
        <v>3067</v>
      </c>
      <c r="B3262" s="630">
        <v>158</v>
      </c>
      <c r="C3262" s="631" t="str">
        <f t="shared" si="55"/>
        <v>Ô tô vận tải thùng 7 tấn158</v>
      </c>
      <c r="D3262" s="633">
        <v>0.189</v>
      </c>
      <c r="E3262" s="633">
        <v>0.19800000000000001</v>
      </c>
      <c r="F3262" s="633">
        <v>0.12</v>
      </c>
      <c r="G3262" s="633">
        <v>0.112</v>
      </c>
    </row>
    <row r="3263" spans="1:7" ht="18.75" x14ac:dyDescent="0.25">
      <c r="A3263" s="629" t="s">
        <v>3067</v>
      </c>
      <c r="B3263" s="630">
        <v>159</v>
      </c>
      <c r="C3263" s="631" t="str">
        <f t="shared" si="55"/>
        <v>Ô tô vận tải thùng 7 tấn159</v>
      </c>
      <c r="D3263" s="633">
        <v>0.189</v>
      </c>
      <c r="E3263" s="633">
        <v>0.19800000000000001</v>
      </c>
      <c r="F3263" s="633">
        <v>0.12</v>
      </c>
      <c r="G3263" s="633">
        <v>0.112</v>
      </c>
    </row>
    <row r="3264" spans="1:7" ht="18.75" x14ac:dyDescent="0.25">
      <c r="A3264" s="629" t="s">
        <v>3067</v>
      </c>
      <c r="B3264" s="630">
        <v>160</v>
      </c>
      <c r="C3264" s="631" t="str">
        <f t="shared" si="55"/>
        <v>Ô tô vận tải thùng 7 tấn160</v>
      </c>
      <c r="D3264" s="633">
        <v>0.189</v>
      </c>
      <c r="E3264" s="633">
        <v>0.19800000000000001</v>
      </c>
      <c r="F3264" s="633">
        <v>0.12</v>
      </c>
      <c r="G3264" s="633">
        <v>0.112</v>
      </c>
    </row>
    <row r="3265" spans="1:7" ht="18.75" x14ac:dyDescent="0.25">
      <c r="A3265" s="629" t="s">
        <v>3067</v>
      </c>
      <c r="B3265" s="630">
        <v>161</v>
      </c>
      <c r="C3265" s="631" t="str">
        <f t="shared" si="55"/>
        <v>Ô tô vận tải thùng 7 tấn161</v>
      </c>
      <c r="D3265" s="633">
        <v>0.189</v>
      </c>
      <c r="E3265" s="633">
        <v>0.19800000000000001</v>
      </c>
      <c r="F3265" s="633">
        <v>0.12</v>
      </c>
      <c r="G3265" s="633">
        <v>0.112</v>
      </c>
    </row>
    <row r="3266" spans="1:7" ht="18.75" x14ac:dyDescent="0.25">
      <c r="A3266" s="629" t="s">
        <v>3067</v>
      </c>
      <c r="B3266" s="630">
        <v>162</v>
      </c>
      <c r="C3266" s="631" t="str">
        <f t="shared" si="55"/>
        <v>Ô tô vận tải thùng 7 tấn162</v>
      </c>
      <c r="D3266" s="633">
        <v>0.189</v>
      </c>
      <c r="E3266" s="633">
        <v>0.19800000000000001</v>
      </c>
      <c r="F3266" s="633">
        <v>0.12</v>
      </c>
      <c r="G3266" s="633">
        <v>0.112</v>
      </c>
    </row>
    <row r="3267" spans="1:7" ht="18.75" x14ac:dyDescent="0.25">
      <c r="A3267" s="629" t="s">
        <v>3067</v>
      </c>
      <c r="B3267" s="630">
        <v>163</v>
      </c>
      <c r="C3267" s="631" t="str">
        <f t="shared" si="55"/>
        <v>Ô tô vận tải thùng 7 tấn163</v>
      </c>
      <c r="D3267" s="633">
        <v>0.189</v>
      </c>
      <c r="E3267" s="633">
        <v>0.19800000000000001</v>
      </c>
      <c r="F3267" s="633">
        <v>0.12</v>
      </c>
      <c r="G3267" s="633">
        <v>0.112</v>
      </c>
    </row>
    <row r="3268" spans="1:7" ht="18.75" x14ac:dyDescent="0.25">
      <c r="A3268" s="629" t="s">
        <v>3067</v>
      </c>
      <c r="B3268" s="630">
        <v>164</v>
      </c>
      <c r="C3268" s="631" t="str">
        <f t="shared" si="55"/>
        <v>Ô tô vận tải thùng 7 tấn164</v>
      </c>
      <c r="D3268" s="633">
        <v>0.189</v>
      </c>
      <c r="E3268" s="633">
        <v>0.19800000000000001</v>
      </c>
      <c r="F3268" s="633">
        <v>0.12</v>
      </c>
      <c r="G3268" s="633">
        <v>0.112</v>
      </c>
    </row>
    <row r="3269" spans="1:7" ht="18.75" x14ac:dyDescent="0.25">
      <c r="A3269" s="629" t="s">
        <v>3067</v>
      </c>
      <c r="B3269" s="630">
        <v>165</v>
      </c>
      <c r="C3269" s="631" t="str">
        <f t="shared" si="55"/>
        <v>Ô tô vận tải thùng 7 tấn165</v>
      </c>
      <c r="D3269" s="633">
        <v>0.189</v>
      </c>
      <c r="E3269" s="633">
        <v>0.19800000000000001</v>
      </c>
      <c r="F3269" s="633">
        <v>0.12</v>
      </c>
      <c r="G3269" s="633">
        <v>0.112</v>
      </c>
    </row>
    <row r="3270" spans="1:7" ht="18.75" x14ac:dyDescent="0.25">
      <c r="A3270" s="629" t="s">
        <v>3067</v>
      </c>
      <c r="B3270" s="630">
        <v>166</v>
      </c>
      <c r="C3270" s="631" t="str">
        <f t="shared" si="55"/>
        <v>Ô tô vận tải thùng 7 tấn166</v>
      </c>
      <c r="D3270" s="633">
        <v>0.189</v>
      </c>
      <c r="E3270" s="633">
        <v>0.19800000000000001</v>
      </c>
      <c r="F3270" s="633">
        <v>0.12</v>
      </c>
      <c r="G3270" s="633">
        <v>0.112</v>
      </c>
    </row>
    <row r="3271" spans="1:7" ht="18.75" x14ac:dyDescent="0.25">
      <c r="A3271" s="629" t="s">
        <v>3067</v>
      </c>
      <c r="B3271" s="630">
        <v>167</v>
      </c>
      <c r="C3271" s="631" t="str">
        <f t="shared" si="55"/>
        <v>Ô tô vận tải thùng 7 tấn167</v>
      </c>
      <c r="D3271" s="633">
        <v>0.189</v>
      </c>
      <c r="E3271" s="633">
        <v>0.19800000000000001</v>
      </c>
      <c r="F3271" s="633">
        <v>0.12</v>
      </c>
      <c r="G3271" s="633">
        <v>0.112</v>
      </c>
    </row>
    <row r="3272" spans="1:7" ht="18.75" x14ac:dyDescent="0.25">
      <c r="A3272" s="629" t="s">
        <v>3067</v>
      </c>
      <c r="B3272" s="630">
        <v>168</v>
      </c>
      <c r="C3272" s="631" t="str">
        <f t="shared" si="55"/>
        <v>Ô tô vận tải thùng 7 tấn168</v>
      </c>
      <c r="D3272" s="633">
        <v>0.189</v>
      </c>
      <c r="E3272" s="633">
        <v>0.19800000000000001</v>
      </c>
      <c r="F3272" s="633">
        <v>0.12</v>
      </c>
      <c r="G3272" s="633">
        <v>0.112</v>
      </c>
    </row>
    <row r="3273" spans="1:7" ht="18.75" x14ac:dyDescent="0.25">
      <c r="A3273" s="629" t="s">
        <v>3067</v>
      </c>
      <c r="B3273" s="630">
        <v>169</v>
      </c>
      <c r="C3273" s="631" t="str">
        <f t="shared" si="55"/>
        <v>Ô tô vận tải thùng 7 tấn169</v>
      </c>
      <c r="D3273" s="633">
        <v>0.189</v>
      </c>
      <c r="E3273" s="633">
        <v>0.19800000000000001</v>
      </c>
      <c r="F3273" s="633">
        <v>0.12</v>
      </c>
      <c r="G3273" s="633">
        <v>0.112</v>
      </c>
    </row>
    <row r="3274" spans="1:7" ht="18.75" x14ac:dyDescent="0.25">
      <c r="A3274" s="629" t="s">
        <v>3067</v>
      </c>
      <c r="B3274" s="630">
        <v>170</v>
      </c>
      <c r="C3274" s="631" t="str">
        <f t="shared" si="55"/>
        <v>Ô tô vận tải thùng 7 tấn170</v>
      </c>
      <c r="D3274" s="633">
        <v>0.189</v>
      </c>
      <c r="E3274" s="633">
        <v>0.19800000000000001</v>
      </c>
      <c r="F3274" s="633">
        <v>0.12</v>
      </c>
      <c r="G3274" s="633">
        <v>0.112</v>
      </c>
    </row>
    <row r="3275" spans="1:7" ht="18.75" x14ac:dyDescent="0.25">
      <c r="A3275" s="629" t="s">
        <v>3067</v>
      </c>
      <c r="B3275" s="630">
        <v>171</v>
      </c>
      <c r="C3275" s="631" t="str">
        <f t="shared" si="55"/>
        <v>Ô tô vận tải thùng 7 tấn171</v>
      </c>
      <c r="D3275" s="633">
        <v>0.189</v>
      </c>
      <c r="E3275" s="633">
        <v>0.19800000000000001</v>
      </c>
      <c r="F3275" s="633">
        <v>0.12</v>
      </c>
      <c r="G3275" s="633">
        <v>0.112</v>
      </c>
    </row>
    <row r="3276" spans="1:7" ht="18.75" x14ac:dyDescent="0.25">
      <c r="A3276" s="629" t="s">
        <v>3067</v>
      </c>
      <c r="B3276" s="630">
        <v>172</v>
      </c>
      <c r="C3276" s="631" t="str">
        <f t="shared" si="55"/>
        <v>Ô tô vận tải thùng 7 tấn172</v>
      </c>
      <c r="D3276" s="633">
        <v>0.189</v>
      </c>
      <c r="E3276" s="633">
        <v>0.19800000000000001</v>
      </c>
      <c r="F3276" s="633">
        <v>0.12</v>
      </c>
      <c r="G3276" s="633">
        <v>0.112</v>
      </c>
    </row>
    <row r="3277" spans="1:7" ht="18.75" x14ac:dyDescent="0.25">
      <c r="A3277" s="629" t="s">
        <v>3067</v>
      </c>
      <c r="B3277" s="630">
        <v>173</v>
      </c>
      <c r="C3277" s="631" t="str">
        <f t="shared" si="55"/>
        <v>Ô tô vận tải thùng 7 tấn173</v>
      </c>
      <c r="D3277" s="633">
        <v>0.189</v>
      </c>
      <c r="E3277" s="633">
        <v>0.19800000000000001</v>
      </c>
      <c r="F3277" s="633">
        <v>0.12</v>
      </c>
      <c r="G3277" s="633">
        <v>0.112</v>
      </c>
    </row>
    <row r="3278" spans="1:7" ht="18.75" x14ac:dyDescent="0.25">
      <c r="A3278" s="629" t="s">
        <v>3067</v>
      </c>
      <c r="B3278" s="630">
        <v>174</v>
      </c>
      <c r="C3278" s="631" t="str">
        <f t="shared" si="55"/>
        <v>Ô tô vận tải thùng 7 tấn174</v>
      </c>
      <c r="D3278" s="633">
        <v>0.189</v>
      </c>
      <c r="E3278" s="633">
        <v>0.19800000000000001</v>
      </c>
      <c r="F3278" s="633">
        <v>0.12</v>
      </c>
      <c r="G3278" s="633">
        <v>0.112</v>
      </c>
    </row>
    <row r="3279" spans="1:7" ht="18.75" x14ac:dyDescent="0.25">
      <c r="A3279" s="629" t="s">
        <v>3067</v>
      </c>
      <c r="B3279" s="630">
        <v>175</v>
      </c>
      <c r="C3279" s="631" t="str">
        <f t="shared" si="55"/>
        <v>Ô tô vận tải thùng 7 tấn175</v>
      </c>
      <c r="D3279" s="633">
        <v>0.189</v>
      </c>
      <c r="E3279" s="633">
        <v>0.19800000000000001</v>
      </c>
      <c r="F3279" s="633">
        <v>0.12</v>
      </c>
      <c r="G3279" s="633">
        <v>0.112</v>
      </c>
    </row>
    <row r="3280" spans="1:7" ht="18.75" x14ac:dyDescent="0.25">
      <c r="A3280" s="629" t="s">
        <v>3067</v>
      </c>
      <c r="B3280" s="630">
        <v>176</v>
      </c>
      <c r="C3280" s="631" t="str">
        <f t="shared" si="55"/>
        <v>Ô tô vận tải thùng 7 tấn176</v>
      </c>
      <c r="D3280" s="633">
        <v>0.189</v>
      </c>
      <c r="E3280" s="633">
        <v>0.19800000000000001</v>
      </c>
      <c r="F3280" s="633">
        <v>0.12</v>
      </c>
      <c r="G3280" s="633">
        <v>0.112</v>
      </c>
    </row>
    <row r="3281" spans="1:7" ht="18.75" x14ac:dyDescent="0.25">
      <c r="A3281" s="629" t="s">
        <v>3067</v>
      </c>
      <c r="B3281" s="630">
        <v>177</v>
      </c>
      <c r="C3281" s="631" t="str">
        <f t="shared" si="55"/>
        <v>Ô tô vận tải thùng 7 tấn177</v>
      </c>
      <c r="D3281" s="633">
        <v>0.189</v>
      </c>
      <c r="E3281" s="633">
        <v>0.19800000000000001</v>
      </c>
      <c r="F3281" s="633">
        <v>0.12</v>
      </c>
      <c r="G3281" s="633">
        <v>0.112</v>
      </c>
    </row>
    <row r="3282" spans="1:7" ht="18.75" x14ac:dyDescent="0.25">
      <c r="A3282" s="629" t="s">
        <v>3067</v>
      </c>
      <c r="B3282" s="630">
        <v>178</v>
      </c>
      <c r="C3282" s="631" t="str">
        <f t="shared" si="55"/>
        <v>Ô tô vận tải thùng 7 tấn178</v>
      </c>
      <c r="D3282" s="633">
        <v>0.189</v>
      </c>
      <c r="E3282" s="633">
        <v>0.19800000000000001</v>
      </c>
      <c r="F3282" s="633">
        <v>0.12</v>
      </c>
      <c r="G3282" s="633">
        <v>0.112</v>
      </c>
    </row>
    <row r="3283" spans="1:7" ht="18.75" x14ac:dyDescent="0.25">
      <c r="A3283" s="629" t="s">
        <v>3067</v>
      </c>
      <c r="B3283" s="630">
        <v>179</v>
      </c>
      <c r="C3283" s="631" t="str">
        <f t="shared" si="55"/>
        <v>Ô tô vận tải thùng 7 tấn179</v>
      </c>
      <c r="D3283" s="633">
        <v>0.189</v>
      </c>
      <c r="E3283" s="633">
        <v>0.19800000000000001</v>
      </c>
      <c r="F3283" s="633">
        <v>0.12</v>
      </c>
      <c r="G3283" s="633">
        <v>0.112</v>
      </c>
    </row>
    <row r="3284" spans="1:7" ht="18.75" x14ac:dyDescent="0.25">
      <c r="A3284" s="629" t="s">
        <v>3067</v>
      </c>
      <c r="B3284" s="630">
        <v>180</v>
      </c>
      <c r="C3284" s="631" t="str">
        <f t="shared" si="55"/>
        <v>Ô tô vận tải thùng 7 tấn180</v>
      </c>
      <c r="D3284" s="633">
        <v>0.189</v>
      </c>
      <c r="E3284" s="633">
        <v>0.19800000000000001</v>
      </c>
      <c r="F3284" s="633">
        <v>0.12</v>
      </c>
      <c r="G3284" s="633">
        <v>0.112</v>
      </c>
    </row>
    <row r="3285" spans="1:7" ht="18.75" x14ac:dyDescent="0.25">
      <c r="A3285" s="629" t="s">
        <v>3067</v>
      </c>
      <c r="B3285" s="630">
        <v>181</v>
      </c>
      <c r="C3285" s="631" t="str">
        <f t="shared" si="55"/>
        <v>Ô tô vận tải thùng 7 tấn181</v>
      </c>
      <c r="D3285" s="633">
        <v>0.189</v>
      </c>
      <c r="E3285" s="633">
        <v>0.19800000000000001</v>
      </c>
      <c r="F3285" s="633">
        <v>0.12</v>
      </c>
      <c r="G3285" s="633">
        <v>0.112</v>
      </c>
    </row>
    <row r="3286" spans="1:7" ht="18.75" x14ac:dyDescent="0.25">
      <c r="A3286" s="629" t="s">
        <v>3067</v>
      </c>
      <c r="B3286" s="630">
        <v>182</v>
      </c>
      <c r="C3286" s="631" t="str">
        <f t="shared" si="55"/>
        <v>Ô tô vận tải thùng 7 tấn182</v>
      </c>
      <c r="D3286" s="633">
        <v>0.189</v>
      </c>
      <c r="E3286" s="633">
        <v>0.19800000000000001</v>
      </c>
      <c r="F3286" s="633">
        <v>0.12</v>
      </c>
      <c r="G3286" s="633">
        <v>0.112</v>
      </c>
    </row>
    <row r="3287" spans="1:7" ht="18.75" x14ac:dyDescent="0.25">
      <c r="A3287" s="629" t="s">
        <v>3067</v>
      </c>
      <c r="B3287" s="630">
        <v>183</v>
      </c>
      <c r="C3287" s="631" t="str">
        <f t="shared" si="55"/>
        <v>Ô tô vận tải thùng 7 tấn183</v>
      </c>
      <c r="D3287" s="633">
        <v>0.189</v>
      </c>
      <c r="E3287" s="633">
        <v>0.19800000000000001</v>
      </c>
      <c r="F3287" s="633">
        <v>0.12</v>
      </c>
      <c r="G3287" s="633">
        <v>0.112</v>
      </c>
    </row>
    <row r="3288" spans="1:7" ht="18.75" x14ac:dyDescent="0.25">
      <c r="A3288" s="629" t="s">
        <v>3067</v>
      </c>
      <c r="B3288" s="630">
        <v>184</v>
      </c>
      <c r="C3288" s="631" t="str">
        <f t="shared" si="55"/>
        <v>Ô tô vận tải thùng 7 tấn184</v>
      </c>
      <c r="D3288" s="633">
        <v>0.189</v>
      </c>
      <c r="E3288" s="633">
        <v>0.19800000000000001</v>
      </c>
      <c r="F3288" s="633">
        <v>0.12</v>
      </c>
      <c r="G3288" s="633">
        <v>0.112</v>
      </c>
    </row>
    <row r="3289" spans="1:7" ht="18.75" x14ac:dyDescent="0.25">
      <c r="A3289" s="629" t="s">
        <v>3067</v>
      </c>
      <c r="B3289" s="630">
        <v>185</v>
      </c>
      <c r="C3289" s="631" t="str">
        <f t="shared" si="55"/>
        <v>Ô tô vận tải thùng 7 tấn185</v>
      </c>
      <c r="D3289" s="633">
        <v>0.189</v>
      </c>
      <c r="E3289" s="633">
        <v>0.19800000000000001</v>
      </c>
      <c r="F3289" s="633">
        <v>0.12</v>
      </c>
      <c r="G3289" s="633">
        <v>0.112</v>
      </c>
    </row>
    <row r="3290" spans="1:7" ht="18.75" x14ac:dyDescent="0.25">
      <c r="A3290" s="629" t="s">
        <v>3067</v>
      </c>
      <c r="B3290" s="630">
        <v>186</v>
      </c>
      <c r="C3290" s="631" t="str">
        <f t="shared" si="55"/>
        <v>Ô tô vận tải thùng 7 tấn186</v>
      </c>
      <c r="D3290" s="633">
        <v>0.189</v>
      </c>
      <c r="E3290" s="633">
        <v>0.19800000000000001</v>
      </c>
      <c r="F3290" s="633">
        <v>0.12</v>
      </c>
      <c r="G3290" s="633">
        <v>0.112</v>
      </c>
    </row>
    <row r="3291" spans="1:7" ht="18.75" x14ac:dyDescent="0.25">
      <c r="A3291" s="629" t="s">
        <v>3067</v>
      </c>
      <c r="B3291" s="630">
        <v>187</v>
      </c>
      <c r="C3291" s="631" t="str">
        <f t="shared" si="55"/>
        <v>Ô tô vận tải thùng 7 tấn187</v>
      </c>
      <c r="D3291" s="633">
        <v>0.189</v>
      </c>
      <c r="E3291" s="633">
        <v>0.19800000000000001</v>
      </c>
      <c r="F3291" s="633">
        <v>0.12</v>
      </c>
      <c r="G3291" s="633">
        <v>0.112</v>
      </c>
    </row>
    <row r="3292" spans="1:7" ht="18.75" x14ac:dyDescent="0.25">
      <c r="A3292" s="629" t="s">
        <v>3067</v>
      </c>
      <c r="B3292" s="630">
        <v>188</v>
      </c>
      <c r="C3292" s="631" t="str">
        <f t="shared" si="55"/>
        <v>Ô tô vận tải thùng 7 tấn188</v>
      </c>
      <c r="D3292" s="633">
        <v>0.189</v>
      </c>
      <c r="E3292" s="633">
        <v>0.19800000000000001</v>
      </c>
      <c r="F3292" s="633">
        <v>0.12</v>
      </c>
      <c r="G3292" s="633">
        <v>0.112</v>
      </c>
    </row>
    <row r="3293" spans="1:7" ht="18.75" x14ac:dyDescent="0.25">
      <c r="A3293" s="629" t="s">
        <v>3067</v>
      </c>
      <c r="B3293" s="630">
        <v>189</v>
      </c>
      <c r="C3293" s="631" t="str">
        <f t="shared" si="55"/>
        <v>Ô tô vận tải thùng 7 tấn189</v>
      </c>
      <c r="D3293" s="633">
        <v>0.189</v>
      </c>
      <c r="E3293" s="633">
        <v>0.19800000000000001</v>
      </c>
      <c r="F3293" s="633">
        <v>0.12</v>
      </c>
      <c r="G3293" s="633">
        <v>0.112</v>
      </c>
    </row>
    <row r="3294" spans="1:7" ht="18.75" x14ac:dyDescent="0.25">
      <c r="A3294" s="629" t="s">
        <v>3067</v>
      </c>
      <c r="B3294" s="630">
        <v>190</v>
      </c>
      <c r="C3294" s="631" t="str">
        <f t="shared" si="55"/>
        <v>Ô tô vận tải thùng 7 tấn190</v>
      </c>
      <c r="D3294" s="633">
        <v>0.189</v>
      </c>
      <c r="E3294" s="633">
        <v>0.19800000000000001</v>
      </c>
      <c r="F3294" s="633">
        <v>0.12</v>
      </c>
      <c r="G3294" s="633">
        <v>0.112</v>
      </c>
    </row>
    <row r="3295" spans="1:7" ht="18.75" x14ac:dyDescent="0.25">
      <c r="A3295" s="629" t="s">
        <v>3067</v>
      </c>
      <c r="B3295" s="630">
        <v>191</v>
      </c>
      <c r="C3295" s="631" t="str">
        <f t="shared" si="55"/>
        <v>Ô tô vận tải thùng 7 tấn191</v>
      </c>
      <c r="D3295" s="633">
        <v>0.189</v>
      </c>
      <c r="E3295" s="633">
        <v>0.19800000000000001</v>
      </c>
      <c r="F3295" s="633">
        <v>0.12</v>
      </c>
      <c r="G3295" s="633">
        <v>0.112</v>
      </c>
    </row>
    <row r="3296" spans="1:7" ht="18.75" x14ac:dyDescent="0.25">
      <c r="A3296" s="629" t="s">
        <v>3067</v>
      </c>
      <c r="B3296" s="630">
        <v>192</v>
      </c>
      <c r="C3296" s="631" t="str">
        <f t="shared" si="55"/>
        <v>Ô tô vận tải thùng 7 tấn192</v>
      </c>
      <c r="D3296" s="633">
        <v>0.189</v>
      </c>
      <c r="E3296" s="633">
        <v>0.19800000000000001</v>
      </c>
      <c r="F3296" s="633">
        <v>0.12</v>
      </c>
      <c r="G3296" s="633">
        <v>0.112</v>
      </c>
    </row>
    <row r="3297" spans="1:7" ht="18.75" x14ac:dyDescent="0.25">
      <c r="A3297" s="629" t="s">
        <v>3067</v>
      </c>
      <c r="B3297" s="630">
        <v>193</v>
      </c>
      <c r="C3297" s="631" t="str">
        <f t="shared" si="55"/>
        <v>Ô tô vận tải thùng 7 tấn193</v>
      </c>
      <c r="D3297" s="633">
        <v>0.189</v>
      </c>
      <c r="E3297" s="633">
        <v>0.19800000000000001</v>
      </c>
      <c r="F3297" s="633">
        <v>0.12</v>
      </c>
      <c r="G3297" s="633">
        <v>0.112</v>
      </c>
    </row>
    <row r="3298" spans="1:7" ht="18.75" x14ac:dyDescent="0.25">
      <c r="A3298" s="629" t="s">
        <v>3067</v>
      </c>
      <c r="B3298" s="630">
        <v>194</v>
      </c>
      <c r="C3298" s="631" t="str">
        <f t="shared" ref="C3298:C3361" si="56">A3298&amp;B3298</f>
        <v>Ô tô vận tải thùng 7 tấn194</v>
      </c>
      <c r="D3298" s="633">
        <v>0.189</v>
      </c>
      <c r="E3298" s="633">
        <v>0.19800000000000001</v>
      </c>
      <c r="F3298" s="633">
        <v>0.12</v>
      </c>
      <c r="G3298" s="633">
        <v>0.112</v>
      </c>
    </row>
    <row r="3299" spans="1:7" ht="18.75" x14ac:dyDescent="0.25">
      <c r="A3299" s="629" t="s">
        <v>3067</v>
      </c>
      <c r="B3299" s="630">
        <v>195</v>
      </c>
      <c r="C3299" s="631" t="str">
        <f t="shared" si="56"/>
        <v>Ô tô vận tải thùng 7 tấn195</v>
      </c>
      <c r="D3299" s="633">
        <v>0.189</v>
      </c>
      <c r="E3299" s="633">
        <v>0.19800000000000001</v>
      </c>
      <c r="F3299" s="633">
        <v>0.12</v>
      </c>
      <c r="G3299" s="633">
        <v>0.112</v>
      </c>
    </row>
    <row r="3300" spans="1:7" ht="18.75" x14ac:dyDescent="0.25">
      <c r="A3300" s="629" t="s">
        <v>3067</v>
      </c>
      <c r="B3300" s="630">
        <v>196</v>
      </c>
      <c r="C3300" s="631" t="str">
        <f t="shared" si="56"/>
        <v>Ô tô vận tải thùng 7 tấn196</v>
      </c>
      <c r="D3300" s="633">
        <v>0.189</v>
      </c>
      <c r="E3300" s="633">
        <v>0.19800000000000001</v>
      </c>
      <c r="F3300" s="633">
        <v>0.12</v>
      </c>
      <c r="G3300" s="633">
        <v>0.112</v>
      </c>
    </row>
    <row r="3301" spans="1:7" ht="18.75" x14ac:dyDescent="0.25">
      <c r="A3301" s="629" t="s">
        <v>3067</v>
      </c>
      <c r="B3301" s="630">
        <v>197</v>
      </c>
      <c r="C3301" s="631" t="str">
        <f t="shared" si="56"/>
        <v>Ô tô vận tải thùng 7 tấn197</v>
      </c>
      <c r="D3301" s="633">
        <v>0.189</v>
      </c>
      <c r="E3301" s="633">
        <v>0.19800000000000001</v>
      </c>
      <c r="F3301" s="633">
        <v>0.12</v>
      </c>
      <c r="G3301" s="633">
        <v>0.112</v>
      </c>
    </row>
    <row r="3302" spans="1:7" ht="18.75" x14ac:dyDescent="0.25">
      <c r="A3302" s="629" t="s">
        <v>3067</v>
      </c>
      <c r="B3302" s="630">
        <v>198</v>
      </c>
      <c r="C3302" s="631" t="str">
        <f t="shared" si="56"/>
        <v>Ô tô vận tải thùng 7 tấn198</v>
      </c>
      <c r="D3302" s="633">
        <v>0.189</v>
      </c>
      <c r="E3302" s="633">
        <v>0.19800000000000001</v>
      </c>
      <c r="F3302" s="633">
        <v>0.12</v>
      </c>
      <c r="G3302" s="633">
        <v>0.112</v>
      </c>
    </row>
    <row r="3303" spans="1:7" ht="18.75" x14ac:dyDescent="0.25">
      <c r="A3303" s="629" t="s">
        <v>3067</v>
      </c>
      <c r="B3303" s="630">
        <v>199</v>
      </c>
      <c r="C3303" s="631" t="str">
        <f t="shared" si="56"/>
        <v>Ô tô vận tải thùng 7 tấn199</v>
      </c>
      <c r="D3303" s="633">
        <v>0.189</v>
      </c>
      <c r="E3303" s="633">
        <v>0.19800000000000001</v>
      </c>
      <c r="F3303" s="633">
        <v>0.12</v>
      </c>
      <c r="G3303" s="633">
        <v>0.112</v>
      </c>
    </row>
    <row r="3304" spans="1:7" ht="18.75" x14ac:dyDescent="0.25">
      <c r="A3304" s="629" t="s">
        <v>3067</v>
      </c>
      <c r="B3304" s="630">
        <v>200</v>
      </c>
      <c r="C3304" s="631" t="str">
        <f t="shared" si="56"/>
        <v>Ô tô vận tải thùng 7 tấn200</v>
      </c>
      <c r="D3304" s="633">
        <v>0.189</v>
      </c>
      <c r="E3304" s="633">
        <v>0.19800000000000001</v>
      </c>
      <c r="F3304" s="633">
        <v>0.12</v>
      </c>
      <c r="G3304" s="633">
        <v>0.112</v>
      </c>
    </row>
    <row r="3305" spans="1:7" ht="18.75" x14ac:dyDescent="0.25">
      <c r="A3305" s="629" t="s">
        <v>3067</v>
      </c>
      <c r="B3305" s="630">
        <v>201</v>
      </c>
      <c r="C3305" s="631" t="str">
        <f t="shared" si="56"/>
        <v>Ô tô vận tải thùng 7 tấn201</v>
      </c>
      <c r="D3305" s="633">
        <v>0.189</v>
      </c>
      <c r="E3305" s="633">
        <v>0.19800000000000001</v>
      </c>
      <c r="F3305" s="633">
        <v>0.12</v>
      </c>
      <c r="G3305" s="633">
        <v>0.112</v>
      </c>
    </row>
    <row r="3306" spans="1:7" ht="18.75" x14ac:dyDescent="0.25">
      <c r="A3306" s="629" t="s">
        <v>3067</v>
      </c>
      <c r="B3306" s="630">
        <v>202</v>
      </c>
      <c r="C3306" s="631" t="str">
        <f t="shared" si="56"/>
        <v>Ô tô vận tải thùng 7 tấn202</v>
      </c>
      <c r="D3306" s="633">
        <v>0.189</v>
      </c>
      <c r="E3306" s="633">
        <v>0.19800000000000001</v>
      </c>
      <c r="F3306" s="633">
        <v>0.12</v>
      </c>
      <c r="G3306" s="633">
        <v>0.112</v>
      </c>
    </row>
    <row r="3307" spans="1:7" ht="18.75" x14ac:dyDescent="0.25">
      <c r="A3307" s="629" t="s">
        <v>3067</v>
      </c>
      <c r="B3307" s="630">
        <v>203</v>
      </c>
      <c r="C3307" s="631" t="str">
        <f t="shared" si="56"/>
        <v>Ô tô vận tải thùng 7 tấn203</v>
      </c>
      <c r="D3307" s="633">
        <v>0.189</v>
      </c>
      <c r="E3307" s="633">
        <v>0.19800000000000001</v>
      </c>
      <c r="F3307" s="633">
        <v>0.12</v>
      </c>
      <c r="G3307" s="633">
        <v>0.112</v>
      </c>
    </row>
    <row r="3308" spans="1:7" ht="18.75" x14ac:dyDescent="0.25">
      <c r="A3308" s="629" t="s">
        <v>3067</v>
      </c>
      <c r="B3308" s="630">
        <v>204</v>
      </c>
      <c r="C3308" s="631" t="str">
        <f t="shared" si="56"/>
        <v>Ô tô vận tải thùng 7 tấn204</v>
      </c>
      <c r="D3308" s="633">
        <v>0.189</v>
      </c>
      <c r="E3308" s="633">
        <v>0.19800000000000001</v>
      </c>
      <c r="F3308" s="633">
        <v>0.12</v>
      </c>
      <c r="G3308" s="633">
        <v>0.112</v>
      </c>
    </row>
    <row r="3309" spans="1:7" ht="18.75" x14ac:dyDescent="0.25">
      <c r="A3309" s="629" t="s">
        <v>3067</v>
      </c>
      <c r="B3309" s="630">
        <v>205</v>
      </c>
      <c r="C3309" s="631" t="str">
        <f t="shared" si="56"/>
        <v>Ô tô vận tải thùng 7 tấn205</v>
      </c>
      <c r="D3309" s="633">
        <v>0.189</v>
      </c>
      <c r="E3309" s="633">
        <v>0.19800000000000001</v>
      </c>
      <c r="F3309" s="633">
        <v>0.12</v>
      </c>
      <c r="G3309" s="633">
        <v>0.112</v>
      </c>
    </row>
    <row r="3310" spans="1:7" ht="18.75" x14ac:dyDescent="0.25">
      <c r="A3310" s="629" t="s">
        <v>3067</v>
      </c>
      <c r="B3310" s="630">
        <v>206</v>
      </c>
      <c r="C3310" s="631" t="str">
        <f t="shared" si="56"/>
        <v>Ô tô vận tải thùng 7 tấn206</v>
      </c>
      <c r="D3310" s="633">
        <v>0.189</v>
      </c>
      <c r="E3310" s="633">
        <v>0.19800000000000001</v>
      </c>
      <c r="F3310" s="633">
        <v>0.12</v>
      </c>
      <c r="G3310" s="633">
        <v>0.112</v>
      </c>
    </row>
    <row r="3311" spans="1:7" ht="18.75" x14ac:dyDescent="0.25">
      <c r="A3311" s="629" t="s">
        <v>3067</v>
      </c>
      <c r="B3311" s="630">
        <v>207</v>
      </c>
      <c r="C3311" s="631" t="str">
        <f t="shared" si="56"/>
        <v>Ô tô vận tải thùng 7 tấn207</v>
      </c>
      <c r="D3311" s="633">
        <v>0.189</v>
      </c>
      <c r="E3311" s="633">
        <v>0.19800000000000001</v>
      </c>
      <c r="F3311" s="633">
        <v>0.12</v>
      </c>
      <c r="G3311" s="633">
        <v>0.112</v>
      </c>
    </row>
    <row r="3312" spans="1:7" ht="18.75" x14ac:dyDescent="0.25">
      <c r="A3312" s="629" t="s">
        <v>3067</v>
      </c>
      <c r="B3312" s="630">
        <v>208</v>
      </c>
      <c r="C3312" s="631" t="str">
        <f t="shared" si="56"/>
        <v>Ô tô vận tải thùng 7 tấn208</v>
      </c>
      <c r="D3312" s="633">
        <v>0.189</v>
      </c>
      <c r="E3312" s="633">
        <v>0.19800000000000001</v>
      </c>
      <c r="F3312" s="633">
        <v>0.12</v>
      </c>
      <c r="G3312" s="633">
        <v>0.112</v>
      </c>
    </row>
    <row r="3313" spans="1:7" ht="18.75" x14ac:dyDescent="0.25">
      <c r="A3313" s="629" t="s">
        <v>3067</v>
      </c>
      <c r="B3313" s="630">
        <v>209</v>
      </c>
      <c r="C3313" s="631" t="str">
        <f t="shared" si="56"/>
        <v>Ô tô vận tải thùng 7 tấn209</v>
      </c>
      <c r="D3313" s="633">
        <v>0.189</v>
      </c>
      <c r="E3313" s="633">
        <v>0.19800000000000001</v>
      </c>
      <c r="F3313" s="633">
        <v>0.12</v>
      </c>
      <c r="G3313" s="633">
        <v>0.112</v>
      </c>
    </row>
    <row r="3314" spans="1:7" ht="18.75" x14ac:dyDescent="0.25">
      <c r="A3314" s="629" t="s">
        <v>3067</v>
      </c>
      <c r="B3314" s="630">
        <v>210</v>
      </c>
      <c r="C3314" s="631" t="str">
        <f t="shared" si="56"/>
        <v>Ô tô vận tải thùng 7 tấn210</v>
      </c>
      <c r="D3314" s="633">
        <v>0.189</v>
      </c>
      <c r="E3314" s="633">
        <v>0.19800000000000001</v>
      </c>
      <c r="F3314" s="633">
        <v>0.12</v>
      </c>
      <c r="G3314" s="633">
        <v>0.112</v>
      </c>
    </row>
    <row r="3315" spans="1:7" ht="18.75" x14ac:dyDescent="0.25">
      <c r="A3315" s="629" t="s">
        <v>3067</v>
      </c>
      <c r="B3315" s="630">
        <v>211</v>
      </c>
      <c r="C3315" s="631" t="str">
        <f t="shared" si="56"/>
        <v>Ô tô vận tải thùng 7 tấn211</v>
      </c>
      <c r="D3315" s="633">
        <v>0.189</v>
      </c>
      <c r="E3315" s="633">
        <v>0.19800000000000001</v>
      </c>
      <c r="F3315" s="633">
        <v>0.12</v>
      </c>
      <c r="G3315" s="633">
        <v>0.112</v>
      </c>
    </row>
    <row r="3316" spans="1:7" ht="18.75" x14ac:dyDescent="0.25">
      <c r="A3316" s="629" t="s">
        <v>3067</v>
      </c>
      <c r="B3316" s="630">
        <v>212</v>
      </c>
      <c r="C3316" s="631" t="str">
        <f t="shared" si="56"/>
        <v>Ô tô vận tải thùng 7 tấn212</v>
      </c>
      <c r="D3316" s="633">
        <v>0.189</v>
      </c>
      <c r="E3316" s="633">
        <v>0.19800000000000001</v>
      </c>
      <c r="F3316" s="633">
        <v>0.12</v>
      </c>
      <c r="G3316" s="633">
        <v>0.112</v>
      </c>
    </row>
    <row r="3317" spans="1:7" ht="18.75" x14ac:dyDescent="0.25">
      <c r="A3317" s="629" t="s">
        <v>3067</v>
      </c>
      <c r="B3317" s="630">
        <v>213</v>
      </c>
      <c r="C3317" s="631" t="str">
        <f t="shared" si="56"/>
        <v>Ô tô vận tải thùng 7 tấn213</v>
      </c>
      <c r="D3317" s="633">
        <v>0.189</v>
      </c>
      <c r="E3317" s="633">
        <v>0.19800000000000001</v>
      </c>
      <c r="F3317" s="633">
        <v>0.12</v>
      </c>
      <c r="G3317" s="633">
        <v>0.112</v>
      </c>
    </row>
    <row r="3318" spans="1:7" ht="18.75" x14ac:dyDescent="0.25">
      <c r="A3318" s="629" t="s">
        <v>3067</v>
      </c>
      <c r="B3318" s="630">
        <v>214</v>
      </c>
      <c r="C3318" s="631" t="str">
        <f t="shared" si="56"/>
        <v>Ô tô vận tải thùng 7 tấn214</v>
      </c>
      <c r="D3318" s="633">
        <v>0.189</v>
      </c>
      <c r="E3318" s="633">
        <v>0.19800000000000001</v>
      </c>
      <c r="F3318" s="633">
        <v>0.12</v>
      </c>
      <c r="G3318" s="633">
        <v>0.112</v>
      </c>
    </row>
    <row r="3319" spans="1:7" ht="18.75" x14ac:dyDescent="0.25">
      <c r="A3319" s="629" t="s">
        <v>3067</v>
      </c>
      <c r="B3319" s="630">
        <v>215</v>
      </c>
      <c r="C3319" s="631" t="str">
        <f t="shared" si="56"/>
        <v>Ô tô vận tải thùng 7 tấn215</v>
      </c>
      <c r="D3319" s="633">
        <v>0.189</v>
      </c>
      <c r="E3319" s="633">
        <v>0.19800000000000001</v>
      </c>
      <c r="F3319" s="633">
        <v>0.12</v>
      </c>
      <c r="G3319" s="633">
        <v>0.112</v>
      </c>
    </row>
    <row r="3320" spans="1:7" ht="18.75" x14ac:dyDescent="0.25">
      <c r="A3320" s="629" t="s">
        <v>3067</v>
      </c>
      <c r="B3320" s="630">
        <v>216</v>
      </c>
      <c r="C3320" s="631" t="str">
        <f t="shared" si="56"/>
        <v>Ô tô vận tải thùng 7 tấn216</v>
      </c>
      <c r="D3320" s="633">
        <v>0.189</v>
      </c>
      <c r="E3320" s="633">
        <v>0.19800000000000001</v>
      </c>
      <c r="F3320" s="633">
        <v>0.12</v>
      </c>
      <c r="G3320" s="633">
        <v>0.112</v>
      </c>
    </row>
    <row r="3321" spans="1:7" ht="18.75" x14ac:dyDescent="0.25">
      <c r="A3321" s="629" t="s">
        <v>3067</v>
      </c>
      <c r="B3321" s="630">
        <v>217</v>
      </c>
      <c r="C3321" s="631" t="str">
        <f t="shared" si="56"/>
        <v>Ô tô vận tải thùng 7 tấn217</v>
      </c>
      <c r="D3321" s="633">
        <v>0.189</v>
      </c>
      <c r="E3321" s="633">
        <v>0.19800000000000001</v>
      </c>
      <c r="F3321" s="633">
        <v>0.12</v>
      </c>
      <c r="G3321" s="633">
        <v>0.112</v>
      </c>
    </row>
    <row r="3322" spans="1:7" ht="18.75" x14ac:dyDescent="0.25">
      <c r="A3322" s="629" t="s">
        <v>3067</v>
      </c>
      <c r="B3322" s="630">
        <v>218</v>
      </c>
      <c r="C3322" s="631" t="str">
        <f t="shared" si="56"/>
        <v>Ô tô vận tải thùng 7 tấn218</v>
      </c>
      <c r="D3322" s="633">
        <v>0.189</v>
      </c>
      <c r="E3322" s="633">
        <v>0.19800000000000001</v>
      </c>
      <c r="F3322" s="633">
        <v>0.12</v>
      </c>
      <c r="G3322" s="633">
        <v>0.112</v>
      </c>
    </row>
    <row r="3323" spans="1:7" ht="18.75" x14ac:dyDescent="0.25">
      <c r="A3323" s="629" t="s">
        <v>3067</v>
      </c>
      <c r="B3323" s="630">
        <v>219</v>
      </c>
      <c r="C3323" s="631" t="str">
        <f t="shared" si="56"/>
        <v>Ô tô vận tải thùng 7 tấn219</v>
      </c>
      <c r="D3323" s="633">
        <v>0.189</v>
      </c>
      <c r="E3323" s="633">
        <v>0.19800000000000001</v>
      </c>
      <c r="F3323" s="633">
        <v>0.12</v>
      </c>
      <c r="G3323" s="633">
        <v>0.112</v>
      </c>
    </row>
    <row r="3324" spans="1:7" ht="18.75" x14ac:dyDescent="0.25">
      <c r="A3324" s="629" t="s">
        <v>3067</v>
      </c>
      <c r="B3324" s="630">
        <v>220</v>
      </c>
      <c r="C3324" s="631" t="str">
        <f t="shared" si="56"/>
        <v>Ô tô vận tải thùng 7 tấn220</v>
      </c>
      <c r="D3324" s="633">
        <v>0.189</v>
      </c>
      <c r="E3324" s="633">
        <v>0.19800000000000001</v>
      </c>
      <c r="F3324" s="633">
        <v>0.12</v>
      </c>
      <c r="G3324" s="633">
        <v>0.112</v>
      </c>
    </row>
    <row r="3325" spans="1:7" ht="18.75" x14ac:dyDescent="0.25">
      <c r="A3325" s="629" t="s">
        <v>3067</v>
      </c>
      <c r="B3325" s="630">
        <v>221</v>
      </c>
      <c r="C3325" s="631" t="str">
        <f t="shared" si="56"/>
        <v>Ô tô vận tải thùng 7 tấn221</v>
      </c>
      <c r="D3325" s="633">
        <v>0.189</v>
      </c>
      <c r="E3325" s="633">
        <v>0.19800000000000001</v>
      </c>
      <c r="F3325" s="633">
        <v>0.12</v>
      </c>
      <c r="G3325" s="633">
        <v>0.112</v>
      </c>
    </row>
    <row r="3326" spans="1:7" ht="18.75" x14ac:dyDescent="0.25">
      <c r="A3326" s="629" t="s">
        <v>3067</v>
      </c>
      <c r="B3326" s="630">
        <v>222</v>
      </c>
      <c r="C3326" s="631" t="str">
        <f t="shared" si="56"/>
        <v>Ô tô vận tải thùng 7 tấn222</v>
      </c>
      <c r="D3326" s="633">
        <v>0.189</v>
      </c>
      <c r="E3326" s="633">
        <v>0.19800000000000001</v>
      </c>
      <c r="F3326" s="633">
        <v>0.12</v>
      </c>
      <c r="G3326" s="633">
        <v>0.112</v>
      </c>
    </row>
    <row r="3327" spans="1:7" ht="18.75" x14ac:dyDescent="0.25">
      <c r="A3327" s="629" t="s">
        <v>3067</v>
      </c>
      <c r="B3327" s="630">
        <v>223</v>
      </c>
      <c r="C3327" s="631" t="str">
        <f t="shared" si="56"/>
        <v>Ô tô vận tải thùng 7 tấn223</v>
      </c>
      <c r="D3327" s="633">
        <v>0.189</v>
      </c>
      <c r="E3327" s="633">
        <v>0.19800000000000001</v>
      </c>
      <c r="F3327" s="633">
        <v>0.12</v>
      </c>
      <c r="G3327" s="633">
        <v>0.112</v>
      </c>
    </row>
    <row r="3328" spans="1:7" ht="18.75" x14ac:dyDescent="0.25">
      <c r="A3328" s="629" t="s">
        <v>3067</v>
      </c>
      <c r="B3328" s="630">
        <v>224</v>
      </c>
      <c r="C3328" s="631" t="str">
        <f t="shared" si="56"/>
        <v>Ô tô vận tải thùng 7 tấn224</v>
      </c>
      <c r="D3328" s="633">
        <v>0.189</v>
      </c>
      <c r="E3328" s="633">
        <v>0.19800000000000001</v>
      </c>
      <c r="F3328" s="633">
        <v>0.12</v>
      </c>
      <c r="G3328" s="633">
        <v>0.112</v>
      </c>
    </row>
    <row r="3329" spans="1:7" ht="18.75" x14ac:dyDescent="0.25">
      <c r="A3329" s="629" t="s">
        <v>3067</v>
      </c>
      <c r="B3329" s="630">
        <v>225</v>
      </c>
      <c r="C3329" s="631" t="str">
        <f t="shared" si="56"/>
        <v>Ô tô vận tải thùng 7 tấn225</v>
      </c>
      <c r="D3329" s="633">
        <v>0.189</v>
      </c>
      <c r="E3329" s="633">
        <v>0.19800000000000001</v>
      </c>
      <c r="F3329" s="633">
        <v>0.12</v>
      </c>
      <c r="G3329" s="633">
        <v>0.112</v>
      </c>
    </row>
    <row r="3330" spans="1:7" ht="18.75" x14ac:dyDescent="0.25">
      <c r="A3330" s="629" t="s">
        <v>3067</v>
      </c>
      <c r="B3330" s="630">
        <v>226</v>
      </c>
      <c r="C3330" s="631" t="str">
        <f t="shared" si="56"/>
        <v>Ô tô vận tải thùng 7 tấn226</v>
      </c>
      <c r="D3330" s="633">
        <v>0.189</v>
      </c>
      <c r="E3330" s="633">
        <v>0.19800000000000001</v>
      </c>
      <c r="F3330" s="633">
        <v>0.12</v>
      </c>
      <c r="G3330" s="633">
        <v>0.112</v>
      </c>
    </row>
    <row r="3331" spans="1:7" ht="18.75" x14ac:dyDescent="0.25">
      <c r="A3331" s="629" t="s">
        <v>3067</v>
      </c>
      <c r="B3331" s="630">
        <v>227</v>
      </c>
      <c r="C3331" s="631" t="str">
        <f t="shared" si="56"/>
        <v>Ô tô vận tải thùng 7 tấn227</v>
      </c>
      <c r="D3331" s="633">
        <v>0.189</v>
      </c>
      <c r="E3331" s="633">
        <v>0.19800000000000001</v>
      </c>
      <c r="F3331" s="633">
        <v>0.12</v>
      </c>
      <c r="G3331" s="633">
        <v>0.112</v>
      </c>
    </row>
    <row r="3332" spans="1:7" ht="18.75" x14ac:dyDescent="0.25">
      <c r="A3332" s="629" t="s">
        <v>3067</v>
      </c>
      <c r="B3332" s="630">
        <v>228</v>
      </c>
      <c r="C3332" s="631" t="str">
        <f t="shared" si="56"/>
        <v>Ô tô vận tải thùng 7 tấn228</v>
      </c>
      <c r="D3332" s="633">
        <v>0.189</v>
      </c>
      <c r="E3332" s="633">
        <v>0.19800000000000001</v>
      </c>
      <c r="F3332" s="633">
        <v>0.12</v>
      </c>
      <c r="G3332" s="633">
        <v>0.112</v>
      </c>
    </row>
    <row r="3333" spans="1:7" ht="18.75" x14ac:dyDescent="0.25">
      <c r="A3333" s="629" t="s">
        <v>3067</v>
      </c>
      <c r="B3333" s="630">
        <v>229</v>
      </c>
      <c r="C3333" s="631" t="str">
        <f t="shared" si="56"/>
        <v>Ô tô vận tải thùng 7 tấn229</v>
      </c>
      <c r="D3333" s="633">
        <v>0.189</v>
      </c>
      <c r="E3333" s="633">
        <v>0.19800000000000001</v>
      </c>
      <c r="F3333" s="633">
        <v>0.12</v>
      </c>
      <c r="G3333" s="633">
        <v>0.112</v>
      </c>
    </row>
    <row r="3334" spans="1:7" ht="18.75" x14ac:dyDescent="0.25">
      <c r="A3334" s="629" t="s">
        <v>3067</v>
      </c>
      <c r="B3334" s="630">
        <v>230</v>
      </c>
      <c r="C3334" s="631" t="str">
        <f t="shared" si="56"/>
        <v>Ô tô vận tải thùng 7 tấn230</v>
      </c>
      <c r="D3334" s="633">
        <v>0.189</v>
      </c>
      <c r="E3334" s="633">
        <v>0.19800000000000001</v>
      </c>
      <c r="F3334" s="633">
        <v>0.12</v>
      </c>
      <c r="G3334" s="633">
        <v>0.112</v>
      </c>
    </row>
    <row r="3335" spans="1:7" ht="18.75" x14ac:dyDescent="0.25">
      <c r="A3335" s="629" t="s">
        <v>3067</v>
      </c>
      <c r="B3335" s="630">
        <v>231</v>
      </c>
      <c r="C3335" s="631" t="str">
        <f t="shared" si="56"/>
        <v>Ô tô vận tải thùng 7 tấn231</v>
      </c>
      <c r="D3335" s="633">
        <v>0.189</v>
      </c>
      <c r="E3335" s="633">
        <v>0.19800000000000001</v>
      </c>
      <c r="F3335" s="633">
        <v>0.12</v>
      </c>
      <c r="G3335" s="633">
        <v>0.112</v>
      </c>
    </row>
    <row r="3336" spans="1:7" ht="18.75" x14ac:dyDescent="0.25">
      <c r="A3336" s="629" t="s">
        <v>3067</v>
      </c>
      <c r="B3336" s="630">
        <v>232</v>
      </c>
      <c r="C3336" s="631" t="str">
        <f t="shared" si="56"/>
        <v>Ô tô vận tải thùng 7 tấn232</v>
      </c>
      <c r="D3336" s="633">
        <v>0.189</v>
      </c>
      <c r="E3336" s="633">
        <v>0.19800000000000001</v>
      </c>
      <c r="F3336" s="633">
        <v>0.12</v>
      </c>
      <c r="G3336" s="633">
        <v>0.112</v>
      </c>
    </row>
    <row r="3337" spans="1:7" ht="18.75" x14ac:dyDescent="0.25">
      <c r="A3337" s="629" t="s">
        <v>3067</v>
      </c>
      <c r="B3337" s="630">
        <v>233</v>
      </c>
      <c r="C3337" s="631" t="str">
        <f t="shared" si="56"/>
        <v>Ô tô vận tải thùng 7 tấn233</v>
      </c>
      <c r="D3337" s="633">
        <v>0.189</v>
      </c>
      <c r="E3337" s="633">
        <v>0.19800000000000001</v>
      </c>
      <c r="F3337" s="633">
        <v>0.12</v>
      </c>
      <c r="G3337" s="633">
        <v>0.112</v>
      </c>
    </row>
    <row r="3338" spans="1:7" ht="18.75" x14ac:dyDescent="0.25">
      <c r="A3338" s="629" t="s">
        <v>3067</v>
      </c>
      <c r="B3338" s="630">
        <v>234</v>
      </c>
      <c r="C3338" s="631" t="str">
        <f t="shared" si="56"/>
        <v>Ô tô vận tải thùng 7 tấn234</v>
      </c>
      <c r="D3338" s="633">
        <v>0.189</v>
      </c>
      <c r="E3338" s="633">
        <v>0.19800000000000001</v>
      </c>
      <c r="F3338" s="633">
        <v>0.12</v>
      </c>
      <c r="G3338" s="633">
        <v>0.112</v>
      </c>
    </row>
    <row r="3339" spans="1:7" ht="18.75" x14ac:dyDescent="0.25">
      <c r="A3339" s="629" t="s">
        <v>3067</v>
      </c>
      <c r="B3339" s="630">
        <v>235</v>
      </c>
      <c r="C3339" s="631" t="str">
        <f t="shared" si="56"/>
        <v>Ô tô vận tải thùng 7 tấn235</v>
      </c>
      <c r="D3339" s="633">
        <v>0.189</v>
      </c>
      <c r="E3339" s="633">
        <v>0.19800000000000001</v>
      </c>
      <c r="F3339" s="633">
        <v>0.12</v>
      </c>
      <c r="G3339" s="633">
        <v>0.112</v>
      </c>
    </row>
    <row r="3340" spans="1:7" ht="18.75" x14ac:dyDescent="0.25">
      <c r="A3340" s="629" t="s">
        <v>3067</v>
      </c>
      <c r="B3340" s="630">
        <v>236</v>
      </c>
      <c r="C3340" s="631" t="str">
        <f t="shared" si="56"/>
        <v>Ô tô vận tải thùng 7 tấn236</v>
      </c>
      <c r="D3340" s="633">
        <v>0.189</v>
      </c>
      <c r="E3340" s="633">
        <v>0.19800000000000001</v>
      </c>
      <c r="F3340" s="633">
        <v>0.12</v>
      </c>
      <c r="G3340" s="633">
        <v>0.112</v>
      </c>
    </row>
    <row r="3341" spans="1:7" ht="18.75" x14ac:dyDescent="0.25">
      <c r="A3341" s="629" t="s">
        <v>3067</v>
      </c>
      <c r="B3341" s="630">
        <v>237</v>
      </c>
      <c r="C3341" s="631" t="str">
        <f t="shared" si="56"/>
        <v>Ô tô vận tải thùng 7 tấn237</v>
      </c>
      <c r="D3341" s="633">
        <v>0.189</v>
      </c>
      <c r="E3341" s="633">
        <v>0.19800000000000001</v>
      </c>
      <c r="F3341" s="633">
        <v>0.12</v>
      </c>
      <c r="G3341" s="633">
        <v>0.112</v>
      </c>
    </row>
    <row r="3342" spans="1:7" ht="18.75" x14ac:dyDescent="0.25">
      <c r="A3342" s="629" t="s">
        <v>3067</v>
      </c>
      <c r="B3342" s="630">
        <v>238</v>
      </c>
      <c r="C3342" s="631" t="str">
        <f t="shared" si="56"/>
        <v>Ô tô vận tải thùng 7 tấn238</v>
      </c>
      <c r="D3342" s="633">
        <v>0.189</v>
      </c>
      <c r="E3342" s="633">
        <v>0.19800000000000001</v>
      </c>
      <c r="F3342" s="633">
        <v>0.12</v>
      </c>
      <c r="G3342" s="633">
        <v>0.112</v>
      </c>
    </row>
    <row r="3343" spans="1:7" ht="18.75" x14ac:dyDescent="0.25">
      <c r="A3343" s="629" t="s">
        <v>3067</v>
      </c>
      <c r="B3343" s="630">
        <v>239</v>
      </c>
      <c r="C3343" s="631" t="str">
        <f t="shared" si="56"/>
        <v>Ô tô vận tải thùng 7 tấn239</v>
      </c>
      <c r="D3343" s="633">
        <v>0.189</v>
      </c>
      <c r="E3343" s="633">
        <v>0.19800000000000001</v>
      </c>
      <c r="F3343" s="633">
        <v>0.12</v>
      </c>
      <c r="G3343" s="633">
        <v>0.112</v>
      </c>
    </row>
    <row r="3344" spans="1:7" ht="18.75" x14ac:dyDescent="0.25">
      <c r="A3344" s="629" t="s">
        <v>3067</v>
      </c>
      <c r="B3344" s="630">
        <v>240</v>
      </c>
      <c r="C3344" s="631" t="str">
        <f t="shared" si="56"/>
        <v>Ô tô vận tải thùng 7 tấn240</v>
      </c>
      <c r="D3344" s="633">
        <v>0.189</v>
      </c>
      <c r="E3344" s="633">
        <v>0.19800000000000001</v>
      </c>
      <c r="F3344" s="633">
        <v>0.12</v>
      </c>
      <c r="G3344" s="633">
        <v>0.112</v>
      </c>
    </row>
    <row r="3345" spans="1:7" ht="18.75" x14ac:dyDescent="0.25">
      <c r="A3345" s="629" t="s">
        <v>3067</v>
      </c>
      <c r="B3345" s="630">
        <v>241</v>
      </c>
      <c r="C3345" s="631" t="str">
        <f t="shared" si="56"/>
        <v>Ô tô vận tải thùng 7 tấn241</v>
      </c>
      <c r="D3345" s="633">
        <v>0.189</v>
      </c>
      <c r="E3345" s="633">
        <v>0.19800000000000001</v>
      </c>
      <c r="F3345" s="633">
        <v>0.12</v>
      </c>
      <c r="G3345" s="633">
        <v>0.112</v>
      </c>
    </row>
    <row r="3346" spans="1:7" ht="18.75" x14ac:dyDescent="0.25">
      <c r="A3346" s="629" t="s">
        <v>3067</v>
      </c>
      <c r="B3346" s="630">
        <v>242</v>
      </c>
      <c r="C3346" s="631" t="str">
        <f t="shared" si="56"/>
        <v>Ô tô vận tải thùng 7 tấn242</v>
      </c>
      <c r="D3346" s="633">
        <v>0.189</v>
      </c>
      <c r="E3346" s="633">
        <v>0.19800000000000001</v>
      </c>
      <c r="F3346" s="633">
        <v>0.12</v>
      </c>
      <c r="G3346" s="633">
        <v>0.112</v>
      </c>
    </row>
    <row r="3347" spans="1:7" ht="18.75" x14ac:dyDescent="0.25">
      <c r="A3347" s="629" t="s">
        <v>3067</v>
      </c>
      <c r="B3347" s="630">
        <v>243</v>
      </c>
      <c r="C3347" s="631" t="str">
        <f t="shared" si="56"/>
        <v>Ô tô vận tải thùng 7 tấn243</v>
      </c>
      <c r="D3347" s="633">
        <v>0.189</v>
      </c>
      <c r="E3347" s="633">
        <v>0.19800000000000001</v>
      </c>
      <c r="F3347" s="633">
        <v>0.12</v>
      </c>
      <c r="G3347" s="633">
        <v>0.112</v>
      </c>
    </row>
    <row r="3348" spans="1:7" ht="18.75" x14ac:dyDescent="0.25">
      <c r="A3348" s="629" t="s">
        <v>3067</v>
      </c>
      <c r="B3348" s="630">
        <v>244</v>
      </c>
      <c r="C3348" s="631" t="str">
        <f t="shared" si="56"/>
        <v>Ô tô vận tải thùng 7 tấn244</v>
      </c>
      <c r="D3348" s="633">
        <v>0.189</v>
      </c>
      <c r="E3348" s="633">
        <v>0.19800000000000001</v>
      </c>
      <c r="F3348" s="633">
        <v>0.12</v>
      </c>
      <c r="G3348" s="633">
        <v>0.112</v>
      </c>
    </row>
    <row r="3349" spans="1:7" ht="18.75" x14ac:dyDescent="0.25">
      <c r="A3349" s="629" t="s">
        <v>3067</v>
      </c>
      <c r="B3349" s="630">
        <v>245</v>
      </c>
      <c r="C3349" s="631" t="str">
        <f t="shared" si="56"/>
        <v>Ô tô vận tải thùng 7 tấn245</v>
      </c>
      <c r="D3349" s="633">
        <v>0.189</v>
      </c>
      <c r="E3349" s="633">
        <v>0.19800000000000001</v>
      </c>
      <c r="F3349" s="633">
        <v>0.12</v>
      </c>
      <c r="G3349" s="633">
        <v>0.112</v>
      </c>
    </row>
    <row r="3350" spans="1:7" ht="18.75" x14ac:dyDescent="0.25">
      <c r="A3350" s="629" t="s">
        <v>3067</v>
      </c>
      <c r="B3350" s="630">
        <v>246</v>
      </c>
      <c r="C3350" s="631" t="str">
        <f t="shared" si="56"/>
        <v>Ô tô vận tải thùng 7 tấn246</v>
      </c>
      <c r="D3350" s="633">
        <v>0.189</v>
      </c>
      <c r="E3350" s="633">
        <v>0.19800000000000001</v>
      </c>
      <c r="F3350" s="633">
        <v>0.12</v>
      </c>
      <c r="G3350" s="633">
        <v>0.112</v>
      </c>
    </row>
    <row r="3351" spans="1:7" ht="18.75" x14ac:dyDescent="0.25">
      <c r="A3351" s="629" t="s">
        <v>3067</v>
      </c>
      <c r="B3351" s="630">
        <v>247</v>
      </c>
      <c r="C3351" s="631" t="str">
        <f t="shared" si="56"/>
        <v>Ô tô vận tải thùng 7 tấn247</v>
      </c>
      <c r="D3351" s="633">
        <v>0.189</v>
      </c>
      <c r="E3351" s="633">
        <v>0.19800000000000001</v>
      </c>
      <c r="F3351" s="633">
        <v>0.12</v>
      </c>
      <c r="G3351" s="633">
        <v>0.112</v>
      </c>
    </row>
    <row r="3352" spans="1:7" ht="18.75" x14ac:dyDescent="0.25">
      <c r="A3352" s="629" t="s">
        <v>3067</v>
      </c>
      <c r="B3352" s="630">
        <v>248</v>
      </c>
      <c r="C3352" s="631" t="str">
        <f t="shared" si="56"/>
        <v>Ô tô vận tải thùng 7 tấn248</v>
      </c>
      <c r="D3352" s="633">
        <v>0.189</v>
      </c>
      <c r="E3352" s="633">
        <v>0.19800000000000001</v>
      </c>
      <c r="F3352" s="633">
        <v>0.12</v>
      </c>
      <c r="G3352" s="633">
        <v>0.112</v>
      </c>
    </row>
    <row r="3353" spans="1:7" ht="18.75" x14ac:dyDescent="0.25">
      <c r="A3353" s="629" t="s">
        <v>3067</v>
      </c>
      <c r="B3353" s="630">
        <v>249</v>
      </c>
      <c r="C3353" s="631" t="str">
        <f t="shared" si="56"/>
        <v>Ô tô vận tải thùng 7 tấn249</v>
      </c>
      <c r="D3353" s="633">
        <v>0.189</v>
      </c>
      <c r="E3353" s="633">
        <v>0.19800000000000001</v>
      </c>
      <c r="F3353" s="633">
        <v>0.12</v>
      </c>
      <c r="G3353" s="633">
        <v>0.112</v>
      </c>
    </row>
    <row r="3354" spans="1:7" ht="18.75" x14ac:dyDescent="0.25">
      <c r="A3354" s="629" t="s">
        <v>3067</v>
      </c>
      <c r="B3354" s="630">
        <v>250</v>
      </c>
      <c r="C3354" s="631" t="str">
        <f t="shared" si="56"/>
        <v>Ô tô vận tải thùng 7 tấn250</v>
      </c>
      <c r="D3354" s="633">
        <v>0.189</v>
      </c>
      <c r="E3354" s="633">
        <v>0.19800000000000001</v>
      </c>
      <c r="F3354" s="633">
        <v>0.12</v>
      </c>
      <c r="G3354" s="633">
        <v>0.112</v>
      </c>
    </row>
    <row r="3355" spans="1:7" ht="18.75" x14ac:dyDescent="0.25">
      <c r="A3355" s="629" t="s">
        <v>3067</v>
      </c>
      <c r="B3355" s="630">
        <v>251</v>
      </c>
      <c r="C3355" s="631" t="str">
        <f t="shared" si="56"/>
        <v>Ô tô vận tải thùng 7 tấn251</v>
      </c>
      <c r="D3355" s="633">
        <v>0.189</v>
      </c>
      <c r="E3355" s="633">
        <v>0.19800000000000001</v>
      </c>
      <c r="F3355" s="633">
        <v>0.12</v>
      </c>
      <c r="G3355" s="633">
        <v>0.112</v>
      </c>
    </row>
    <row r="3356" spans="1:7" ht="18.75" x14ac:dyDescent="0.25">
      <c r="A3356" s="629" t="s">
        <v>3067</v>
      </c>
      <c r="B3356" s="630">
        <v>252</v>
      </c>
      <c r="C3356" s="631" t="str">
        <f t="shared" si="56"/>
        <v>Ô tô vận tải thùng 7 tấn252</v>
      </c>
      <c r="D3356" s="633">
        <v>0.189</v>
      </c>
      <c r="E3356" s="633">
        <v>0.19800000000000001</v>
      </c>
      <c r="F3356" s="633">
        <v>0.12</v>
      </c>
      <c r="G3356" s="633">
        <v>0.112</v>
      </c>
    </row>
    <row r="3357" spans="1:7" ht="18.75" x14ac:dyDescent="0.25">
      <c r="A3357" s="629" t="s">
        <v>3067</v>
      </c>
      <c r="B3357" s="630">
        <v>253</v>
      </c>
      <c r="C3357" s="631" t="str">
        <f t="shared" si="56"/>
        <v>Ô tô vận tải thùng 7 tấn253</v>
      </c>
      <c r="D3357" s="633">
        <v>0.189</v>
      </c>
      <c r="E3357" s="633">
        <v>0.19800000000000001</v>
      </c>
      <c r="F3357" s="633">
        <v>0.12</v>
      </c>
      <c r="G3357" s="633">
        <v>0.112</v>
      </c>
    </row>
    <row r="3358" spans="1:7" ht="18.75" x14ac:dyDescent="0.25">
      <c r="A3358" s="629" t="s">
        <v>3067</v>
      </c>
      <c r="B3358" s="630">
        <v>254</v>
      </c>
      <c r="C3358" s="631" t="str">
        <f t="shared" si="56"/>
        <v>Ô tô vận tải thùng 7 tấn254</v>
      </c>
      <c r="D3358" s="633">
        <v>0.189</v>
      </c>
      <c r="E3358" s="633">
        <v>0.19800000000000001</v>
      </c>
      <c r="F3358" s="633">
        <v>0.12</v>
      </c>
      <c r="G3358" s="633">
        <v>0.112</v>
      </c>
    </row>
    <row r="3359" spans="1:7" ht="18.75" x14ac:dyDescent="0.25">
      <c r="A3359" s="629" t="s">
        <v>3067</v>
      </c>
      <c r="B3359" s="630">
        <v>255</v>
      </c>
      <c r="C3359" s="631" t="str">
        <f t="shared" si="56"/>
        <v>Ô tô vận tải thùng 7 tấn255</v>
      </c>
      <c r="D3359" s="633">
        <v>0.189</v>
      </c>
      <c r="E3359" s="633">
        <v>0.19800000000000001</v>
      </c>
      <c r="F3359" s="633">
        <v>0.12</v>
      </c>
      <c r="G3359" s="633">
        <v>0.112</v>
      </c>
    </row>
    <row r="3360" spans="1:7" ht="18.75" x14ac:dyDescent="0.25">
      <c r="A3360" s="629" t="s">
        <v>3067</v>
      </c>
      <c r="B3360" s="630">
        <v>256</v>
      </c>
      <c r="C3360" s="631" t="str">
        <f t="shared" si="56"/>
        <v>Ô tô vận tải thùng 7 tấn256</v>
      </c>
      <c r="D3360" s="633">
        <v>0.189</v>
      </c>
      <c r="E3360" s="633">
        <v>0.19800000000000001</v>
      </c>
      <c r="F3360" s="633">
        <v>0.12</v>
      </c>
      <c r="G3360" s="633">
        <v>0.112</v>
      </c>
    </row>
    <row r="3361" spans="1:7" ht="18.75" x14ac:dyDescent="0.25">
      <c r="A3361" s="629" t="s">
        <v>3067</v>
      </c>
      <c r="B3361" s="630">
        <v>257</v>
      </c>
      <c r="C3361" s="631" t="str">
        <f t="shared" si="56"/>
        <v>Ô tô vận tải thùng 7 tấn257</v>
      </c>
      <c r="D3361" s="633">
        <v>0.189</v>
      </c>
      <c r="E3361" s="633">
        <v>0.19800000000000001</v>
      </c>
      <c r="F3361" s="633">
        <v>0.12</v>
      </c>
      <c r="G3361" s="633">
        <v>0.112</v>
      </c>
    </row>
    <row r="3362" spans="1:7" ht="18.75" x14ac:dyDescent="0.25">
      <c r="A3362" s="629" t="s">
        <v>3067</v>
      </c>
      <c r="B3362" s="630">
        <v>258</v>
      </c>
      <c r="C3362" s="631" t="str">
        <f t="shared" ref="C3362:C3425" si="57">A3362&amp;B3362</f>
        <v>Ô tô vận tải thùng 7 tấn258</v>
      </c>
      <c r="D3362" s="633">
        <v>0.189</v>
      </c>
      <c r="E3362" s="633">
        <v>0.19800000000000001</v>
      </c>
      <c r="F3362" s="633">
        <v>0.12</v>
      </c>
      <c r="G3362" s="633">
        <v>0.112</v>
      </c>
    </row>
    <row r="3363" spans="1:7" ht="18.75" x14ac:dyDescent="0.25">
      <c r="A3363" s="629" t="s">
        <v>3067</v>
      </c>
      <c r="B3363" s="630">
        <v>259</v>
      </c>
      <c r="C3363" s="631" t="str">
        <f t="shared" si="57"/>
        <v>Ô tô vận tải thùng 7 tấn259</v>
      </c>
      <c r="D3363" s="633">
        <v>0.189</v>
      </c>
      <c r="E3363" s="633">
        <v>0.19800000000000001</v>
      </c>
      <c r="F3363" s="633">
        <v>0.12</v>
      </c>
      <c r="G3363" s="633">
        <v>0.112</v>
      </c>
    </row>
    <row r="3364" spans="1:7" ht="18.75" x14ac:dyDescent="0.25">
      <c r="A3364" s="629" t="s">
        <v>3067</v>
      </c>
      <c r="B3364" s="630">
        <v>260</v>
      </c>
      <c r="C3364" s="631" t="str">
        <f t="shared" si="57"/>
        <v>Ô tô vận tải thùng 7 tấn260</v>
      </c>
      <c r="D3364" s="633">
        <v>0.189</v>
      </c>
      <c r="E3364" s="633">
        <v>0.19800000000000001</v>
      </c>
      <c r="F3364" s="633">
        <v>0.12</v>
      </c>
      <c r="G3364" s="633">
        <v>0.112</v>
      </c>
    </row>
    <row r="3365" spans="1:7" ht="18.75" x14ac:dyDescent="0.25">
      <c r="A3365" s="629" t="s">
        <v>3067</v>
      </c>
      <c r="B3365" s="630">
        <v>261</v>
      </c>
      <c r="C3365" s="631" t="str">
        <f t="shared" si="57"/>
        <v>Ô tô vận tải thùng 7 tấn261</v>
      </c>
      <c r="D3365" s="633">
        <v>0.189</v>
      </c>
      <c r="E3365" s="633">
        <v>0.19800000000000001</v>
      </c>
      <c r="F3365" s="633">
        <v>0.12</v>
      </c>
      <c r="G3365" s="633">
        <v>0.112</v>
      </c>
    </row>
    <row r="3366" spans="1:7" ht="18.75" x14ac:dyDescent="0.25">
      <c r="A3366" s="629" t="s">
        <v>3067</v>
      </c>
      <c r="B3366" s="630">
        <v>262</v>
      </c>
      <c r="C3366" s="631" t="str">
        <f t="shared" si="57"/>
        <v>Ô tô vận tải thùng 7 tấn262</v>
      </c>
      <c r="D3366" s="633">
        <v>0.189</v>
      </c>
      <c r="E3366" s="633">
        <v>0.19800000000000001</v>
      </c>
      <c r="F3366" s="633">
        <v>0.12</v>
      </c>
      <c r="G3366" s="633">
        <v>0.112</v>
      </c>
    </row>
    <row r="3367" spans="1:7" ht="18.75" x14ac:dyDescent="0.25">
      <c r="A3367" s="629" t="s">
        <v>3067</v>
      </c>
      <c r="B3367" s="630">
        <v>263</v>
      </c>
      <c r="C3367" s="631" t="str">
        <f t="shared" si="57"/>
        <v>Ô tô vận tải thùng 7 tấn263</v>
      </c>
      <c r="D3367" s="633">
        <v>0.189</v>
      </c>
      <c r="E3367" s="633">
        <v>0.19800000000000001</v>
      </c>
      <c r="F3367" s="633">
        <v>0.12</v>
      </c>
      <c r="G3367" s="633">
        <v>0.112</v>
      </c>
    </row>
    <row r="3368" spans="1:7" ht="18.75" x14ac:dyDescent="0.25">
      <c r="A3368" s="629" t="s">
        <v>3067</v>
      </c>
      <c r="B3368" s="630">
        <v>264</v>
      </c>
      <c r="C3368" s="631" t="str">
        <f t="shared" si="57"/>
        <v>Ô tô vận tải thùng 7 tấn264</v>
      </c>
      <c r="D3368" s="633">
        <v>0.189</v>
      </c>
      <c r="E3368" s="633">
        <v>0.19800000000000001</v>
      </c>
      <c r="F3368" s="633">
        <v>0.12</v>
      </c>
      <c r="G3368" s="633">
        <v>0.112</v>
      </c>
    </row>
    <row r="3369" spans="1:7" ht="18.75" x14ac:dyDescent="0.25">
      <c r="A3369" s="629" t="s">
        <v>3067</v>
      </c>
      <c r="B3369" s="630">
        <v>265</v>
      </c>
      <c r="C3369" s="631" t="str">
        <f t="shared" si="57"/>
        <v>Ô tô vận tải thùng 7 tấn265</v>
      </c>
      <c r="D3369" s="633">
        <v>0.189</v>
      </c>
      <c r="E3369" s="633">
        <v>0.19800000000000001</v>
      </c>
      <c r="F3369" s="633">
        <v>0.12</v>
      </c>
      <c r="G3369" s="633">
        <v>0.112</v>
      </c>
    </row>
    <row r="3370" spans="1:7" ht="18.75" x14ac:dyDescent="0.25">
      <c r="A3370" s="629" t="s">
        <v>3067</v>
      </c>
      <c r="B3370" s="630">
        <v>266</v>
      </c>
      <c r="C3370" s="631" t="str">
        <f t="shared" si="57"/>
        <v>Ô tô vận tải thùng 7 tấn266</v>
      </c>
      <c r="D3370" s="633">
        <v>0.189</v>
      </c>
      <c r="E3370" s="633">
        <v>0.19800000000000001</v>
      </c>
      <c r="F3370" s="633">
        <v>0.12</v>
      </c>
      <c r="G3370" s="633">
        <v>0.112</v>
      </c>
    </row>
    <row r="3371" spans="1:7" ht="18.75" x14ac:dyDescent="0.25">
      <c r="A3371" s="629" t="s">
        <v>3067</v>
      </c>
      <c r="B3371" s="630">
        <v>267</v>
      </c>
      <c r="C3371" s="631" t="str">
        <f t="shared" si="57"/>
        <v>Ô tô vận tải thùng 7 tấn267</v>
      </c>
      <c r="D3371" s="633">
        <v>0.189</v>
      </c>
      <c r="E3371" s="633">
        <v>0.19800000000000001</v>
      </c>
      <c r="F3371" s="633">
        <v>0.12</v>
      </c>
      <c r="G3371" s="633">
        <v>0.112</v>
      </c>
    </row>
    <row r="3372" spans="1:7" ht="18.75" x14ac:dyDescent="0.25">
      <c r="A3372" s="629" t="s">
        <v>3067</v>
      </c>
      <c r="B3372" s="630">
        <v>268</v>
      </c>
      <c r="C3372" s="631" t="str">
        <f t="shared" si="57"/>
        <v>Ô tô vận tải thùng 7 tấn268</v>
      </c>
      <c r="D3372" s="633">
        <v>0.189</v>
      </c>
      <c r="E3372" s="633">
        <v>0.19800000000000001</v>
      </c>
      <c r="F3372" s="633">
        <v>0.12</v>
      </c>
      <c r="G3372" s="633">
        <v>0.112</v>
      </c>
    </row>
    <row r="3373" spans="1:7" ht="18.75" x14ac:dyDescent="0.25">
      <c r="A3373" s="629" t="s">
        <v>3067</v>
      </c>
      <c r="B3373" s="630">
        <v>269</v>
      </c>
      <c r="C3373" s="631" t="str">
        <f t="shared" si="57"/>
        <v>Ô tô vận tải thùng 7 tấn269</v>
      </c>
      <c r="D3373" s="633">
        <v>0.189</v>
      </c>
      <c r="E3373" s="633">
        <v>0.19800000000000001</v>
      </c>
      <c r="F3373" s="633">
        <v>0.12</v>
      </c>
      <c r="G3373" s="633">
        <v>0.112</v>
      </c>
    </row>
    <row r="3374" spans="1:7" ht="18.75" x14ac:dyDescent="0.25">
      <c r="A3374" s="629" t="s">
        <v>3067</v>
      </c>
      <c r="B3374" s="630">
        <v>270</v>
      </c>
      <c r="C3374" s="631" t="str">
        <f t="shared" si="57"/>
        <v>Ô tô vận tải thùng 7 tấn270</v>
      </c>
      <c r="D3374" s="633">
        <v>0.189</v>
      </c>
      <c r="E3374" s="633">
        <v>0.19800000000000001</v>
      </c>
      <c r="F3374" s="633">
        <v>0.12</v>
      </c>
      <c r="G3374" s="633">
        <v>0.112</v>
      </c>
    </row>
    <row r="3375" spans="1:7" ht="18.75" x14ac:dyDescent="0.25">
      <c r="A3375" s="629" t="s">
        <v>3067</v>
      </c>
      <c r="B3375" s="630">
        <v>271</v>
      </c>
      <c r="C3375" s="631" t="str">
        <f t="shared" si="57"/>
        <v>Ô tô vận tải thùng 7 tấn271</v>
      </c>
      <c r="D3375" s="633">
        <v>0.189</v>
      </c>
      <c r="E3375" s="633">
        <v>0.19800000000000001</v>
      </c>
      <c r="F3375" s="633">
        <v>0.12</v>
      </c>
      <c r="G3375" s="633">
        <v>0.112</v>
      </c>
    </row>
    <row r="3376" spans="1:7" ht="18.75" x14ac:dyDescent="0.25">
      <c r="A3376" s="629" t="s">
        <v>3067</v>
      </c>
      <c r="B3376" s="630">
        <v>272</v>
      </c>
      <c r="C3376" s="631" t="str">
        <f t="shared" si="57"/>
        <v>Ô tô vận tải thùng 7 tấn272</v>
      </c>
      <c r="D3376" s="633">
        <v>0.189</v>
      </c>
      <c r="E3376" s="633">
        <v>0.19800000000000001</v>
      </c>
      <c r="F3376" s="633">
        <v>0.12</v>
      </c>
      <c r="G3376" s="633">
        <v>0.112</v>
      </c>
    </row>
    <row r="3377" spans="1:7" ht="18.75" x14ac:dyDescent="0.25">
      <c r="A3377" s="629" t="s">
        <v>3067</v>
      </c>
      <c r="B3377" s="630">
        <v>273</v>
      </c>
      <c r="C3377" s="631" t="str">
        <f t="shared" si="57"/>
        <v>Ô tô vận tải thùng 7 tấn273</v>
      </c>
      <c r="D3377" s="633">
        <v>0.189</v>
      </c>
      <c r="E3377" s="633">
        <v>0.19800000000000001</v>
      </c>
      <c r="F3377" s="633">
        <v>0.12</v>
      </c>
      <c r="G3377" s="633">
        <v>0.112</v>
      </c>
    </row>
    <row r="3378" spans="1:7" ht="18.75" x14ac:dyDescent="0.25">
      <c r="A3378" s="629" t="s">
        <v>3067</v>
      </c>
      <c r="B3378" s="630">
        <v>274</v>
      </c>
      <c r="C3378" s="631" t="str">
        <f t="shared" si="57"/>
        <v>Ô tô vận tải thùng 7 tấn274</v>
      </c>
      <c r="D3378" s="633">
        <v>0.189</v>
      </c>
      <c r="E3378" s="633">
        <v>0.19800000000000001</v>
      </c>
      <c r="F3378" s="633">
        <v>0.12</v>
      </c>
      <c r="G3378" s="633">
        <v>0.112</v>
      </c>
    </row>
    <row r="3379" spans="1:7" ht="18.75" x14ac:dyDescent="0.25">
      <c r="A3379" s="629" t="s">
        <v>3067</v>
      </c>
      <c r="B3379" s="630">
        <v>275</v>
      </c>
      <c r="C3379" s="631" t="str">
        <f t="shared" si="57"/>
        <v>Ô tô vận tải thùng 7 tấn275</v>
      </c>
      <c r="D3379" s="633">
        <v>0.189</v>
      </c>
      <c r="E3379" s="633">
        <v>0.19800000000000001</v>
      </c>
      <c r="F3379" s="633">
        <v>0.12</v>
      </c>
      <c r="G3379" s="633">
        <v>0.112</v>
      </c>
    </row>
    <row r="3380" spans="1:7" ht="18.75" x14ac:dyDescent="0.25">
      <c r="A3380" s="629" t="s">
        <v>3067</v>
      </c>
      <c r="B3380" s="630">
        <v>276</v>
      </c>
      <c r="C3380" s="631" t="str">
        <f t="shared" si="57"/>
        <v>Ô tô vận tải thùng 7 tấn276</v>
      </c>
      <c r="D3380" s="633">
        <v>0.189</v>
      </c>
      <c r="E3380" s="633">
        <v>0.19800000000000001</v>
      </c>
      <c r="F3380" s="633">
        <v>0.12</v>
      </c>
      <c r="G3380" s="633">
        <v>0.112</v>
      </c>
    </row>
    <row r="3381" spans="1:7" ht="18.75" x14ac:dyDescent="0.25">
      <c r="A3381" s="629" t="s">
        <v>3067</v>
      </c>
      <c r="B3381" s="630">
        <v>277</v>
      </c>
      <c r="C3381" s="631" t="str">
        <f t="shared" si="57"/>
        <v>Ô tô vận tải thùng 7 tấn277</v>
      </c>
      <c r="D3381" s="633">
        <v>0.189</v>
      </c>
      <c r="E3381" s="633">
        <v>0.19800000000000001</v>
      </c>
      <c r="F3381" s="633">
        <v>0.12</v>
      </c>
      <c r="G3381" s="633">
        <v>0.112</v>
      </c>
    </row>
    <row r="3382" spans="1:7" ht="18.75" x14ac:dyDescent="0.25">
      <c r="A3382" s="629" t="s">
        <v>3067</v>
      </c>
      <c r="B3382" s="630">
        <v>278</v>
      </c>
      <c r="C3382" s="631" t="str">
        <f t="shared" si="57"/>
        <v>Ô tô vận tải thùng 7 tấn278</v>
      </c>
      <c r="D3382" s="633">
        <v>0.189</v>
      </c>
      <c r="E3382" s="633">
        <v>0.19800000000000001</v>
      </c>
      <c r="F3382" s="633">
        <v>0.12</v>
      </c>
      <c r="G3382" s="633">
        <v>0.112</v>
      </c>
    </row>
    <row r="3383" spans="1:7" ht="18.75" x14ac:dyDescent="0.25">
      <c r="A3383" s="629" t="s">
        <v>3067</v>
      </c>
      <c r="B3383" s="630">
        <v>279</v>
      </c>
      <c r="C3383" s="631" t="str">
        <f t="shared" si="57"/>
        <v>Ô tô vận tải thùng 7 tấn279</v>
      </c>
      <c r="D3383" s="633">
        <v>0.189</v>
      </c>
      <c r="E3383" s="633">
        <v>0.19800000000000001</v>
      </c>
      <c r="F3383" s="633">
        <v>0.12</v>
      </c>
      <c r="G3383" s="633">
        <v>0.112</v>
      </c>
    </row>
    <row r="3384" spans="1:7" ht="18.75" x14ac:dyDescent="0.25">
      <c r="A3384" s="629" t="s">
        <v>3067</v>
      </c>
      <c r="B3384" s="630">
        <v>280</v>
      </c>
      <c r="C3384" s="631" t="str">
        <f t="shared" si="57"/>
        <v>Ô tô vận tải thùng 7 tấn280</v>
      </c>
      <c r="D3384" s="633">
        <v>0.189</v>
      </c>
      <c r="E3384" s="633">
        <v>0.19800000000000001</v>
      </c>
      <c r="F3384" s="633">
        <v>0.12</v>
      </c>
      <c r="G3384" s="633">
        <v>0.112</v>
      </c>
    </row>
    <row r="3385" spans="1:7" ht="18.75" x14ac:dyDescent="0.25">
      <c r="A3385" s="629" t="s">
        <v>3067</v>
      </c>
      <c r="B3385" s="630">
        <v>281</v>
      </c>
      <c r="C3385" s="631" t="str">
        <f t="shared" si="57"/>
        <v>Ô tô vận tải thùng 7 tấn281</v>
      </c>
      <c r="D3385" s="633">
        <v>0.189</v>
      </c>
      <c r="E3385" s="633">
        <v>0.19800000000000001</v>
      </c>
      <c r="F3385" s="633">
        <v>0.12</v>
      </c>
      <c r="G3385" s="633">
        <v>0.112</v>
      </c>
    </row>
    <row r="3386" spans="1:7" ht="18.75" x14ac:dyDescent="0.25">
      <c r="A3386" s="629" t="s">
        <v>3067</v>
      </c>
      <c r="B3386" s="630">
        <v>282</v>
      </c>
      <c r="C3386" s="631" t="str">
        <f t="shared" si="57"/>
        <v>Ô tô vận tải thùng 7 tấn282</v>
      </c>
      <c r="D3386" s="633">
        <v>0.189</v>
      </c>
      <c r="E3386" s="633">
        <v>0.19800000000000001</v>
      </c>
      <c r="F3386" s="633">
        <v>0.12</v>
      </c>
      <c r="G3386" s="633">
        <v>0.112</v>
      </c>
    </row>
    <row r="3387" spans="1:7" ht="18.75" x14ac:dyDescent="0.25">
      <c r="A3387" s="629" t="s">
        <v>3067</v>
      </c>
      <c r="B3387" s="630">
        <v>283</v>
      </c>
      <c r="C3387" s="631" t="str">
        <f t="shared" si="57"/>
        <v>Ô tô vận tải thùng 7 tấn283</v>
      </c>
      <c r="D3387" s="633">
        <v>0.189</v>
      </c>
      <c r="E3387" s="633">
        <v>0.19800000000000001</v>
      </c>
      <c r="F3387" s="633">
        <v>0.12</v>
      </c>
      <c r="G3387" s="633">
        <v>0.112</v>
      </c>
    </row>
    <row r="3388" spans="1:7" ht="18.75" x14ac:dyDescent="0.25">
      <c r="A3388" s="629" t="s">
        <v>3067</v>
      </c>
      <c r="B3388" s="630">
        <v>284</v>
      </c>
      <c r="C3388" s="631" t="str">
        <f t="shared" si="57"/>
        <v>Ô tô vận tải thùng 7 tấn284</v>
      </c>
      <c r="D3388" s="633">
        <v>0.189</v>
      </c>
      <c r="E3388" s="633">
        <v>0.19800000000000001</v>
      </c>
      <c r="F3388" s="633">
        <v>0.12</v>
      </c>
      <c r="G3388" s="633">
        <v>0.112</v>
      </c>
    </row>
    <row r="3389" spans="1:7" ht="18.75" x14ac:dyDescent="0.25">
      <c r="A3389" s="629" t="s">
        <v>3067</v>
      </c>
      <c r="B3389" s="630">
        <v>285</v>
      </c>
      <c r="C3389" s="631" t="str">
        <f t="shared" si="57"/>
        <v>Ô tô vận tải thùng 7 tấn285</v>
      </c>
      <c r="D3389" s="633">
        <v>0.189</v>
      </c>
      <c r="E3389" s="633">
        <v>0.19800000000000001</v>
      </c>
      <c r="F3389" s="633">
        <v>0.12</v>
      </c>
      <c r="G3389" s="633">
        <v>0.112</v>
      </c>
    </row>
    <row r="3390" spans="1:7" ht="18.75" x14ac:dyDescent="0.25">
      <c r="A3390" s="629" t="s">
        <v>3067</v>
      </c>
      <c r="B3390" s="630">
        <v>286</v>
      </c>
      <c r="C3390" s="631" t="str">
        <f t="shared" si="57"/>
        <v>Ô tô vận tải thùng 7 tấn286</v>
      </c>
      <c r="D3390" s="633">
        <v>0.189</v>
      </c>
      <c r="E3390" s="633">
        <v>0.19800000000000001</v>
      </c>
      <c r="F3390" s="633">
        <v>0.12</v>
      </c>
      <c r="G3390" s="633">
        <v>0.112</v>
      </c>
    </row>
    <row r="3391" spans="1:7" ht="18.75" x14ac:dyDescent="0.25">
      <c r="A3391" s="629" t="s">
        <v>3067</v>
      </c>
      <c r="B3391" s="630">
        <v>287</v>
      </c>
      <c r="C3391" s="631" t="str">
        <f t="shared" si="57"/>
        <v>Ô tô vận tải thùng 7 tấn287</v>
      </c>
      <c r="D3391" s="633">
        <v>0.189</v>
      </c>
      <c r="E3391" s="633">
        <v>0.19800000000000001</v>
      </c>
      <c r="F3391" s="633">
        <v>0.12</v>
      </c>
      <c r="G3391" s="633">
        <v>0.112</v>
      </c>
    </row>
    <row r="3392" spans="1:7" ht="18.75" x14ac:dyDescent="0.25">
      <c r="A3392" s="629" t="s">
        <v>3067</v>
      </c>
      <c r="B3392" s="630">
        <v>288</v>
      </c>
      <c r="C3392" s="631" t="str">
        <f t="shared" si="57"/>
        <v>Ô tô vận tải thùng 7 tấn288</v>
      </c>
      <c r="D3392" s="633">
        <v>0.189</v>
      </c>
      <c r="E3392" s="633">
        <v>0.19800000000000001</v>
      </c>
      <c r="F3392" s="633">
        <v>0.12</v>
      </c>
      <c r="G3392" s="633">
        <v>0.112</v>
      </c>
    </row>
    <row r="3393" spans="1:7" ht="18.75" x14ac:dyDescent="0.25">
      <c r="A3393" s="629" t="s">
        <v>3067</v>
      </c>
      <c r="B3393" s="630">
        <v>289</v>
      </c>
      <c r="C3393" s="631" t="str">
        <f t="shared" si="57"/>
        <v>Ô tô vận tải thùng 7 tấn289</v>
      </c>
      <c r="D3393" s="633">
        <v>0.189</v>
      </c>
      <c r="E3393" s="633">
        <v>0.19800000000000001</v>
      </c>
      <c r="F3393" s="633">
        <v>0.12</v>
      </c>
      <c r="G3393" s="633">
        <v>0.112</v>
      </c>
    </row>
    <row r="3394" spans="1:7" ht="18.75" x14ac:dyDescent="0.25">
      <c r="A3394" s="629" t="s">
        <v>3067</v>
      </c>
      <c r="B3394" s="630">
        <v>290</v>
      </c>
      <c r="C3394" s="631" t="str">
        <f t="shared" si="57"/>
        <v>Ô tô vận tải thùng 7 tấn290</v>
      </c>
      <c r="D3394" s="633">
        <v>0.189</v>
      </c>
      <c r="E3394" s="633">
        <v>0.19800000000000001</v>
      </c>
      <c r="F3394" s="633">
        <v>0.12</v>
      </c>
      <c r="G3394" s="633">
        <v>0.112</v>
      </c>
    </row>
    <row r="3395" spans="1:7" ht="18.75" x14ac:dyDescent="0.25">
      <c r="A3395" s="629" t="s">
        <v>3067</v>
      </c>
      <c r="B3395" s="630">
        <v>291</v>
      </c>
      <c r="C3395" s="631" t="str">
        <f t="shared" si="57"/>
        <v>Ô tô vận tải thùng 7 tấn291</v>
      </c>
      <c r="D3395" s="633">
        <v>0.189</v>
      </c>
      <c r="E3395" s="633">
        <v>0.19800000000000001</v>
      </c>
      <c r="F3395" s="633">
        <v>0.12</v>
      </c>
      <c r="G3395" s="633">
        <v>0.112</v>
      </c>
    </row>
    <row r="3396" spans="1:7" ht="18.75" x14ac:dyDescent="0.25">
      <c r="A3396" s="629" t="s">
        <v>3067</v>
      </c>
      <c r="B3396" s="630">
        <v>292</v>
      </c>
      <c r="C3396" s="631" t="str">
        <f t="shared" si="57"/>
        <v>Ô tô vận tải thùng 7 tấn292</v>
      </c>
      <c r="D3396" s="633">
        <v>0.189</v>
      </c>
      <c r="E3396" s="633">
        <v>0.19800000000000001</v>
      </c>
      <c r="F3396" s="633">
        <v>0.12</v>
      </c>
      <c r="G3396" s="633">
        <v>0.112</v>
      </c>
    </row>
    <row r="3397" spans="1:7" ht="18.75" x14ac:dyDescent="0.25">
      <c r="A3397" s="629" t="s">
        <v>3067</v>
      </c>
      <c r="B3397" s="630">
        <v>293</v>
      </c>
      <c r="C3397" s="631" t="str">
        <f t="shared" si="57"/>
        <v>Ô tô vận tải thùng 7 tấn293</v>
      </c>
      <c r="D3397" s="633">
        <v>0.189</v>
      </c>
      <c r="E3397" s="633">
        <v>0.19800000000000001</v>
      </c>
      <c r="F3397" s="633">
        <v>0.12</v>
      </c>
      <c r="G3397" s="633">
        <v>0.112</v>
      </c>
    </row>
    <row r="3398" spans="1:7" ht="18.75" x14ac:dyDescent="0.25">
      <c r="A3398" s="629" t="s">
        <v>3067</v>
      </c>
      <c r="B3398" s="630">
        <v>294</v>
      </c>
      <c r="C3398" s="631" t="str">
        <f t="shared" si="57"/>
        <v>Ô tô vận tải thùng 7 tấn294</v>
      </c>
      <c r="D3398" s="633">
        <v>0.189</v>
      </c>
      <c r="E3398" s="633">
        <v>0.19800000000000001</v>
      </c>
      <c r="F3398" s="633">
        <v>0.12</v>
      </c>
      <c r="G3398" s="633">
        <v>0.112</v>
      </c>
    </row>
    <row r="3399" spans="1:7" ht="18.75" x14ac:dyDescent="0.25">
      <c r="A3399" s="629" t="s">
        <v>3067</v>
      </c>
      <c r="B3399" s="630">
        <v>295</v>
      </c>
      <c r="C3399" s="631" t="str">
        <f t="shared" si="57"/>
        <v>Ô tô vận tải thùng 7 tấn295</v>
      </c>
      <c r="D3399" s="633">
        <v>0.189</v>
      </c>
      <c r="E3399" s="633">
        <v>0.19800000000000001</v>
      </c>
      <c r="F3399" s="633">
        <v>0.12</v>
      </c>
      <c r="G3399" s="633">
        <v>0.112</v>
      </c>
    </row>
    <row r="3400" spans="1:7" ht="18.75" x14ac:dyDescent="0.25">
      <c r="A3400" s="629" t="s">
        <v>3067</v>
      </c>
      <c r="B3400" s="630">
        <v>296</v>
      </c>
      <c r="C3400" s="631" t="str">
        <f t="shared" si="57"/>
        <v>Ô tô vận tải thùng 7 tấn296</v>
      </c>
      <c r="D3400" s="633">
        <v>0.189</v>
      </c>
      <c r="E3400" s="633">
        <v>0.19800000000000001</v>
      </c>
      <c r="F3400" s="633">
        <v>0.12</v>
      </c>
      <c r="G3400" s="633">
        <v>0.112</v>
      </c>
    </row>
    <row r="3401" spans="1:7" ht="18.75" x14ac:dyDescent="0.25">
      <c r="A3401" s="629" t="s">
        <v>3067</v>
      </c>
      <c r="B3401" s="630">
        <v>297</v>
      </c>
      <c r="C3401" s="631" t="str">
        <f t="shared" si="57"/>
        <v>Ô tô vận tải thùng 7 tấn297</v>
      </c>
      <c r="D3401" s="633">
        <v>0.189</v>
      </c>
      <c r="E3401" s="633">
        <v>0.19800000000000001</v>
      </c>
      <c r="F3401" s="633">
        <v>0.12</v>
      </c>
      <c r="G3401" s="633">
        <v>0.112</v>
      </c>
    </row>
    <row r="3402" spans="1:7" ht="18.75" x14ac:dyDescent="0.25">
      <c r="A3402" s="629" t="s">
        <v>3067</v>
      </c>
      <c r="B3402" s="630">
        <v>298</v>
      </c>
      <c r="C3402" s="631" t="str">
        <f t="shared" si="57"/>
        <v>Ô tô vận tải thùng 7 tấn298</v>
      </c>
      <c r="D3402" s="633">
        <v>0.189</v>
      </c>
      <c r="E3402" s="633">
        <v>0.19800000000000001</v>
      </c>
      <c r="F3402" s="633">
        <v>0.12</v>
      </c>
      <c r="G3402" s="633">
        <v>0.112</v>
      </c>
    </row>
    <row r="3403" spans="1:7" ht="18.75" x14ac:dyDescent="0.25">
      <c r="A3403" s="629" t="s">
        <v>3067</v>
      </c>
      <c r="B3403" s="630">
        <v>299</v>
      </c>
      <c r="C3403" s="631" t="str">
        <f t="shared" si="57"/>
        <v>Ô tô vận tải thùng 7 tấn299</v>
      </c>
      <c r="D3403" s="633">
        <v>0.189</v>
      </c>
      <c r="E3403" s="633">
        <v>0.19800000000000001</v>
      </c>
      <c r="F3403" s="633">
        <v>0.12</v>
      </c>
      <c r="G3403" s="633">
        <v>0.112</v>
      </c>
    </row>
    <row r="3404" spans="1:7" ht="18.75" x14ac:dyDescent="0.25">
      <c r="A3404" s="629" t="s">
        <v>3067</v>
      </c>
      <c r="B3404" s="630">
        <v>300</v>
      </c>
      <c r="C3404" s="631" t="str">
        <f t="shared" si="57"/>
        <v>Ô tô vận tải thùng 7 tấn300</v>
      </c>
      <c r="D3404" s="633">
        <v>0.189</v>
      </c>
      <c r="E3404" s="633">
        <v>0.19800000000000001</v>
      </c>
      <c r="F3404" s="633">
        <v>0.12</v>
      </c>
      <c r="G3404" s="633">
        <v>0.112</v>
      </c>
    </row>
    <row r="3405" spans="1:7" ht="18.75" x14ac:dyDescent="0.25">
      <c r="A3405" s="629" t="s">
        <v>3067</v>
      </c>
      <c r="B3405" s="630">
        <v>301</v>
      </c>
      <c r="C3405" s="631" t="str">
        <f t="shared" si="57"/>
        <v>Ô tô vận tải thùng 7 tấn301</v>
      </c>
      <c r="D3405" s="633">
        <v>0.189</v>
      </c>
      <c r="E3405" s="633">
        <v>0.19800000000000001</v>
      </c>
      <c r="F3405" s="633">
        <v>0.12</v>
      </c>
      <c r="G3405" s="633">
        <v>0.112</v>
      </c>
    </row>
    <row r="3406" spans="1:7" ht="18.75" x14ac:dyDescent="0.25">
      <c r="A3406" s="629" t="s">
        <v>3067</v>
      </c>
      <c r="B3406" s="630">
        <v>302</v>
      </c>
      <c r="C3406" s="631" t="str">
        <f t="shared" si="57"/>
        <v>Ô tô vận tải thùng 7 tấn302</v>
      </c>
      <c r="D3406" s="633">
        <v>0.189</v>
      </c>
      <c r="E3406" s="633">
        <v>0.19800000000000001</v>
      </c>
      <c r="F3406" s="633">
        <v>0.12</v>
      </c>
      <c r="G3406" s="633">
        <v>0.112</v>
      </c>
    </row>
    <row r="3407" spans="1:7" ht="18.75" x14ac:dyDescent="0.25">
      <c r="A3407" s="629" t="s">
        <v>3067</v>
      </c>
      <c r="B3407" s="630">
        <v>303</v>
      </c>
      <c r="C3407" s="631" t="str">
        <f t="shared" si="57"/>
        <v>Ô tô vận tải thùng 7 tấn303</v>
      </c>
      <c r="D3407" s="633">
        <v>0.189</v>
      </c>
      <c r="E3407" s="633">
        <v>0.19800000000000001</v>
      </c>
      <c r="F3407" s="633">
        <v>0.12</v>
      </c>
      <c r="G3407" s="633">
        <v>0.112</v>
      </c>
    </row>
    <row r="3408" spans="1:7" ht="18.75" x14ac:dyDescent="0.25">
      <c r="A3408" s="629" t="s">
        <v>3067</v>
      </c>
      <c r="B3408" s="630">
        <v>304</v>
      </c>
      <c r="C3408" s="631" t="str">
        <f t="shared" si="57"/>
        <v>Ô tô vận tải thùng 7 tấn304</v>
      </c>
      <c r="D3408" s="633">
        <v>0.189</v>
      </c>
      <c r="E3408" s="633">
        <v>0.19800000000000001</v>
      </c>
      <c r="F3408" s="633">
        <v>0.12</v>
      </c>
      <c r="G3408" s="633">
        <v>0.112</v>
      </c>
    </row>
    <row r="3409" spans="1:7" ht="18.75" x14ac:dyDescent="0.25">
      <c r="A3409" s="629" t="s">
        <v>3067</v>
      </c>
      <c r="B3409" s="630">
        <v>305</v>
      </c>
      <c r="C3409" s="631" t="str">
        <f t="shared" si="57"/>
        <v>Ô tô vận tải thùng 7 tấn305</v>
      </c>
      <c r="D3409" s="633">
        <v>0.189</v>
      </c>
      <c r="E3409" s="633">
        <v>0.19800000000000001</v>
      </c>
      <c r="F3409" s="633">
        <v>0.12</v>
      </c>
      <c r="G3409" s="633">
        <v>0.112</v>
      </c>
    </row>
    <row r="3410" spans="1:7" ht="18.75" x14ac:dyDescent="0.25">
      <c r="A3410" s="629" t="s">
        <v>3067</v>
      </c>
      <c r="B3410" s="630">
        <v>306</v>
      </c>
      <c r="C3410" s="631" t="str">
        <f t="shared" si="57"/>
        <v>Ô tô vận tải thùng 7 tấn306</v>
      </c>
      <c r="D3410" s="633">
        <v>0.189</v>
      </c>
      <c r="E3410" s="633">
        <v>0.19800000000000001</v>
      </c>
      <c r="F3410" s="633">
        <v>0.12</v>
      </c>
      <c r="G3410" s="633">
        <v>0.112</v>
      </c>
    </row>
    <row r="3411" spans="1:7" ht="18.75" x14ac:dyDescent="0.25">
      <c r="A3411" s="629" t="s">
        <v>3067</v>
      </c>
      <c r="B3411" s="630">
        <v>307</v>
      </c>
      <c r="C3411" s="631" t="str">
        <f t="shared" si="57"/>
        <v>Ô tô vận tải thùng 7 tấn307</v>
      </c>
      <c r="D3411" s="633">
        <v>0.189</v>
      </c>
      <c r="E3411" s="633">
        <v>0.19800000000000001</v>
      </c>
      <c r="F3411" s="633">
        <v>0.12</v>
      </c>
      <c r="G3411" s="633">
        <v>0.112</v>
      </c>
    </row>
    <row r="3412" spans="1:7" ht="18.75" x14ac:dyDescent="0.25">
      <c r="A3412" s="629" t="s">
        <v>3067</v>
      </c>
      <c r="B3412" s="630">
        <v>308</v>
      </c>
      <c r="C3412" s="631" t="str">
        <f t="shared" si="57"/>
        <v>Ô tô vận tải thùng 7 tấn308</v>
      </c>
      <c r="D3412" s="633">
        <v>0.189</v>
      </c>
      <c r="E3412" s="633">
        <v>0.19800000000000001</v>
      </c>
      <c r="F3412" s="633">
        <v>0.12</v>
      </c>
      <c r="G3412" s="633">
        <v>0.112</v>
      </c>
    </row>
    <row r="3413" spans="1:7" ht="18.75" x14ac:dyDescent="0.25">
      <c r="A3413" s="629" t="s">
        <v>3067</v>
      </c>
      <c r="B3413" s="630">
        <v>309</v>
      </c>
      <c r="C3413" s="631" t="str">
        <f t="shared" si="57"/>
        <v>Ô tô vận tải thùng 7 tấn309</v>
      </c>
      <c r="D3413" s="633">
        <v>0.189</v>
      </c>
      <c r="E3413" s="633">
        <v>0.19800000000000001</v>
      </c>
      <c r="F3413" s="633">
        <v>0.12</v>
      </c>
      <c r="G3413" s="633">
        <v>0.112</v>
      </c>
    </row>
    <row r="3414" spans="1:7" ht="18.75" x14ac:dyDescent="0.25">
      <c r="A3414" s="629" t="s">
        <v>3067</v>
      </c>
      <c r="B3414" s="630">
        <v>310</v>
      </c>
      <c r="C3414" s="631" t="str">
        <f t="shared" si="57"/>
        <v>Ô tô vận tải thùng 7 tấn310</v>
      </c>
      <c r="D3414" s="633">
        <v>0.189</v>
      </c>
      <c r="E3414" s="633">
        <v>0.19800000000000001</v>
      </c>
      <c r="F3414" s="633">
        <v>0.12</v>
      </c>
      <c r="G3414" s="633">
        <v>0.112</v>
      </c>
    </row>
    <row r="3415" spans="1:7" ht="18.75" x14ac:dyDescent="0.25">
      <c r="A3415" s="629" t="s">
        <v>3067</v>
      </c>
      <c r="B3415" s="630">
        <v>311</v>
      </c>
      <c r="C3415" s="631" t="str">
        <f t="shared" si="57"/>
        <v>Ô tô vận tải thùng 7 tấn311</v>
      </c>
      <c r="D3415" s="633">
        <v>0.189</v>
      </c>
      <c r="E3415" s="633">
        <v>0.19800000000000001</v>
      </c>
      <c r="F3415" s="633">
        <v>0.12</v>
      </c>
      <c r="G3415" s="633">
        <v>0.112</v>
      </c>
    </row>
    <row r="3416" spans="1:7" ht="18.75" x14ac:dyDescent="0.25">
      <c r="A3416" s="629" t="s">
        <v>3067</v>
      </c>
      <c r="B3416" s="630">
        <v>312</v>
      </c>
      <c r="C3416" s="631" t="str">
        <f t="shared" si="57"/>
        <v>Ô tô vận tải thùng 7 tấn312</v>
      </c>
      <c r="D3416" s="633">
        <v>0.189</v>
      </c>
      <c r="E3416" s="633">
        <v>0.19800000000000001</v>
      </c>
      <c r="F3416" s="633">
        <v>0.12</v>
      </c>
      <c r="G3416" s="633">
        <v>0.112</v>
      </c>
    </row>
    <row r="3417" spans="1:7" ht="18.75" x14ac:dyDescent="0.25">
      <c r="A3417" s="629" t="s">
        <v>3067</v>
      </c>
      <c r="B3417" s="630">
        <v>313</v>
      </c>
      <c r="C3417" s="631" t="str">
        <f t="shared" si="57"/>
        <v>Ô tô vận tải thùng 7 tấn313</v>
      </c>
      <c r="D3417" s="633">
        <v>0.189</v>
      </c>
      <c r="E3417" s="633">
        <v>0.19800000000000001</v>
      </c>
      <c r="F3417" s="633">
        <v>0.12</v>
      </c>
      <c r="G3417" s="633">
        <v>0.112</v>
      </c>
    </row>
    <row r="3418" spans="1:7" ht="18.75" x14ac:dyDescent="0.25">
      <c r="A3418" s="629" t="s">
        <v>3067</v>
      </c>
      <c r="B3418" s="630">
        <v>314</v>
      </c>
      <c r="C3418" s="631" t="str">
        <f t="shared" si="57"/>
        <v>Ô tô vận tải thùng 7 tấn314</v>
      </c>
      <c r="D3418" s="633">
        <v>0.189</v>
      </c>
      <c r="E3418" s="633">
        <v>0.19800000000000001</v>
      </c>
      <c r="F3418" s="633">
        <v>0.12</v>
      </c>
      <c r="G3418" s="633">
        <v>0.112</v>
      </c>
    </row>
    <row r="3419" spans="1:7" ht="18.75" x14ac:dyDescent="0.25">
      <c r="A3419" s="629" t="s">
        <v>3067</v>
      </c>
      <c r="B3419" s="630">
        <v>315</v>
      </c>
      <c r="C3419" s="631" t="str">
        <f t="shared" si="57"/>
        <v>Ô tô vận tải thùng 7 tấn315</v>
      </c>
      <c r="D3419" s="633">
        <v>0.189</v>
      </c>
      <c r="E3419" s="633">
        <v>0.19800000000000001</v>
      </c>
      <c r="F3419" s="633">
        <v>0.12</v>
      </c>
      <c r="G3419" s="633">
        <v>0.112</v>
      </c>
    </row>
    <row r="3420" spans="1:7" ht="18.75" x14ac:dyDescent="0.25">
      <c r="A3420" s="629" t="s">
        <v>3067</v>
      </c>
      <c r="B3420" s="630">
        <v>316</v>
      </c>
      <c r="C3420" s="631" t="str">
        <f t="shared" si="57"/>
        <v>Ô tô vận tải thùng 7 tấn316</v>
      </c>
      <c r="D3420" s="633">
        <v>0.189</v>
      </c>
      <c r="E3420" s="633">
        <v>0.19800000000000001</v>
      </c>
      <c r="F3420" s="633">
        <v>0.12</v>
      </c>
      <c r="G3420" s="633">
        <v>0.112</v>
      </c>
    </row>
    <row r="3421" spans="1:7" ht="18.75" x14ac:dyDescent="0.25">
      <c r="A3421" s="629" t="s">
        <v>3067</v>
      </c>
      <c r="B3421" s="630">
        <v>317</v>
      </c>
      <c r="C3421" s="631" t="str">
        <f t="shared" si="57"/>
        <v>Ô tô vận tải thùng 7 tấn317</v>
      </c>
      <c r="D3421" s="633">
        <v>0.189</v>
      </c>
      <c r="E3421" s="633">
        <v>0.19800000000000001</v>
      </c>
      <c r="F3421" s="633">
        <v>0.12</v>
      </c>
      <c r="G3421" s="633">
        <v>0.112</v>
      </c>
    </row>
    <row r="3422" spans="1:7" ht="18.75" x14ac:dyDescent="0.25">
      <c r="A3422" s="629" t="s">
        <v>3067</v>
      </c>
      <c r="B3422" s="630">
        <v>318</v>
      </c>
      <c r="C3422" s="631" t="str">
        <f t="shared" si="57"/>
        <v>Ô tô vận tải thùng 7 tấn318</v>
      </c>
      <c r="D3422" s="633">
        <v>0.189</v>
      </c>
      <c r="E3422" s="633">
        <v>0.19800000000000001</v>
      </c>
      <c r="F3422" s="633">
        <v>0.12</v>
      </c>
      <c r="G3422" s="633">
        <v>0.112</v>
      </c>
    </row>
    <row r="3423" spans="1:7" ht="18.75" x14ac:dyDescent="0.25">
      <c r="A3423" s="629" t="s">
        <v>3067</v>
      </c>
      <c r="B3423" s="630">
        <v>319</v>
      </c>
      <c r="C3423" s="631" t="str">
        <f t="shared" si="57"/>
        <v>Ô tô vận tải thùng 7 tấn319</v>
      </c>
      <c r="D3423" s="633">
        <v>0.189</v>
      </c>
      <c r="E3423" s="633">
        <v>0.19800000000000001</v>
      </c>
      <c r="F3423" s="633">
        <v>0.12</v>
      </c>
      <c r="G3423" s="633">
        <v>0.112</v>
      </c>
    </row>
    <row r="3424" spans="1:7" ht="18.75" x14ac:dyDescent="0.25">
      <c r="A3424" s="629" t="s">
        <v>3067</v>
      </c>
      <c r="B3424" s="630">
        <v>320</v>
      </c>
      <c r="C3424" s="631" t="str">
        <f t="shared" si="57"/>
        <v>Ô tô vận tải thùng 7 tấn320</v>
      </c>
      <c r="D3424" s="633">
        <v>0.189</v>
      </c>
      <c r="E3424" s="633">
        <v>0.19800000000000001</v>
      </c>
      <c r="F3424" s="633">
        <v>0.12</v>
      </c>
      <c r="G3424" s="633">
        <v>0.112</v>
      </c>
    </row>
    <row r="3425" spans="1:7" ht="18.75" x14ac:dyDescent="0.25">
      <c r="A3425" s="629" t="s">
        <v>3067</v>
      </c>
      <c r="B3425" s="630">
        <v>321</v>
      </c>
      <c r="C3425" s="631" t="str">
        <f t="shared" si="57"/>
        <v>Ô tô vận tải thùng 7 tấn321</v>
      </c>
      <c r="D3425" s="633">
        <v>0.189</v>
      </c>
      <c r="E3425" s="633">
        <v>0.19800000000000001</v>
      </c>
      <c r="F3425" s="633">
        <v>0.12</v>
      </c>
      <c r="G3425" s="633">
        <v>0.112</v>
      </c>
    </row>
    <row r="3426" spans="1:7" ht="18.75" x14ac:dyDescent="0.25">
      <c r="A3426" s="629" t="s">
        <v>3067</v>
      </c>
      <c r="B3426" s="630">
        <v>322</v>
      </c>
      <c r="C3426" s="631" t="str">
        <f t="shared" ref="C3426:C3489" si="58">A3426&amp;B3426</f>
        <v>Ô tô vận tải thùng 7 tấn322</v>
      </c>
      <c r="D3426" s="633">
        <v>0.189</v>
      </c>
      <c r="E3426" s="633">
        <v>0.19800000000000001</v>
      </c>
      <c r="F3426" s="633">
        <v>0.12</v>
      </c>
      <c r="G3426" s="633">
        <v>0.112</v>
      </c>
    </row>
    <row r="3427" spans="1:7" ht="18.75" x14ac:dyDescent="0.25">
      <c r="A3427" s="629" t="s">
        <v>3067</v>
      </c>
      <c r="B3427" s="630">
        <v>323</v>
      </c>
      <c r="C3427" s="631" t="str">
        <f t="shared" si="58"/>
        <v>Ô tô vận tải thùng 7 tấn323</v>
      </c>
      <c r="D3427" s="633">
        <v>0.189</v>
      </c>
      <c r="E3427" s="633">
        <v>0.19800000000000001</v>
      </c>
      <c r="F3427" s="633">
        <v>0.12</v>
      </c>
      <c r="G3427" s="633">
        <v>0.112</v>
      </c>
    </row>
    <row r="3428" spans="1:7" ht="18.75" x14ac:dyDescent="0.25">
      <c r="A3428" s="629" t="s">
        <v>3067</v>
      </c>
      <c r="B3428" s="630">
        <v>324</v>
      </c>
      <c r="C3428" s="631" t="str">
        <f t="shared" si="58"/>
        <v>Ô tô vận tải thùng 7 tấn324</v>
      </c>
      <c r="D3428" s="633">
        <v>0.189</v>
      </c>
      <c r="E3428" s="633">
        <v>0.19800000000000001</v>
      </c>
      <c r="F3428" s="633">
        <v>0.12</v>
      </c>
      <c r="G3428" s="633">
        <v>0.112</v>
      </c>
    </row>
    <row r="3429" spans="1:7" ht="18.75" x14ac:dyDescent="0.25">
      <c r="A3429" s="629" t="s">
        <v>3067</v>
      </c>
      <c r="B3429" s="630">
        <v>325</v>
      </c>
      <c r="C3429" s="631" t="str">
        <f t="shared" si="58"/>
        <v>Ô tô vận tải thùng 7 tấn325</v>
      </c>
      <c r="D3429" s="633">
        <v>0.189</v>
      </c>
      <c r="E3429" s="633">
        <v>0.19800000000000001</v>
      </c>
      <c r="F3429" s="633">
        <v>0.12</v>
      </c>
      <c r="G3429" s="633">
        <v>0.112</v>
      </c>
    </row>
    <row r="3430" spans="1:7" ht="18.75" x14ac:dyDescent="0.25">
      <c r="A3430" s="629" t="s">
        <v>3067</v>
      </c>
      <c r="B3430" s="630">
        <v>326</v>
      </c>
      <c r="C3430" s="631" t="str">
        <f t="shared" si="58"/>
        <v>Ô tô vận tải thùng 7 tấn326</v>
      </c>
      <c r="D3430" s="633">
        <v>0.189</v>
      </c>
      <c r="E3430" s="633">
        <v>0.19800000000000001</v>
      </c>
      <c r="F3430" s="633">
        <v>0.12</v>
      </c>
      <c r="G3430" s="633">
        <v>0.112</v>
      </c>
    </row>
    <row r="3431" spans="1:7" ht="18.75" x14ac:dyDescent="0.25">
      <c r="A3431" s="629" t="s">
        <v>3067</v>
      </c>
      <c r="B3431" s="630">
        <v>327</v>
      </c>
      <c r="C3431" s="631" t="str">
        <f t="shared" si="58"/>
        <v>Ô tô vận tải thùng 7 tấn327</v>
      </c>
      <c r="D3431" s="633">
        <v>0.189</v>
      </c>
      <c r="E3431" s="633">
        <v>0.19800000000000001</v>
      </c>
      <c r="F3431" s="633">
        <v>0.12</v>
      </c>
      <c r="G3431" s="633">
        <v>0.112</v>
      </c>
    </row>
    <row r="3432" spans="1:7" ht="18.75" x14ac:dyDescent="0.25">
      <c r="A3432" s="629" t="s">
        <v>3067</v>
      </c>
      <c r="B3432" s="630">
        <v>328</v>
      </c>
      <c r="C3432" s="631" t="str">
        <f t="shared" si="58"/>
        <v>Ô tô vận tải thùng 7 tấn328</v>
      </c>
      <c r="D3432" s="633">
        <v>0.189</v>
      </c>
      <c r="E3432" s="633">
        <v>0.19800000000000001</v>
      </c>
      <c r="F3432" s="633">
        <v>0.12</v>
      </c>
      <c r="G3432" s="633">
        <v>0.112</v>
      </c>
    </row>
    <row r="3433" spans="1:7" ht="18.75" x14ac:dyDescent="0.25">
      <c r="A3433" s="629" t="s">
        <v>3067</v>
      </c>
      <c r="B3433" s="630">
        <v>329</v>
      </c>
      <c r="C3433" s="631" t="str">
        <f t="shared" si="58"/>
        <v>Ô tô vận tải thùng 7 tấn329</v>
      </c>
      <c r="D3433" s="633">
        <v>0.189</v>
      </c>
      <c r="E3433" s="633">
        <v>0.19800000000000001</v>
      </c>
      <c r="F3433" s="633">
        <v>0.12</v>
      </c>
      <c r="G3433" s="633">
        <v>0.112</v>
      </c>
    </row>
    <row r="3434" spans="1:7" ht="18.75" x14ac:dyDescent="0.25">
      <c r="A3434" s="629" t="s">
        <v>3067</v>
      </c>
      <c r="B3434" s="630">
        <v>330</v>
      </c>
      <c r="C3434" s="631" t="str">
        <f t="shared" si="58"/>
        <v>Ô tô vận tải thùng 7 tấn330</v>
      </c>
      <c r="D3434" s="633">
        <v>0.189</v>
      </c>
      <c r="E3434" s="633">
        <v>0.19800000000000001</v>
      </c>
      <c r="F3434" s="633">
        <v>0.12</v>
      </c>
      <c r="G3434" s="633">
        <v>0.112</v>
      </c>
    </row>
    <row r="3435" spans="1:7" ht="18.75" x14ac:dyDescent="0.25">
      <c r="A3435" s="629" t="s">
        <v>3067</v>
      </c>
      <c r="B3435" s="630">
        <v>331</v>
      </c>
      <c r="C3435" s="631" t="str">
        <f t="shared" si="58"/>
        <v>Ô tô vận tải thùng 7 tấn331</v>
      </c>
      <c r="D3435" s="633">
        <v>0.189</v>
      </c>
      <c r="E3435" s="633">
        <v>0.19800000000000001</v>
      </c>
      <c r="F3435" s="633">
        <v>0.12</v>
      </c>
      <c r="G3435" s="633">
        <v>0.112</v>
      </c>
    </row>
    <row r="3436" spans="1:7" ht="18.75" x14ac:dyDescent="0.25">
      <c r="A3436" s="629" t="s">
        <v>3067</v>
      </c>
      <c r="B3436" s="630">
        <v>332</v>
      </c>
      <c r="C3436" s="631" t="str">
        <f t="shared" si="58"/>
        <v>Ô tô vận tải thùng 7 tấn332</v>
      </c>
      <c r="D3436" s="633">
        <v>0.189</v>
      </c>
      <c r="E3436" s="633">
        <v>0.19800000000000001</v>
      </c>
      <c r="F3436" s="633">
        <v>0.12</v>
      </c>
      <c r="G3436" s="633">
        <v>0.112</v>
      </c>
    </row>
    <row r="3437" spans="1:7" ht="18.75" x14ac:dyDescent="0.25">
      <c r="A3437" s="629" t="s">
        <v>3067</v>
      </c>
      <c r="B3437" s="630">
        <v>333</v>
      </c>
      <c r="C3437" s="631" t="str">
        <f t="shared" si="58"/>
        <v>Ô tô vận tải thùng 7 tấn333</v>
      </c>
      <c r="D3437" s="633">
        <v>0.189</v>
      </c>
      <c r="E3437" s="633">
        <v>0.19800000000000001</v>
      </c>
      <c r="F3437" s="633">
        <v>0.12</v>
      </c>
      <c r="G3437" s="633">
        <v>0.112</v>
      </c>
    </row>
    <row r="3438" spans="1:7" ht="18.75" x14ac:dyDescent="0.25">
      <c r="A3438" s="629" t="s">
        <v>3067</v>
      </c>
      <c r="B3438" s="630">
        <v>334</v>
      </c>
      <c r="C3438" s="631" t="str">
        <f t="shared" si="58"/>
        <v>Ô tô vận tải thùng 7 tấn334</v>
      </c>
      <c r="D3438" s="633">
        <v>0.189</v>
      </c>
      <c r="E3438" s="633">
        <v>0.19800000000000001</v>
      </c>
      <c r="F3438" s="633">
        <v>0.12</v>
      </c>
      <c r="G3438" s="633">
        <v>0.112</v>
      </c>
    </row>
    <row r="3439" spans="1:7" ht="18.75" x14ac:dyDescent="0.25">
      <c r="A3439" s="629" t="s">
        <v>3067</v>
      </c>
      <c r="B3439" s="630">
        <v>335</v>
      </c>
      <c r="C3439" s="631" t="str">
        <f t="shared" si="58"/>
        <v>Ô tô vận tải thùng 7 tấn335</v>
      </c>
      <c r="D3439" s="633">
        <v>0.189</v>
      </c>
      <c r="E3439" s="633">
        <v>0.19800000000000001</v>
      </c>
      <c r="F3439" s="633">
        <v>0.12</v>
      </c>
      <c r="G3439" s="633">
        <v>0.112</v>
      </c>
    </row>
    <row r="3440" spans="1:7" ht="18.75" x14ac:dyDescent="0.25">
      <c r="A3440" s="629" t="s">
        <v>3067</v>
      </c>
      <c r="B3440" s="630">
        <v>336</v>
      </c>
      <c r="C3440" s="631" t="str">
        <f t="shared" si="58"/>
        <v>Ô tô vận tải thùng 7 tấn336</v>
      </c>
      <c r="D3440" s="633">
        <v>0.189</v>
      </c>
      <c r="E3440" s="633">
        <v>0.19800000000000001</v>
      </c>
      <c r="F3440" s="633">
        <v>0.12</v>
      </c>
      <c r="G3440" s="633">
        <v>0.112</v>
      </c>
    </row>
    <row r="3441" spans="1:7" ht="18.75" x14ac:dyDescent="0.25">
      <c r="A3441" s="629" t="s">
        <v>3067</v>
      </c>
      <c r="B3441" s="630">
        <v>337</v>
      </c>
      <c r="C3441" s="631" t="str">
        <f t="shared" si="58"/>
        <v>Ô tô vận tải thùng 7 tấn337</v>
      </c>
      <c r="D3441" s="633">
        <v>0.189</v>
      </c>
      <c r="E3441" s="633">
        <v>0.19800000000000001</v>
      </c>
      <c r="F3441" s="633">
        <v>0.12</v>
      </c>
      <c r="G3441" s="633">
        <v>0.112</v>
      </c>
    </row>
    <row r="3442" spans="1:7" ht="18.75" x14ac:dyDescent="0.25">
      <c r="A3442" s="629" t="s">
        <v>3067</v>
      </c>
      <c r="B3442" s="630">
        <v>338</v>
      </c>
      <c r="C3442" s="631" t="str">
        <f t="shared" si="58"/>
        <v>Ô tô vận tải thùng 7 tấn338</v>
      </c>
      <c r="D3442" s="633">
        <v>0.189</v>
      </c>
      <c r="E3442" s="633">
        <v>0.19800000000000001</v>
      </c>
      <c r="F3442" s="633">
        <v>0.12</v>
      </c>
      <c r="G3442" s="633">
        <v>0.112</v>
      </c>
    </row>
    <row r="3443" spans="1:7" ht="18.75" x14ac:dyDescent="0.25">
      <c r="A3443" s="629" t="s">
        <v>3067</v>
      </c>
      <c r="B3443" s="630">
        <v>339</v>
      </c>
      <c r="C3443" s="631" t="str">
        <f t="shared" si="58"/>
        <v>Ô tô vận tải thùng 7 tấn339</v>
      </c>
      <c r="D3443" s="633">
        <v>0.189</v>
      </c>
      <c r="E3443" s="633">
        <v>0.19800000000000001</v>
      </c>
      <c r="F3443" s="633">
        <v>0.12</v>
      </c>
      <c r="G3443" s="633">
        <v>0.112</v>
      </c>
    </row>
    <row r="3444" spans="1:7" ht="18.75" x14ac:dyDescent="0.25">
      <c r="A3444" s="629" t="s">
        <v>3067</v>
      </c>
      <c r="B3444" s="630">
        <v>340</v>
      </c>
      <c r="C3444" s="631" t="str">
        <f t="shared" si="58"/>
        <v>Ô tô vận tải thùng 7 tấn340</v>
      </c>
      <c r="D3444" s="633">
        <v>0.189</v>
      </c>
      <c r="E3444" s="633">
        <v>0.19800000000000001</v>
      </c>
      <c r="F3444" s="633">
        <v>0.12</v>
      </c>
      <c r="G3444" s="633">
        <v>0.112</v>
      </c>
    </row>
    <row r="3445" spans="1:7" ht="18.75" x14ac:dyDescent="0.25">
      <c r="A3445" s="629" t="s">
        <v>3067</v>
      </c>
      <c r="B3445" s="630">
        <v>341</v>
      </c>
      <c r="C3445" s="631" t="str">
        <f t="shared" si="58"/>
        <v>Ô tô vận tải thùng 7 tấn341</v>
      </c>
      <c r="D3445" s="633">
        <v>0.189</v>
      </c>
      <c r="E3445" s="633">
        <v>0.19800000000000001</v>
      </c>
      <c r="F3445" s="633">
        <v>0.12</v>
      </c>
      <c r="G3445" s="633">
        <v>0.112</v>
      </c>
    </row>
    <row r="3446" spans="1:7" ht="18.75" x14ac:dyDescent="0.25">
      <c r="A3446" s="629" t="s">
        <v>3067</v>
      </c>
      <c r="B3446" s="630">
        <v>342</v>
      </c>
      <c r="C3446" s="631" t="str">
        <f t="shared" si="58"/>
        <v>Ô tô vận tải thùng 7 tấn342</v>
      </c>
      <c r="D3446" s="633">
        <v>0.189</v>
      </c>
      <c r="E3446" s="633">
        <v>0.19800000000000001</v>
      </c>
      <c r="F3446" s="633">
        <v>0.12</v>
      </c>
      <c r="G3446" s="633">
        <v>0.112</v>
      </c>
    </row>
    <row r="3447" spans="1:7" ht="18.75" x14ac:dyDescent="0.25">
      <c r="A3447" s="629" t="s">
        <v>3067</v>
      </c>
      <c r="B3447" s="630">
        <v>343</v>
      </c>
      <c r="C3447" s="631" t="str">
        <f t="shared" si="58"/>
        <v>Ô tô vận tải thùng 7 tấn343</v>
      </c>
      <c r="D3447" s="633">
        <v>0.189</v>
      </c>
      <c r="E3447" s="633">
        <v>0.19800000000000001</v>
      </c>
      <c r="F3447" s="633">
        <v>0.12</v>
      </c>
      <c r="G3447" s="633">
        <v>0.112</v>
      </c>
    </row>
    <row r="3448" spans="1:7" ht="18.75" x14ac:dyDescent="0.25">
      <c r="A3448" s="629" t="s">
        <v>3067</v>
      </c>
      <c r="B3448" s="630">
        <v>344</v>
      </c>
      <c r="C3448" s="631" t="str">
        <f t="shared" si="58"/>
        <v>Ô tô vận tải thùng 7 tấn344</v>
      </c>
      <c r="D3448" s="633">
        <v>0.189</v>
      </c>
      <c r="E3448" s="633">
        <v>0.19800000000000001</v>
      </c>
      <c r="F3448" s="633">
        <v>0.12</v>
      </c>
      <c r="G3448" s="633">
        <v>0.112</v>
      </c>
    </row>
    <row r="3449" spans="1:7" ht="18.75" x14ac:dyDescent="0.25">
      <c r="A3449" s="629" t="s">
        <v>3067</v>
      </c>
      <c r="B3449" s="630">
        <v>345</v>
      </c>
      <c r="C3449" s="631" t="str">
        <f t="shared" si="58"/>
        <v>Ô tô vận tải thùng 7 tấn345</v>
      </c>
      <c r="D3449" s="633">
        <v>0.189</v>
      </c>
      <c r="E3449" s="633">
        <v>0.19800000000000001</v>
      </c>
      <c r="F3449" s="633">
        <v>0.12</v>
      </c>
      <c r="G3449" s="633">
        <v>0.112</v>
      </c>
    </row>
    <row r="3450" spans="1:7" ht="18.75" x14ac:dyDescent="0.25">
      <c r="A3450" s="629" t="s">
        <v>3067</v>
      </c>
      <c r="B3450" s="630">
        <v>346</v>
      </c>
      <c r="C3450" s="631" t="str">
        <f t="shared" si="58"/>
        <v>Ô tô vận tải thùng 7 tấn346</v>
      </c>
      <c r="D3450" s="633">
        <v>0.189</v>
      </c>
      <c r="E3450" s="633">
        <v>0.19800000000000001</v>
      </c>
      <c r="F3450" s="633">
        <v>0.12</v>
      </c>
      <c r="G3450" s="633">
        <v>0.112</v>
      </c>
    </row>
    <row r="3451" spans="1:7" ht="18.75" x14ac:dyDescent="0.25">
      <c r="A3451" s="629" t="s">
        <v>3067</v>
      </c>
      <c r="B3451" s="630">
        <v>347</v>
      </c>
      <c r="C3451" s="631" t="str">
        <f t="shared" si="58"/>
        <v>Ô tô vận tải thùng 7 tấn347</v>
      </c>
      <c r="D3451" s="633">
        <v>0.189</v>
      </c>
      <c r="E3451" s="633">
        <v>0.19800000000000001</v>
      </c>
      <c r="F3451" s="633">
        <v>0.12</v>
      </c>
      <c r="G3451" s="633">
        <v>0.112</v>
      </c>
    </row>
    <row r="3452" spans="1:7" ht="18.75" x14ac:dyDescent="0.25">
      <c r="A3452" s="629" t="s">
        <v>3067</v>
      </c>
      <c r="B3452" s="630">
        <v>348</v>
      </c>
      <c r="C3452" s="631" t="str">
        <f t="shared" si="58"/>
        <v>Ô tô vận tải thùng 7 tấn348</v>
      </c>
      <c r="D3452" s="633">
        <v>0.189</v>
      </c>
      <c r="E3452" s="633">
        <v>0.19800000000000001</v>
      </c>
      <c r="F3452" s="633">
        <v>0.12</v>
      </c>
      <c r="G3452" s="633">
        <v>0.112</v>
      </c>
    </row>
    <row r="3453" spans="1:7" ht="18.75" x14ac:dyDescent="0.25">
      <c r="A3453" s="629" t="s">
        <v>3067</v>
      </c>
      <c r="B3453" s="630">
        <v>349</v>
      </c>
      <c r="C3453" s="631" t="str">
        <f t="shared" si="58"/>
        <v>Ô tô vận tải thùng 7 tấn349</v>
      </c>
      <c r="D3453" s="633">
        <v>0.189</v>
      </c>
      <c r="E3453" s="633">
        <v>0.19800000000000001</v>
      </c>
      <c r="F3453" s="633">
        <v>0.12</v>
      </c>
      <c r="G3453" s="633">
        <v>0.112</v>
      </c>
    </row>
    <row r="3454" spans="1:7" ht="18.75" x14ac:dyDescent="0.25">
      <c r="A3454" s="629" t="s">
        <v>3067</v>
      </c>
      <c r="B3454" s="630">
        <v>350</v>
      </c>
      <c r="C3454" s="631" t="str">
        <f t="shared" si="58"/>
        <v>Ô tô vận tải thùng 7 tấn350</v>
      </c>
      <c r="D3454" s="633">
        <v>0.189</v>
      </c>
      <c r="E3454" s="633">
        <v>0.19800000000000001</v>
      </c>
      <c r="F3454" s="633">
        <v>0.12</v>
      </c>
      <c r="G3454" s="633">
        <v>0.112</v>
      </c>
    </row>
    <row r="3455" spans="1:7" ht="18.75" x14ac:dyDescent="0.25">
      <c r="A3455" s="629" t="s">
        <v>3067</v>
      </c>
      <c r="B3455" s="630">
        <v>351</v>
      </c>
      <c r="C3455" s="631" t="str">
        <f t="shared" si="58"/>
        <v>Ô tô vận tải thùng 7 tấn351</v>
      </c>
      <c r="D3455" s="633">
        <v>0.189</v>
      </c>
      <c r="E3455" s="633">
        <v>0.19800000000000001</v>
      </c>
      <c r="F3455" s="633">
        <v>0.12</v>
      </c>
      <c r="G3455" s="633">
        <v>0.112</v>
      </c>
    </row>
    <row r="3456" spans="1:7" ht="18.75" x14ac:dyDescent="0.25">
      <c r="A3456" s="629" t="s">
        <v>3067</v>
      </c>
      <c r="B3456" s="630">
        <v>352</v>
      </c>
      <c r="C3456" s="631" t="str">
        <f t="shared" si="58"/>
        <v>Ô tô vận tải thùng 7 tấn352</v>
      </c>
      <c r="D3456" s="633">
        <v>0.189</v>
      </c>
      <c r="E3456" s="633">
        <v>0.19800000000000001</v>
      </c>
      <c r="F3456" s="633">
        <v>0.12</v>
      </c>
      <c r="G3456" s="633">
        <v>0.112</v>
      </c>
    </row>
    <row r="3457" spans="1:7" ht="18.75" x14ac:dyDescent="0.25">
      <c r="A3457" s="629" t="s">
        <v>3067</v>
      </c>
      <c r="B3457" s="630">
        <v>353</v>
      </c>
      <c r="C3457" s="631" t="str">
        <f t="shared" si="58"/>
        <v>Ô tô vận tải thùng 7 tấn353</v>
      </c>
      <c r="D3457" s="633">
        <v>0.189</v>
      </c>
      <c r="E3457" s="633">
        <v>0.19800000000000001</v>
      </c>
      <c r="F3457" s="633">
        <v>0.12</v>
      </c>
      <c r="G3457" s="633">
        <v>0.112</v>
      </c>
    </row>
    <row r="3458" spans="1:7" ht="18.75" x14ac:dyDescent="0.25">
      <c r="A3458" s="629" t="s">
        <v>3067</v>
      </c>
      <c r="B3458" s="630">
        <v>354</v>
      </c>
      <c r="C3458" s="631" t="str">
        <f t="shared" si="58"/>
        <v>Ô tô vận tải thùng 7 tấn354</v>
      </c>
      <c r="D3458" s="633">
        <v>0.189</v>
      </c>
      <c r="E3458" s="633">
        <v>0.19800000000000001</v>
      </c>
      <c r="F3458" s="633">
        <v>0.12</v>
      </c>
      <c r="G3458" s="633">
        <v>0.112</v>
      </c>
    </row>
    <row r="3459" spans="1:7" ht="18.75" x14ac:dyDescent="0.25">
      <c r="A3459" s="629" t="s">
        <v>3067</v>
      </c>
      <c r="B3459" s="630">
        <v>355</v>
      </c>
      <c r="C3459" s="631" t="str">
        <f t="shared" si="58"/>
        <v>Ô tô vận tải thùng 7 tấn355</v>
      </c>
      <c r="D3459" s="633">
        <v>0.189</v>
      </c>
      <c r="E3459" s="633">
        <v>0.19800000000000001</v>
      </c>
      <c r="F3459" s="633">
        <v>0.12</v>
      </c>
      <c r="G3459" s="633">
        <v>0.112</v>
      </c>
    </row>
    <row r="3460" spans="1:7" ht="18.75" x14ac:dyDescent="0.25">
      <c r="A3460" s="629" t="s">
        <v>3067</v>
      </c>
      <c r="B3460" s="630">
        <v>356</v>
      </c>
      <c r="C3460" s="631" t="str">
        <f t="shared" si="58"/>
        <v>Ô tô vận tải thùng 7 tấn356</v>
      </c>
      <c r="D3460" s="633">
        <v>0.189</v>
      </c>
      <c r="E3460" s="633">
        <v>0.19800000000000001</v>
      </c>
      <c r="F3460" s="633">
        <v>0.12</v>
      </c>
      <c r="G3460" s="633">
        <v>0.112</v>
      </c>
    </row>
    <row r="3461" spans="1:7" ht="18.75" x14ac:dyDescent="0.25">
      <c r="A3461" s="629" t="s">
        <v>3067</v>
      </c>
      <c r="B3461" s="630">
        <v>357</v>
      </c>
      <c r="C3461" s="631" t="str">
        <f t="shared" si="58"/>
        <v>Ô tô vận tải thùng 7 tấn357</v>
      </c>
      <c r="D3461" s="633">
        <v>0.189</v>
      </c>
      <c r="E3461" s="633">
        <v>0.19800000000000001</v>
      </c>
      <c r="F3461" s="633">
        <v>0.12</v>
      </c>
      <c r="G3461" s="633">
        <v>0.112</v>
      </c>
    </row>
    <row r="3462" spans="1:7" ht="18.75" x14ac:dyDescent="0.25">
      <c r="A3462" s="629" t="s">
        <v>3067</v>
      </c>
      <c r="B3462" s="630">
        <v>358</v>
      </c>
      <c r="C3462" s="631" t="str">
        <f t="shared" si="58"/>
        <v>Ô tô vận tải thùng 7 tấn358</v>
      </c>
      <c r="D3462" s="633">
        <v>0.189</v>
      </c>
      <c r="E3462" s="633">
        <v>0.19800000000000001</v>
      </c>
      <c r="F3462" s="633">
        <v>0.12</v>
      </c>
      <c r="G3462" s="633">
        <v>0.112</v>
      </c>
    </row>
    <row r="3463" spans="1:7" ht="18.75" x14ac:dyDescent="0.25">
      <c r="A3463" s="629" t="s">
        <v>3067</v>
      </c>
      <c r="B3463" s="630">
        <v>359</v>
      </c>
      <c r="C3463" s="631" t="str">
        <f t="shared" si="58"/>
        <v>Ô tô vận tải thùng 7 tấn359</v>
      </c>
      <c r="D3463" s="633">
        <v>0.189</v>
      </c>
      <c r="E3463" s="633">
        <v>0.19800000000000001</v>
      </c>
      <c r="F3463" s="633">
        <v>0.12</v>
      </c>
      <c r="G3463" s="633">
        <v>0.112</v>
      </c>
    </row>
    <row r="3464" spans="1:7" ht="18.75" x14ac:dyDescent="0.25">
      <c r="A3464" s="629" t="s">
        <v>3067</v>
      </c>
      <c r="B3464" s="630">
        <v>360</v>
      </c>
      <c r="C3464" s="631" t="str">
        <f t="shared" si="58"/>
        <v>Ô tô vận tải thùng 7 tấn360</v>
      </c>
      <c r="D3464" s="633">
        <v>0.189</v>
      </c>
      <c r="E3464" s="633">
        <v>0.19800000000000001</v>
      </c>
      <c r="F3464" s="633">
        <v>0.12</v>
      </c>
      <c r="G3464" s="633">
        <v>0.112</v>
      </c>
    </row>
    <row r="3465" spans="1:7" ht="18.75" x14ac:dyDescent="0.25">
      <c r="A3465" s="629" t="s">
        <v>3067</v>
      </c>
      <c r="B3465" s="630">
        <v>361</v>
      </c>
      <c r="C3465" s="631" t="str">
        <f t="shared" si="58"/>
        <v>Ô tô vận tải thùng 7 tấn361</v>
      </c>
      <c r="D3465" s="633">
        <v>0.189</v>
      </c>
      <c r="E3465" s="633">
        <v>0.19800000000000001</v>
      </c>
      <c r="F3465" s="633">
        <v>0.12</v>
      </c>
      <c r="G3465" s="633">
        <v>0.112</v>
      </c>
    </row>
    <row r="3466" spans="1:7" ht="18.75" x14ac:dyDescent="0.25">
      <c r="A3466" s="629" t="s">
        <v>3067</v>
      </c>
      <c r="B3466" s="630">
        <v>362</v>
      </c>
      <c r="C3466" s="631" t="str">
        <f t="shared" si="58"/>
        <v>Ô tô vận tải thùng 7 tấn362</v>
      </c>
      <c r="D3466" s="633">
        <v>0.189</v>
      </c>
      <c r="E3466" s="633">
        <v>0.19800000000000001</v>
      </c>
      <c r="F3466" s="633">
        <v>0.12</v>
      </c>
      <c r="G3466" s="633">
        <v>0.112</v>
      </c>
    </row>
    <row r="3467" spans="1:7" ht="18.75" x14ac:dyDescent="0.25">
      <c r="A3467" s="629" t="s">
        <v>3067</v>
      </c>
      <c r="B3467" s="630">
        <v>363</v>
      </c>
      <c r="C3467" s="631" t="str">
        <f t="shared" si="58"/>
        <v>Ô tô vận tải thùng 7 tấn363</v>
      </c>
      <c r="D3467" s="633">
        <v>0.189</v>
      </c>
      <c r="E3467" s="633">
        <v>0.19800000000000001</v>
      </c>
      <c r="F3467" s="633">
        <v>0.12</v>
      </c>
      <c r="G3467" s="633">
        <v>0.112</v>
      </c>
    </row>
    <row r="3468" spans="1:7" ht="18.75" x14ac:dyDescent="0.25">
      <c r="A3468" s="629" t="s">
        <v>3067</v>
      </c>
      <c r="B3468" s="630">
        <v>364</v>
      </c>
      <c r="C3468" s="631" t="str">
        <f t="shared" si="58"/>
        <v>Ô tô vận tải thùng 7 tấn364</v>
      </c>
      <c r="D3468" s="633">
        <v>0.189</v>
      </c>
      <c r="E3468" s="633">
        <v>0.19800000000000001</v>
      </c>
      <c r="F3468" s="633">
        <v>0.12</v>
      </c>
      <c r="G3468" s="633">
        <v>0.112</v>
      </c>
    </row>
    <row r="3469" spans="1:7" ht="18.75" x14ac:dyDescent="0.25">
      <c r="A3469" s="629" t="s">
        <v>3067</v>
      </c>
      <c r="B3469" s="630">
        <v>365</v>
      </c>
      <c r="C3469" s="631" t="str">
        <f t="shared" si="58"/>
        <v>Ô tô vận tải thùng 7 tấn365</v>
      </c>
      <c r="D3469" s="633">
        <v>0.189</v>
      </c>
      <c r="E3469" s="633">
        <v>0.19800000000000001</v>
      </c>
      <c r="F3469" s="633">
        <v>0.12</v>
      </c>
      <c r="G3469" s="633">
        <v>0.112</v>
      </c>
    </row>
    <row r="3470" spans="1:7" ht="18.75" x14ac:dyDescent="0.25">
      <c r="A3470" s="629" t="s">
        <v>3067</v>
      </c>
      <c r="B3470" s="630">
        <v>366</v>
      </c>
      <c r="C3470" s="631" t="str">
        <f t="shared" si="58"/>
        <v>Ô tô vận tải thùng 7 tấn366</v>
      </c>
      <c r="D3470" s="633">
        <v>0.189</v>
      </c>
      <c r="E3470" s="633">
        <v>0.19800000000000001</v>
      </c>
      <c r="F3470" s="633">
        <v>0.12</v>
      </c>
      <c r="G3470" s="633">
        <v>0.112</v>
      </c>
    </row>
    <row r="3471" spans="1:7" ht="18.75" x14ac:dyDescent="0.25">
      <c r="A3471" s="629" t="s">
        <v>3067</v>
      </c>
      <c r="B3471" s="630">
        <v>367</v>
      </c>
      <c r="C3471" s="631" t="str">
        <f t="shared" si="58"/>
        <v>Ô tô vận tải thùng 7 tấn367</v>
      </c>
      <c r="D3471" s="633">
        <v>0.189</v>
      </c>
      <c r="E3471" s="633">
        <v>0.19800000000000001</v>
      </c>
      <c r="F3471" s="633">
        <v>0.12</v>
      </c>
      <c r="G3471" s="633">
        <v>0.112</v>
      </c>
    </row>
    <row r="3472" spans="1:7" ht="18.75" x14ac:dyDescent="0.25">
      <c r="A3472" s="629" t="s">
        <v>3067</v>
      </c>
      <c r="B3472" s="630">
        <v>368</v>
      </c>
      <c r="C3472" s="631" t="str">
        <f t="shared" si="58"/>
        <v>Ô tô vận tải thùng 7 tấn368</v>
      </c>
      <c r="D3472" s="633">
        <v>0.189</v>
      </c>
      <c r="E3472" s="633">
        <v>0.19800000000000001</v>
      </c>
      <c r="F3472" s="633">
        <v>0.12</v>
      </c>
      <c r="G3472" s="633">
        <v>0.112</v>
      </c>
    </row>
    <row r="3473" spans="1:7" ht="18.75" x14ac:dyDescent="0.25">
      <c r="A3473" s="629" t="s">
        <v>3067</v>
      </c>
      <c r="B3473" s="630">
        <v>369</v>
      </c>
      <c r="C3473" s="631" t="str">
        <f t="shared" si="58"/>
        <v>Ô tô vận tải thùng 7 tấn369</v>
      </c>
      <c r="D3473" s="633">
        <v>0.189</v>
      </c>
      <c r="E3473" s="633">
        <v>0.19800000000000001</v>
      </c>
      <c r="F3473" s="633">
        <v>0.12</v>
      </c>
      <c r="G3473" s="633">
        <v>0.112</v>
      </c>
    </row>
    <row r="3474" spans="1:7" ht="18.75" x14ac:dyDescent="0.25">
      <c r="A3474" s="629" t="s">
        <v>3067</v>
      </c>
      <c r="B3474" s="630">
        <v>370</v>
      </c>
      <c r="C3474" s="631" t="str">
        <f t="shared" si="58"/>
        <v>Ô tô vận tải thùng 7 tấn370</v>
      </c>
      <c r="D3474" s="633">
        <v>0.189</v>
      </c>
      <c r="E3474" s="633">
        <v>0.19800000000000001</v>
      </c>
      <c r="F3474" s="633">
        <v>0.12</v>
      </c>
      <c r="G3474" s="633">
        <v>0.112</v>
      </c>
    </row>
    <row r="3475" spans="1:7" ht="18.75" x14ac:dyDescent="0.25">
      <c r="A3475" s="629" t="s">
        <v>3067</v>
      </c>
      <c r="B3475" s="630">
        <v>371</v>
      </c>
      <c r="C3475" s="631" t="str">
        <f t="shared" si="58"/>
        <v>Ô tô vận tải thùng 7 tấn371</v>
      </c>
      <c r="D3475" s="633">
        <v>0.189</v>
      </c>
      <c r="E3475" s="633">
        <v>0.19800000000000001</v>
      </c>
      <c r="F3475" s="633">
        <v>0.12</v>
      </c>
      <c r="G3475" s="633">
        <v>0.112</v>
      </c>
    </row>
    <row r="3476" spans="1:7" ht="18.75" x14ac:dyDescent="0.25">
      <c r="A3476" s="629" t="s">
        <v>3067</v>
      </c>
      <c r="B3476" s="630">
        <v>372</v>
      </c>
      <c r="C3476" s="631" t="str">
        <f t="shared" si="58"/>
        <v>Ô tô vận tải thùng 7 tấn372</v>
      </c>
      <c r="D3476" s="633">
        <v>0.189</v>
      </c>
      <c r="E3476" s="633">
        <v>0.19800000000000001</v>
      </c>
      <c r="F3476" s="633">
        <v>0.12</v>
      </c>
      <c r="G3476" s="633">
        <v>0.112</v>
      </c>
    </row>
    <row r="3477" spans="1:7" ht="18.75" x14ac:dyDescent="0.25">
      <c r="A3477" s="629" t="s">
        <v>3067</v>
      </c>
      <c r="B3477" s="630">
        <v>373</v>
      </c>
      <c r="C3477" s="631" t="str">
        <f t="shared" si="58"/>
        <v>Ô tô vận tải thùng 7 tấn373</v>
      </c>
      <c r="D3477" s="633">
        <v>0.189</v>
      </c>
      <c r="E3477" s="633">
        <v>0.19800000000000001</v>
      </c>
      <c r="F3477" s="633">
        <v>0.12</v>
      </c>
      <c r="G3477" s="633">
        <v>0.112</v>
      </c>
    </row>
    <row r="3478" spans="1:7" ht="18.75" x14ac:dyDescent="0.25">
      <c r="A3478" s="629" t="s">
        <v>3067</v>
      </c>
      <c r="B3478" s="630">
        <v>374</v>
      </c>
      <c r="C3478" s="631" t="str">
        <f t="shared" si="58"/>
        <v>Ô tô vận tải thùng 7 tấn374</v>
      </c>
      <c r="D3478" s="633">
        <v>0.189</v>
      </c>
      <c r="E3478" s="633">
        <v>0.19800000000000001</v>
      </c>
      <c r="F3478" s="633">
        <v>0.12</v>
      </c>
      <c r="G3478" s="633">
        <v>0.112</v>
      </c>
    </row>
    <row r="3479" spans="1:7" ht="18.75" x14ac:dyDescent="0.25">
      <c r="A3479" s="629" t="s">
        <v>3067</v>
      </c>
      <c r="B3479" s="630">
        <v>375</v>
      </c>
      <c r="C3479" s="631" t="str">
        <f t="shared" si="58"/>
        <v>Ô tô vận tải thùng 7 tấn375</v>
      </c>
      <c r="D3479" s="633">
        <v>0.189</v>
      </c>
      <c r="E3479" s="633">
        <v>0.19800000000000001</v>
      </c>
      <c r="F3479" s="633">
        <v>0.12</v>
      </c>
      <c r="G3479" s="633">
        <v>0.112</v>
      </c>
    </row>
    <row r="3480" spans="1:7" ht="18.75" x14ac:dyDescent="0.25">
      <c r="A3480" s="629" t="s">
        <v>3067</v>
      </c>
      <c r="B3480" s="630">
        <v>376</v>
      </c>
      <c r="C3480" s="631" t="str">
        <f t="shared" si="58"/>
        <v>Ô tô vận tải thùng 7 tấn376</v>
      </c>
      <c r="D3480" s="633">
        <v>0.189</v>
      </c>
      <c r="E3480" s="633">
        <v>0.19800000000000001</v>
      </c>
      <c r="F3480" s="633">
        <v>0.12</v>
      </c>
      <c r="G3480" s="633">
        <v>0.112</v>
      </c>
    </row>
    <row r="3481" spans="1:7" ht="18.75" x14ac:dyDescent="0.25">
      <c r="A3481" s="629" t="s">
        <v>3067</v>
      </c>
      <c r="B3481" s="630">
        <v>377</v>
      </c>
      <c r="C3481" s="631" t="str">
        <f t="shared" si="58"/>
        <v>Ô tô vận tải thùng 7 tấn377</v>
      </c>
      <c r="D3481" s="633">
        <v>0.189</v>
      </c>
      <c r="E3481" s="633">
        <v>0.19800000000000001</v>
      </c>
      <c r="F3481" s="633">
        <v>0.12</v>
      </c>
      <c r="G3481" s="633">
        <v>0.112</v>
      </c>
    </row>
    <row r="3482" spans="1:7" ht="18.75" x14ac:dyDescent="0.25">
      <c r="A3482" s="629" t="s">
        <v>3067</v>
      </c>
      <c r="B3482" s="630">
        <v>378</v>
      </c>
      <c r="C3482" s="631" t="str">
        <f t="shared" si="58"/>
        <v>Ô tô vận tải thùng 7 tấn378</v>
      </c>
      <c r="D3482" s="633">
        <v>0.189</v>
      </c>
      <c r="E3482" s="633">
        <v>0.19800000000000001</v>
      </c>
      <c r="F3482" s="633">
        <v>0.12</v>
      </c>
      <c r="G3482" s="633">
        <v>0.112</v>
      </c>
    </row>
    <row r="3483" spans="1:7" ht="18.75" x14ac:dyDescent="0.25">
      <c r="A3483" s="629" t="s">
        <v>3067</v>
      </c>
      <c r="B3483" s="630">
        <v>379</v>
      </c>
      <c r="C3483" s="631" t="str">
        <f t="shared" si="58"/>
        <v>Ô tô vận tải thùng 7 tấn379</v>
      </c>
      <c r="D3483" s="633">
        <v>0.189</v>
      </c>
      <c r="E3483" s="633">
        <v>0.19800000000000001</v>
      </c>
      <c r="F3483" s="633">
        <v>0.12</v>
      </c>
      <c r="G3483" s="633">
        <v>0.112</v>
      </c>
    </row>
    <row r="3484" spans="1:7" ht="18.75" x14ac:dyDescent="0.25">
      <c r="A3484" s="629" t="s">
        <v>3067</v>
      </c>
      <c r="B3484" s="630">
        <v>380</v>
      </c>
      <c r="C3484" s="631" t="str">
        <f t="shared" si="58"/>
        <v>Ô tô vận tải thùng 7 tấn380</v>
      </c>
      <c r="D3484" s="633">
        <v>0.189</v>
      </c>
      <c r="E3484" s="633">
        <v>0.19800000000000001</v>
      </c>
      <c r="F3484" s="633">
        <v>0.12</v>
      </c>
      <c r="G3484" s="633">
        <v>0.112</v>
      </c>
    </row>
    <row r="3485" spans="1:7" ht="18.75" x14ac:dyDescent="0.25">
      <c r="A3485" s="629" t="s">
        <v>3067</v>
      </c>
      <c r="B3485" s="630">
        <v>381</v>
      </c>
      <c r="C3485" s="631" t="str">
        <f t="shared" si="58"/>
        <v>Ô tô vận tải thùng 7 tấn381</v>
      </c>
      <c r="D3485" s="633">
        <v>0.189</v>
      </c>
      <c r="E3485" s="633">
        <v>0.19800000000000001</v>
      </c>
      <c r="F3485" s="633">
        <v>0.12</v>
      </c>
      <c r="G3485" s="633">
        <v>0.112</v>
      </c>
    </row>
    <row r="3486" spans="1:7" ht="18.75" x14ac:dyDescent="0.25">
      <c r="A3486" s="629" t="s">
        <v>3067</v>
      </c>
      <c r="B3486" s="630">
        <v>382</v>
      </c>
      <c r="C3486" s="631" t="str">
        <f t="shared" si="58"/>
        <v>Ô tô vận tải thùng 7 tấn382</v>
      </c>
      <c r="D3486" s="633">
        <v>0.189</v>
      </c>
      <c r="E3486" s="633">
        <v>0.19800000000000001</v>
      </c>
      <c r="F3486" s="633">
        <v>0.12</v>
      </c>
      <c r="G3486" s="633">
        <v>0.112</v>
      </c>
    </row>
    <row r="3487" spans="1:7" ht="18.75" x14ac:dyDescent="0.25">
      <c r="A3487" s="629" t="s">
        <v>3067</v>
      </c>
      <c r="B3487" s="630">
        <v>383</v>
      </c>
      <c r="C3487" s="631" t="str">
        <f t="shared" si="58"/>
        <v>Ô tô vận tải thùng 7 tấn383</v>
      </c>
      <c r="D3487" s="633">
        <v>0.189</v>
      </c>
      <c r="E3487" s="633">
        <v>0.19800000000000001</v>
      </c>
      <c r="F3487" s="633">
        <v>0.12</v>
      </c>
      <c r="G3487" s="633">
        <v>0.112</v>
      </c>
    </row>
    <row r="3488" spans="1:7" ht="18.75" x14ac:dyDescent="0.25">
      <c r="A3488" s="629" t="s">
        <v>3067</v>
      </c>
      <c r="B3488" s="630">
        <v>384</v>
      </c>
      <c r="C3488" s="631" t="str">
        <f t="shared" si="58"/>
        <v>Ô tô vận tải thùng 7 tấn384</v>
      </c>
      <c r="D3488" s="633">
        <v>0.189</v>
      </c>
      <c r="E3488" s="633">
        <v>0.19800000000000001</v>
      </c>
      <c r="F3488" s="633">
        <v>0.12</v>
      </c>
      <c r="G3488" s="633">
        <v>0.112</v>
      </c>
    </row>
    <row r="3489" spans="1:7" ht="18.75" x14ac:dyDescent="0.25">
      <c r="A3489" s="629" t="s">
        <v>3067</v>
      </c>
      <c r="B3489" s="630">
        <v>385</v>
      </c>
      <c r="C3489" s="631" t="str">
        <f t="shared" si="58"/>
        <v>Ô tô vận tải thùng 7 tấn385</v>
      </c>
      <c r="D3489" s="633">
        <v>0.189</v>
      </c>
      <c r="E3489" s="633">
        <v>0.19800000000000001</v>
      </c>
      <c r="F3489" s="633">
        <v>0.12</v>
      </c>
      <c r="G3489" s="633">
        <v>0.112</v>
      </c>
    </row>
    <row r="3490" spans="1:7" ht="18.75" x14ac:dyDescent="0.25">
      <c r="A3490" s="629" t="s">
        <v>3067</v>
      </c>
      <c r="B3490" s="630">
        <v>386</v>
      </c>
      <c r="C3490" s="631" t="str">
        <f t="shared" ref="C3490:C3553" si="59">A3490&amp;B3490</f>
        <v>Ô tô vận tải thùng 7 tấn386</v>
      </c>
      <c r="D3490" s="633">
        <v>0.189</v>
      </c>
      <c r="E3490" s="633">
        <v>0.19800000000000001</v>
      </c>
      <c r="F3490" s="633">
        <v>0.12</v>
      </c>
      <c r="G3490" s="633">
        <v>0.112</v>
      </c>
    </row>
    <row r="3491" spans="1:7" ht="18.75" x14ac:dyDescent="0.25">
      <c r="A3491" s="629" t="s">
        <v>3067</v>
      </c>
      <c r="B3491" s="630">
        <v>387</v>
      </c>
      <c r="C3491" s="631" t="str">
        <f t="shared" si="59"/>
        <v>Ô tô vận tải thùng 7 tấn387</v>
      </c>
      <c r="D3491" s="633">
        <v>0.189</v>
      </c>
      <c r="E3491" s="633">
        <v>0.19800000000000001</v>
      </c>
      <c r="F3491" s="633">
        <v>0.12</v>
      </c>
      <c r="G3491" s="633">
        <v>0.112</v>
      </c>
    </row>
    <row r="3492" spans="1:7" ht="18.75" x14ac:dyDescent="0.25">
      <c r="A3492" s="629" t="s">
        <v>3067</v>
      </c>
      <c r="B3492" s="630">
        <v>388</v>
      </c>
      <c r="C3492" s="631" t="str">
        <f t="shared" si="59"/>
        <v>Ô tô vận tải thùng 7 tấn388</v>
      </c>
      <c r="D3492" s="633">
        <v>0.189</v>
      </c>
      <c r="E3492" s="633">
        <v>0.19800000000000001</v>
      </c>
      <c r="F3492" s="633">
        <v>0.12</v>
      </c>
      <c r="G3492" s="633">
        <v>0.112</v>
      </c>
    </row>
    <row r="3493" spans="1:7" ht="18.75" x14ac:dyDescent="0.25">
      <c r="A3493" s="629" t="s">
        <v>3067</v>
      </c>
      <c r="B3493" s="630">
        <v>389</v>
      </c>
      <c r="C3493" s="631" t="str">
        <f t="shared" si="59"/>
        <v>Ô tô vận tải thùng 7 tấn389</v>
      </c>
      <c r="D3493" s="633">
        <v>0.189</v>
      </c>
      <c r="E3493" s="633">
        <v>0.19800000000000001</v>
      </c>
      <c r="F3493" s="633">
        <v>0.12</v>
      </c>
      <c r="G3493" s="633">
        <v>0.112</v>
      </c>
    </row>
    <row r="3494" spans="1:7" ht="18.75" x14ac:dyDescent="0.25">
      <c r="A3494" s="629" t="s">
        <v>3067</v>
      </c>
      <c r="B3494" s="630">
        <v>390</v>
      </c>
      <c r="C3494" s="631" t="str">
        <f t="shared" si="59"/>
        <v>Ô tô vận tải thùng 7 tấn390</v>
      </c>
      <c r="D3494" s="633">
        <v>0.189</v>
      </c>
      <c r="E3494" s="633">
        <v>0.19800000000000001</v>
      </c>
      <c r="F3494" s="633">
        <v>0.12</v>
      </c>
      <c r="G3494" s="633">
        <v>0.112</v>
      </c>
    </row>
    <row r="3495" spans="1:7" ht="18.75" x14ac:dyDescent="0.25">
      <c r="A3495" s="629" t="s">
        <v>3067</v>
      </c>
      <c r="B3495" s="630">
        <v>391</v>
      </c>
      <c r="C3495" s="631" t="str">
        <f t="shared" si="59"/>
        <v>Ô tô vận tải thùng 7 tấn391</v>
      </c>
      <c r="D3495" s="633">
        <v>0.189</v>
      </c>
      <c r="E3495" s="633">
        <v>0.19800000000000001</v>
      </c>
      <c r="F3495" s="633">
        <v>0.12</v>
      </c>
      <c r="G3495" s="633">
        <v>0.112</v>
      </c>
    </row>
    <row r="3496" spans="1:7" ht="18.75" x14ac:dyDescent="0.25">
      <c r="A3496" s="629" t="s">
        <v>3067</v>
      </c>
      <c r="B3496" s="630">
        <v>392</v>
      </c>
      <c r="C3496" s="631" t="str">
        <f t="shared" si="59"/>
        <v>Ô tô vận tải thùng 7 tấn392</v>
      </c>
      <c r="D3496" s="633">
        <v>0.189</v>
      </c>
      <c r="E3496" s="633">
        <v>0.19800000000000001</v>
      </c>
      <c r="F3496" s="633">
        <v>0.12</v>
      </c>
      <c r="G3496" s="633">
        <v>0.112</v>
      </c>
    </row>
    <row r="3497" spans="1:7" ht="18.75" x14ac:dyDescent="0.25">
      <c r="A3497" s="629" t="s">
        <v>3067</v>
      </c>
      <c r="B3497" s="630">
        <v>393</v>
      </c>
      <c r="C3497" s="631" t="str">
        <f t="shared" si="59"/>
        <v>Ô tô vận tải thùng 7 tấn393</v>
      </c>
      <c r="D3497" s="633">
        <v>0.189</v>
      </c>
      <c r="E3497" s="633">
        <v>0.19800000000000001</v>
      </c>
      <c r="F3497" s="633">
        <v>0.12</v>
      </c>
      <c r="G3497" s="633">
        <v>0.112</v>
      </c>
    </row>
    <row r="3498" spans="1:7" ht="18.75" x14ac:dyDescent="0.25">
      <c r="A3498" s="629" t="s">
        <v>3067</v>
      </c>
      <c r="B3498" s="630">
        <v>394</v>
      </c>
      <c r="C3498" s="631" t="str">
        <f t="shared" si="59"/>
        <v>Ô tô vận tải thùng 7 tấn394</v>
      </c>
      <c r="D3498" s="633">
        <v>0.189</v>
      </c>
      <c r="E3498" s="633">
        <v>0.19800000000000001</v>
      </c>
      <c r="F3498" s="633">
        <v>0.12</v>
      </c>
      <c r="G3498" s="633">
        <v>0.112</v>
      </c>
    </row>
    <row r="3499" spans="1:7" ht="18.75" x14ac:dyDescent="0.25">
      <c r="A3499" s="629" t="s">
        <v>3067</v>
      </c>
      <c r="B3499" s="630">
        <v>395</v>
      </c>
      <c r="C3499" s="631" t="str">
        <f t="shared" si="59"/>
        <v>Ô tô vận tải thùng 7 tấn395</v>
      </c>
      <c r="D3499" s="633">
        <v>0.189</v>
      </c>
      <c r="E3499" s="633">
        <v>0.19800000000000001</v>
      </c>
      <c r="F3499" s="633">
        <v>0.12</v>
      </c>
      <c r="G3499" s="633">
        <v>0.112</v>
      </c>
    </row>
    <row r="3500" spans="1:7" ht="18.75" x14ac:dyDescent="0.25">
      <c r="A3500" s="629" t="s">
        <v>3067</v>
      </c>
      <c r="B3500" s="630">
        <v>396</v>
      </c>
      <c r="C3500" s="631" t="str">
        <f t="shared" si="59"/>
        <v>Ô tô vận tải thùng 7 tấn396</v>
      </c>
      <c r="D3500" s="633">
        <v>0.189</v>
      </c>
      <c r="E3500" s="633">
        <v>0.19800000000000001</v>
      </c>
      <c r="F3500" s="633">
        <v>0.12</v>
      </c>
      <c r="G3500" s="633">
        <v>0.112</v>
      </c>
    </row>
    <row r="3501" spans="1:7" ht="18.75" x14ac:dyDescent="0.25">
      <c r="A3501" s="629" t="s">
        <v>3067</v>
      </c>
      <c r="B3501" s="630">
        <v>397</v>
      </c>
      <c r="C3501" s="631" t="str">
        <f t="shared" si="59"/>
        <v>Ô tô vận tải thùng 7 tấn397</v>
      </c>
      <c r="D3501" s="633">
        <v>0.189</v>
      </c>
      <c r="E3501" s="633">
        <v>0.19800000000000001</v>
      </c>
      <c r="F3501" s="633">
        <v>0.12</v>
      </c>
      <c r="G3501" s="633">
        <v>0.112</v>
      </c>
    </row>
    <row r="3502" spans="1:7" ht="18.75" x14ac:dyDescent="0.25">
      <c r="A3502" s="629" t="s">
        <v>3067</v>
      </c>
      <c r="B3502" s="630">
        <v>398</v>
      </c>
      <c r="C3502" s="631" t="str">
        <f t="shared" si="59"/>
        <v>Ô tô vận tải thùng 7 tấn398</v>
      </c>
      <c r="D3502" s="633">
        <v>0.189</v>
      </c>
      <c r="E3502" s="633">
        <v>0.19800000000000001</v>
      </c>
      <c r="F3502" s="633">
        <v>0.12</v>
      </c>
      <c r="G3502" s="633">
        <v>0.112</v>
      </c>
    </row>
    <row r="3503" spans="1:7" ht="18.75" x14ac:dyDescent="0.25">
      <c r="A3503" s="629" t="s">
        <v>3067</v>
      </c>
      <c r="B3503" s="630">
        <v>399</v>
      </c>
      <c r="C3503" s="631" t="str">
        <f t="shared" si="59"/>
        <v>Ô tô vận tải thùng 7 tấn399</v>
      </c>
      <c r="D3503" s="633">
        <v>0.189</v>
      </c>
      <c r="E3503" s="633">
        <v>0.19800000000000001</v>
      </c>
      <c r="F3503" s="633">
        <v>0.12</v>
      </c>
      <c r="G3503" s="633">
        <v>0.112</v>
      </c>
    </row>
    <row r="3504" spans="1:7" ht="18.75" x14ac:dyDescent="0.25">
      <c r="A3504" s="629" t="s">
        <v>3067</v>
      </c>
      <c r="B3504" s="630">
        <v>400</v>
      </c>
      <c r="C3504" s="631" t="str">
        <f t="shared" si="59"/>
        <v>Ô tô vận tải thùng 7 tấn400</v>
      </c>
      <c r="D3504" s="633">
        <v>0.189</v>
      </c>
      <c r="E3504" s="633">
        <v>0.19800000000000001</v>
      </c>
      <c r="F3504" s="633">
        <v>0.12</v>
      </c>
      <c r="G3504" s="633">
        <v>0.112</v>
      </c>
    </row>
    <row r="3505" spans="1:7" ht="18.75" x14ac:dyDescent="0.25">
      <c r="A3505" s="629" t="s">
        <v>3067</v>
      </c>
      <c r="B3505" s="630">
        <v>401</v>
      </c>
      <c r="C3505" s="631" t="str">
        <f t="shared" si="59"/>
        <v>Ô tô vận tải thùng 7 tấn401</v>
      </c>
      <c r="D3505" s="633">
        <v>0.189</v>
      </c>
      <c r="E3505" s="633">
        <v>0.19800000000000001</v>
      </c>
      <c r="F3505" s="633">
        <v>0.12</v>
      </c>
      <c r="G3505" s="633">
        <v>0.112</v>
      </c>
    </row>
    <row r="3506" spans="1:7" ht="18.75" x14ac:dyDescent="0.25">
      <c r="A3506" s="629" t="s">
        <v>3067</v>
      </c>
      <c r="B3506" s="630">
        <v>402</v>
      </c>
      <c r="C3506" s="631" t="str">
        <f t="shared" si="59"/>
        <v>Ô tô vận tải thùng 7 tấn402</v>
      </c>
      <c r="D3506" s="633">
        <v>0.189</v>
      </c>
      <c r="E3506" s="633">
        <v>0.19800000000000001</v>
      </c>
      <c r="F3506" s="633">
        <v>0.12</v>
      </c>
      <c r="G3506" s="633">
        <v>0.112</v>
      </c>
    </row>
    <row r="3507" spans="1:7" ht="18.75" x14ac:dyDescent="0.25">
      <c r="A3507" s="629" t="s">
        <v>3067</v>
      </c>
      <c r="B3507" s="630">
        <v>403</v>
      </c>
      <c r="C3507" s="631" t="str">
        <f t="shared" si="59"/>
        <v>Ô tô vận tải thùng 7 tấn403</v>
      </c>
      <c r="D3507" s="633">
        <v>0.189</v>
      </c>
      <c r="E3507" s="633">
        <v>0.19800000000000001</v>
      </c>
      <c r="F3507" s="633">
        <v>0.12</v>
      </c>
      <c r="G3507" s="633">
        <v>0.112</v>
      </c>
    </row>
    <row r="3508" spans="1:7" ht="18.75" x14ac:dyDescent="0.25">
      <c r="A3508" s="629" t="s">
        <v>3067</v>
      </c>
      <c r="B3508" s="630">
        <v>404</v>
      </c>
      <c r="C3508" s="631" t="str">
        <f t="shared" si="59"/>
        <v>Ô tô vận tải thùng 7 tấn404</v>
      </c>
      <c r="D3508" s="633">
        <v>0.189</v>
      </c>
      <c r="E3508" s="633">
        <v>0.19800000000000001</v>
      </c>
      <c r="F3508" s="633">
        <v>0.12</v>
      </c>
      <c r="G3508" s="633">
        <v>0.112</v>
      </c>
    </row>
    <row r="3509" spans="1:7" ht="18.75" x14ac:dyDescent="0.25">
      <c r="A3509" s="629" t="s">
        <v>3067</v>
      </c>
      <c r="B3509" s="630">
        <v>405</v>
      </c>
      <c r="C3509" s="631" t="str">
        <f t="shared" si="59"/>
        <v>Ô tô vận tải thùng 7 tấn405</v>
      </c>
      <c r="D3509" s="633">
        <v>0.189</v>
      </c>
      <c r="E3509" s="633">
        <v>0.19800000000000001</v>
      </c>
      <c r="F3509" s="633">
        <v>0.12</v>
      </c>
      <c r="G3509" s="633">
        <v>0.112</v>
      </c>
    </row>
    <row r="3510" spans="1:7" ht="18.75" x14ac:dyDescent="0.25">
      <c r="A3510" s="629" t="s">
        <v>3067</v>
      </c>
      <c r="B3510" s="630">
        <v>406</v>
      </c>
      <c r="C3510" s="631" t="str">
        <f t="shared" si="59"/>
        <v>Ô tô vận tải thùng 7 tấn406</v>
      </c>
      <c r="D3510" s="633">
        <v>0.189</v>
      </c>
      <c r="E3510" s="633">
        <v>0.19800000000000001</v>
      </c>
      <c r="F3510" s="633">
        <v>0.12</v>
      </c>
      <c r="G3510" s="633">
        <v>0.112</v>
      </c>
    </row>
    <row r="3511" spans="1:7" ht="18.75" x14ac:dyDescent="0.25">
      <c r="A3511" s="629" t="s">
        <v>3067</v>
      </c>
      <c r="B3511" s="630">
        <v>407</v>
      </c>
      <c r="C3511" s="631" t="str">
        <f t="shared" si="59"/>
        <v>Ô tô vận tải thùng 7 tấn407</v>
      </c>
      <c r="D3511" s="633">
        <v>0.189</v>
      </c>
      <c r="E3511" s="633">
        <v>0.19800000000000001</v>
      </c>
      <c r="F3511" s="633">
        <v>0.12</v>
      </c>
      <c r="G3511" s="633">
        <v>0.112</v>
      </c>
    </row>
    <row r="3512" spans="1:7" ht="18.75" x14ac:dyDescent="0.25">
      <c r="A3512" s="629" t="s">
        <v>3067</v>
      </c>
      <c r="B3512" s="630">
        <v>408</v>
      </c>
      <c r="C3512" s="631" t="str">
        <f t="shared" si="59"/>
        <v>Ô tô vận tải thùng 7 tấn408</v>
      </c>
      <c r="D3512" s="633">
        <v>0.189</v>
      </c>
      <c r="E3512" s="633">
        <v>0.19800000000000001</v>
      </c>
      <c r="F3512" s="633">
        <v>0.12</v>
      </c>
      <c r="G3512" s="633">
        <v>0.112</v>
      </c>
    </row>
    <row r="3513" spans="1:7" ht="18.75" x14ac:dyDescent="0.25">
      <c r="A3513" s="629" t="s">
        <v>3067</v>
      </c>
      <c r="B3513" s="630">
        <v>409</v>
      </c>
      <c r="C3513" s="631" t="str">
        <f t="shared" si="59"/>
        <v>Ô tô vận tải thùng 7 tấn409</v>
      </c>
      <c r="D3513" s="633">
        <v>0.189</v>
      </c>
      <c r="E3513" s="633">
        <v>0.19800000000000001</v>
      </c>
      <c r="F3513" s="633">
        <v>0.12</v>
      </c>
      <c r="G3513" s="633">
        <v>0.112</v>
      </c>
    </row>
    <row r="3514" spans="1:7" ht="18.75" x14ac:dyDescent="0.25">
      <c r="A3514" s="629" t="s">
        <v>3067</v>
      </c>
      <c r="B3514" s="630">
        <v>410</v>
      </c>
      <c r="C3514" s="631" t="str">
        <f t="shared" si="59"/>
        <v>Ô tô vận tải thùng 7 tấn410</v>
      </c>
      <c r="D3514" s="633">
        <v>0.189</v>
      </c>
      <c r="E3514" s="633">
        <v>0.19800000000000001</v>
      </c>
      <c r="F3514" s="633">
        <v>0.12</v>
      </c>
      <c r="G3514" s="633">
        <v>0.112</v>
      </c>
    </row>
    <row r="3515" spans="1:7" ht="18.75" x14ac:dyDescent="0.25">
      <c r="A3515" s="629" t="s">
        <v>3067</v>
      </c>
      <c r="B3515" s="630">
        <v>411</v>
      </c>
      <c r="C3515" s="631" t="str">
        <f t="shared" si="59"/>
        <v>Ô tô vận tải thùng 7 tấn411</v>
      </c>
      <c r="D3515" s="633">
        <v>0.189</v>
      </c>
      <c r="E3515" s="633">
        <v>0.19800000000000001</v>
      </c>
      <c r="F3515" s="633">
        <v>0.12</v>
      </c>
      <c r="G3515" s="633">
        <v>0.112</v>
      </c>
    </row>
    <row r="3516" spans="1:7" ht="18.75" x14ac:dyDescent="0.25">
      <c r="A3516" s="629" t="s">
        <v>3067</v>
      </c>
      <c r="B3516" s="630">
        <v>412</v>
      </c>
      <c r="C3516" s="631" t="str">
        <f t="shared" si="59"/>
        <v>Ô tô vận tải thùng 7 tấn412</v>
      </c>
      <c r="D3516" s="633">
        <v>0.189</v>
      </c>
      <c r="E3516" s="633">
        <v>0.19800000000000001</v>
      </c>
      <c r="F3516" s="633">
        <v>0.12</v>
      </c>
      <c r="G3516" s="633">
        <v>0.112</v>
      </c>
    </row>
    <row r="3517" spans="1:7" ht="18.75" x14ac:dyDescent="0.25">
      <c r="A3517" s="629" t="s">
        <v>3067</v>
      </c>
      <c r="B3517" s="630">
        <v>413</v>
      </c>
      <c r="C3517" s="631" t="str">
        <f t="shared" si="59"/>
        <v>Ô tô vận tải thùng 7 tấn413</v>
      </c>
      <c r="D3517" s="633">
        <v>0.189</v>
      </c>
      <c r="E3517" s="633">
        <v>0.19800000000000001</v>
      </c>
      <c r="F3517" s="633">
        <v>0.12</v>
      </c>
      <c r="G3517" s="633">
        <v>0.112</v>
      </c>
    </row>
    <row r="3518" spans="1:7" ht="18.75" x14ac:dyDescent="0.25">
      <c r="A3518" s="629" t="s">
        <v>3067</v>
      </c>
      <c r="B3518" s="630">
        <v>414</v>
      </c>
      <c r="C3518" s="631" t="str">
        <f t="shared" si="59"/>
        <v>Ô tô vận tải thùng 7 tấn414</v>
      </c>
      <c r="D3518" s="633">
        <v>0.189</v>
      </c>
      <c r="E3518" s="633">
        <v>0.19800000000000001</v>
      </c>
      <c r="F3518" s="633">
        <v>0.12</v>
      </c>
      <c r="G3518" s="633">
        <v>0.112</v>
      </c>
    </row>
    <row r="3519" spans="1:7" ht="18.75" x14ac:dyDescent="0.25">
      <c r="A3519" s="629" t="s">
        <v>3067</v>
      </c>
      <c r="B3519" s="630">
        <v>415</v>
      </c>
      <c r="C3519" s="631" t="str">
        <f t="shared" si="59"/>
        <v>Ô tô vận tải thùng 7 tấn415</v>
      </c>
      <c r="D3519" s="633">
        <v>0.189</v>
      </c>
      <c r="E3519" s="633">
        <v>0.19800000000000001</v>
      </c>
      <c r="F3519" s="633">
        <v>0.12</v>
      </c>
      <c r="G3519" s="633">
        <v>0.112</v>
      </c>
    </row>
    <row r="3520" spans="1:7" ht="18.75" x14ac:dyDescent="0.25">
      <c r="A3520" s="629" t="s">
        <v>3067</v>
      </c>
      <c r="B3520" s="630">
        <v>416</v>
      </c>
      <c r="C3520" s="631" t="str">
        <f t="shared" si="59"/>
        <v>Ô tô vận tải thùng 7 tấn416</v>
      </c>
      <c r="D3520" s="633">
        <v>0.189</v>
      </c>
      <c r="E3520" s="633">
        <v>0.19800000000000001</v>
      </c>
      <c r="F3520" s="633">
        <v>0.12</v>
      </c>
      <c r="G3520" s="633">
        <v>0.112</v>
      </c>
    </row>
    <row r="3521" spans="1:7" ht="18.75" x14ac:dyDescent="0.25">
      <c r="A3521" s="629" t="s">
        <v>3067</v>
      </c>
      <c r="B3521" s="630">
        <v>417</v>
      </c>
      <c r="C3521" s="631" t="str">
        <f t="shared" si="59"/>
        <v>Ô tô vận tải thùng 7 tấn417</v>
      </c>
      <c r="D3521" s="633">
        <v>0.189</v>
      </c>
      <c r="E3521" s="633">
        <v>0.19800000000000001</v>
      </c>
      <c r="F3521" s="633">
        <v>0.12</v>
      </c>
      <c r="G3521" s="633">
        <v>0.112</v>
      </c>
    </row>
    <row r="3522" spans="1:7" ht="18.75" x14ac:dyDescent="0.25">
      <c r="A3522" s="629" t="s">
        <v>3067</v>
      </c>
      <c r="B3522" s="630">
        <v>418</v>
      </c>
      <c r="C3522" s="631" t="str">
        <f t="shared" si="59"/>
        <v>Ô tô vận tải thùng 7 tấn418</v>
      </c>
      <c r="D3522" s="633">
        <v>0.189</v>
      </c>
      <c r="E3522" s="633">
        <v>0.19800000000000001</v>
      </c>
      <c r="F3522" s="633">
        <v>0.12</v>
      </c>
      <c r="G3522" s="633">
        <v>0.112</v>
      </c>
    </row>
    <row r="3523" spans="1:7" ht="18.75" x14ac:dyDescent="0.25">
      <c r="A3523" s="629" t="s">
        <v>3067</v>
      </c>
      <c r="B3523" s="630">
        <v>419</v>
      </c>
      <c r="C3523" s="631" t="str">
        <f t="shared" si="59"/>
        <v>Ô tô vận tải thùng 7 tấn419</v>
      </c>
      <c r="D3523" s="633">
        <v>0.189</v>
      </c>
      <c r="E3523" s="633">
        <v>0.19800000000000001</v>
      </c>
      <c r="F3523" s="633">
        <v>0.12</v>
      </c>
      <c r="G3523" s="633">
        <v>0.112</v>
      </c>
    </row>
    <row r="3524" spans="1:7" ht="18.75" x14ac:dyDescent="0.25">
      <c r="A3524" s="629" t="s">
        <v>3067</v>
      </c>
      <c r="B3524" s="630">
        <v>420</v>
      </c>
      <c r="C3524" s="631" t="str">
        <f t="shared" si="59"/>
        <v>Ô tô vận tải thùng 7 tấn420</v>
      </c>
      <c r="D3524" s="633">
        <v>0.189</v>
      </c>
      <c r="E3524" s="633">
        <v>0.19800000000000001</v>
      </c>
      <c r="F3524" s="633">
        <v>0.12</v>
      </c>
      <c r="G3524" s="633">
        <v>0.112</v>
      </c>
    </row>
    <row r="3525" spans="1:7" ht="18.75" x14ac:dyDescent="0.25">
      <c r="A3525" s="629" t="s">
        <v>3067</v>
      </c>
      <c r="B3525" s="630">
        <v>421</v>
      </c>
      <c r="C3525" s="631" t="str">
        <f t="shared" si="59"/>
        <v>Ô tô vận tải thùng 7 tấn421</v>
      </c>
      <c r="D3525" s="633">
        <v>0.189</v>
      </c>
      <c r="E3525" s="633">
        <v>0.19800000000000001</v>
      </c>
      <c r="F3525" s="633">
        <v>0.12</v>
      </c>
      <c r="G3525" s="633">
        <v>0.112</v>
      </c>
    </row>
    <row r="3526" spans="1:7" ht="18.75" x14ac:dyDescent="0.25">
      <c r="A3526" s="629" t="s">
        <v>3067</v>
      </c>
      <c r="B3526" s="630">
        <v>422</v>
      </c>
      <c r="C3526" s="631" t="str">
        <f t="shared" si="59"/>
        <v>Ô tô vận tải thùng 7 tấn422</v>
      </c>
      <c r="D3526" s="633">
        <v>0.189</v>
      </c>
      <c r="E3526" s="633">
        <v>0.19800000000000001</v>
      </c>
      <c r="F3526" s="633">
        <v>0.12</v>
      </c>
      <c r="G3526" s="633">
        <v>0.112</v>
      </c>
    </row>
    <row r="3527" spans="1:7" ht="18.75" x14ac:dyDescent="0.25">
      <c r="A3527" s="629" t="s">
        <v>3067</v>
      </c>
      <c r="B3527" s="630">
        <v>423</v>
      </c>
      <c r="C3527" s="631" t="str">
        <f t="shared" si="59"/>
        <v>Ô tô vận tải thùng 7 tấn423</v>
      </c>
      <c r="D3527" s="633">
        <v>0.189</v>
      </c>
      <c r="E3527" s="633">
        <v>0.19800000000000001</v>
      </c>
      <c r="F3527" s="633">
        <v>0.12</v>
      </c>
      <c r="G3527" s="633">
        <v>0.112</v>
      </c>
    </row>
    <row r="3528" spans="1:7" ht="18.75" x14ac:dyDescent="0.25">
      <c r="A3528" s="629" t="s">
        <v>3067</v>
      </c>
      <c r="B3528" s="630">
        <v>424</v>
      </c>
      <c r="C3528" s="631" t="str">
        <f t="shared" si="59"/>
        <v>Ô tô vận tải thùng 7 tấn424</v>
      </c>
      <c r="D3528" s="633">
        <v>0.189</v>
      </c>
      <c r="E3528" s="633">
        <v>0.19800000000000001</v>
      </c>
      <c r="F3528" s="633">
        <v>0.12</v>
      </c>
      <c r="G3528" s="633">
        <v>0.112</v>
      </c>
    </row>
    <row r="3529" spans="1:7" ht="18.75" x14ac:dyDescent="0.25">
      <c r="A3529" s="629" t="s">
        <v>3067</v>
      </c>
      <c r="B3529" s="630">
        <v>425</v>
      </c>
      <c r="C3529" s="631" t="str">
        <f t="shared" si="59"/>
        <v>Ô tô vận tải thùng 7 tấn425</v>
      </c>
      <c r="D3529" s="633">
        <v>0.189</v>
      </c>
      <c r="E3529" s="633">
        <v>0.19800000000000001</v>
      </c>
      <c r="F3529" s="633">
        <v>0.12</v>
      </c>
      <c r="G3529" s="633">
        <v>0.112</v>
      </c>
    </row>
    <row r="3530" spans="1:7" ht="18.75" x14ac:dyDescent="0.25">
      <c r="A3530" s="629" t="s">
        <v>3067</v>
      </c>
      <c r="B3530" s="630">
        <v>426</v>
      </c>
      <c r="C3530" s="631" t="str">
        <f t="shared" si="59"/>
        <v>Ô tô vận tải thùng 7 tấn426</v>
      </c>
      <c r="D3530" s="633">
        <v>0.189</v>
      </c>
      <c r="E3530" s="633">
        <v>0.19800000000000001</v>
      </c>
      <c r="F3530" s="633">
        <v>0.12</v>
      </c>
      <c r="G3530" s="633">
        <v>0.112</v>
      </c>
    </row>
    <row r="3531" spans="1:7" ht="18.75" x14ac:dyDescent="0.25">
      <c r="A3531" s="629" t="s">
        <v>3067</v>
      </c>
      <c r="B3531" s="630">
        <v>427</v>
      </c>
      <c r="C3531" s="631" t="str">
        <f t="shared" si="59"/>
        <v>Ô tô vận tải thùng 7 tấn427</v>
      </c>
      <c r="D3531" s="633">
        <v>0.189</v>
      </c>
      <c r="E3531" s="633">
        <v>0.19800000000000001</v>
      </c>
      <c r="F3531" s="633">
        <v>0.12</v>
      </c>
      <c r="G3531" s="633">
        <v>0.112</v>
      </c>
    </row>
    <row r="3532" spans="1:7" ht="18.75" x14ac:dyDescent="0.25">
      <c r="A3532" s="629" t="s">
        <v>3067</v>
      </c>
      <c r="B3532" s="630">
        <v>428</v>
      </c>
      <c r="C3532" s="631" t="str">
        <f t="shared" si="59"/>
        <v>Ô tô vận tải thùng 7 tấn428</v>
      </c>
      <c r="D3532" s="633">
        <v>0.189</v>
      </c>
      <c r="E3532" s="633">
        <v>0.19800000000000001</v>
      </c>
      <c r="F3532" s="633">
        <v>0.12</v>
      </c>
      <c r="G3532" s="633">
        <v>0.112</v>
      </c>
    </row>
    <row r="3533" spans="1:7" ht="18.75" x14ac:dyDescent="0.25">
      <c r="A3533" s="629" t="s">
        <v>3067</v>
      </c>
      <c r="B3533" s="630">
        <v>429</v>
      </c>
      <c r="C3533" s="631" t="str">
        <f t="shared" si="59"/>
        <v>Ô tô vận tải thùng 7 tấn429</v>
      </c>
      <c r="D3533" s="633">
        <v>0.189</v>
      </c>
      <c r="E3533" s="633">
        <v>0.19800000000000001</v>
      </c>
      <c r="F3533" s="633">
        <v>0.12</v>
      </c>
      <c r="G3533" s="633">
        <v>0.112</v>
      </c>
    </row>
    <row r="3534" spans="1:7" ht="18.75" x14ac:dyDescent="0.25">
      <c r="A3534" s="629" t="s">
        <v>3067</v>
      </c>
      <c r="B3534" s="630">
        <v>430</v>
      </c>
      <c r="C3534" s="631" t="str">
        <f t="shared" si="59"/>
        <v>Ô tô vận tải thùng 7 tấn430</v>
      </c>
      <c r="D3534" s="633">
        <v>0.189</v>
      </c>
      <c r="E3534" s="633">
        <v>0.19800000000000001</v>
      </c>
      <c r="F3534" s="633">
        <v>0.12</v>
      </c>
      <c r="G3534" s="633">
        <v>0.112</v>
      </c>
    </row>
    <row r="3535" spans="1:7" ht="18.75" x14ac:dyDescent="0.25">
      <c r="A3535" s="629" t="s">
        <v>3067</v>
      </c>
      <c r="B3535" s="630">
        <v>431</v>
      </c>
      <c r="C3535" s="631" t="str">
        <f t="shared" si="59"/>
        <v>Ô tô vận tải thùng 7 tấn431</v>
      </c>
      <c r="D3535" s="633">
        <v>0.189</v>
      </c>
      <c r="E3535" s="633">
        <v>0.19800000000000001</v>
      </c>
      <c r="F3535" s="633">
        <v>0.12</v>
      </c>
      <c r="G3535" s="633">
        <v>0.112</v>
      </c>
    </row>
    <row r="3536" spans="1:7" ht="18.75" x14ac:dyDescent="0.25">
      <c r="A3536" s="629" t="s">
        <v>3067</v>
      </c>
      <c r="B3536" s="630">
        <v>432</v>
      </c>
      <c r="C3536" s="631" t="str">
        <f t="shared" si="59"/>
        <v>Ô tô vận tải thùng 7 tấn432</v>
      </c>
      <c r="D3536" s="633">
        <v>0.189</v>
      </c>
      <c r="E3536" s="633">
        <v>0.19800000000000001</v>
      </c>
      <c r="F3536" s="633">
        <v>0.12</v>
      </c>
      <c r="G3536" s="633">
        <v>0.112</v>
      </c>
    </row>
    <row r="3537" spans="1:7" ht="18.75" x14ac:dyDescent="0.25">
      <c r="A3537" s="629" t="s">
        <v>3067</v>
      </c>
      <c r="B3537" s="630">
        <v>433</v>
      </c>
      <c r="C3537" s="631" t="str">
        <f t="shared" si="59"/>
        <v>Ô tô vận tải thùng 7 tấn433</v>
      </c>
      <c r="D3537" s="633">
        <v>0.189</v>
      </c>
      <c r="E3537" s="633">
        <v>0.19800000000000001</v>
      </c>
      <c r="F3537" s="633">
        <v>0.12</v>
      </c>
      <c r="G3537" s="633">
        <v>0.112</v>
      </c>
    </row>
    <row r="3538" spans="1:7" ht="18.75" x14ac:dyDescent="0.25">
      <c r="A3538" s="629" t="s">
        <v>3067</v>
      </c>
      <c r="B3538" s="630">
        <v>434</v>
      </c>
      <c r="C3538" s="631" t="str">
        <f t="shared" si="59"/>
        <v>Ô tô vận tải thùng 7 tấn434</v>
      </c>
      <c r="D3538" s="633">
        <v>0.189</v>
      </c>
      <c r="E3538" s="633">
        <v>0.19800000000000001</v>
      </c>
      <c r="F3538" s="633">
        <v>0.12</v>
      </c>
      <c r="G3538" s="633">
        <v>0.112</v>
      </c>
    </row>
    <row r="3539" spans="1:7" ht="18.75" x14ac:dyDescent="0.25">
      <c r="A3539" s="629" t="s">
        <v>3067</v>
      </c>
      <c r="B3539" s="630">
        <v>435</v>
      </c>
      <c r="C3539" s="631" t="str">
        <f t="shared" si="59"/>
        <v>Ô tô vận tải thùng 7 tấn435</v>
      </c>
      <c r="D3539" s="633">
        <v>0.189</v>
      </c>
      <c r="E3539" s="633">
        <v>0.19800000000000001</v>
      </c>
      <c r="F3539" s="633">
        <v>0.12</v>
      </c>
      <c r="G3539" s="633">
        <v>0.112</v>
      </c>
    </row>
    <row r="3540" spans="1:7" ht="18.75" x14ac:dyDescent="0.25">
      <c r="A3540" s="629" t="s">
        <v>3067</v>
      </c>
      <c r="B3540" s="630">
        <v>436</v>
      </c>
      <c r="C3540" s="631" t="str">
        <f t="shared" si="59"/>
        <v>Ô tô vận tải thùng 7 tấn436</v>
      </c>
      <c r="D3540" s="633">
        <v>0.189</v>
      </c>
      <c r="E3540" s="633">
        <v>0.19800000000000001</v>
      </c>
      <c r="F3540" s="633">
        <v>0.12</v>
      </c>
      <c r="G3540" s="633">
        <v>0.112</v>
      </c>
    </row>
    <row r="3541" spans="1:7" ht="18.75" x14ac:dyDescent="0.25">
      <c r="A3541" s="629" t="s">
        <v>3067</v>
      </c>
      <c r="B3541" s="630">
        <v>437</v>
      </c>
      <c r="C3541" s="631" t="str">
        <f t="shared" si="59"/>
        <v>Ô tô vận tải thùng 7 tấn437</v>
      </c>
      <c r="D3541" s="633">
        <v>0.189</v>
      </c>
      <c r="E3541" s="633">
        <v>0.19800000000000001</v>
      </c>
      <c r="F3541" s="633">
        <v>0.12</v>
      </c>
      <c r="G3541" s="633">
        <v>0.112</v>
      </c>
    </row>
    <row r="3542" spans="1:7" ht="18.75" x14ac:dyDescent="0.25">
      <c r="A3542" s="629" t="s">
        <v>3067</v>
      </c>
      <c r="B3542" s="630">
        <v>438</v>
      </c>
      <c r="C3542" s="631" t="str">
        <f t="shared" si="59"/>
        <v>Ô tô vận tải thùng 7 tấn438</v>
      </c>
      <c r="D3542" s="633">
        <v>0.189</v>
      </c>
      <c r="E3542" s="633">
        <v>0.19800000000000001</v>
      </c>
      <c r="F3542" s="633">
        <v>0.12</v>
      </c>
      <c r="G3542" s="633">
        <v>0.112</v>
      </c>
    </row>
    <row r="3543" spans="1:7" ht="18.75" x14ac:dyDescent="0.25">
      <c r="A3543" s="629" t="s">
        <v>3067</v>
      </c>
      <c r="B3543" s="630">
        <v>439</v>
      </c>
      <c r="C3543" s="631" t="str">
        <f t="shared" si="59"/>
        <v>Ô tô vận tải thùng 7 tấn439</v>
      </c>
      <c r="D3543" s="633">
        <v>0.189</v>
      </c>
      <c r="E3543" s="633">
        <v>0.19800000000000001</v>
      </c>
      <c r="F3543" s="633">
        <v>0.12</v>
      </c>
      <c r="G3543" s="633">
        <v>0.112</v>
      </c>
    </row>
    <row r="3544" spans="1:7" ht="18.75" x14ac:dyDescent="0.25">
      <c r="A3544" s="629" t="s">
        <v>3067</v>
      </c>
      <c r="B3544" s="630">
        <v>440</v>
      </c>
      <c r="C3544" s="631" t="str">
        <f t="shared" si="59"/>
        <v>Ô tô vận tải thùng 7 tấn440</v>
      </c>
      <c r="D3544" s="633">
        <v>0.189</v>
      </c>
      <c r="E3544" s="633">
        <v>0.19800000000000001</v>
      </c>
      <c r="F3544" s="633">
        <v>0.12</v>
      </c>
      <c r="G3544" s="633">
        <v>0.112</v>
      </c>
    </row>
    <row r="3545" spans="1:7" ht="18.75" x14ac:dyDescent="0.25">
      <c r="A3545" s="629" t="s">
        <v>3067</v>
      </c>
      <c r="B3545" s="630">
        <v>441</v>
      </c>
      <c r="C3545" s="631" t="str">
        <f t="shared" si="59"/>
        <v>Ô tô vận tải thùng 7 tấn441</v>
      </c>
      <c r="D3545" s="633">
        <v>0.189</v>
      </c>
      <c r="E3545" s="633">
        <v>0.19800000000000001</v>
      </c>
      <c r="F3545" s="633">
        <v>0.12</v>
      </c>
      <c r="G3545" s="633">
        <v>0.112</v>
      </c>
    </row>
    <row r="3546" spans="1:7" ht="18.75" x14ac:dyDescent="0.25">
      <c r="A3546" s="629" t="s">
        <v>3067</v>
      </c>
      <c r="B3546" s="630">
        <v>442</v>
      </c>
      <c r="C3546" s="631" t="str">
        <f t="shared" si="59"/>
        <v>Ô tô vận tải thùng 7 tấn442</v>
      </c>
      <c r="D3546" s="633">
        <v>0.189</v>
      </c>
      <c r="E3546" s="633">
        <v>0.19800000000000001</v>
      </c>
      <c r="F3546" s="633">
        <v>0.12</v>
      </c>
      <c r="G3546" s="633">
        <v>0.112</v>
      </c>
    </row>
    <row r="3547" spans="1:7" ht="18.75" x14ac:dyDescent="0.25">
      <c r="A3547" s="629" t="s">
        <v>3067</v>
      </c>
      <c r="B3547" s="630">
        <v>443</v>
      </c>
      <c r="C3547" s="631" t="str">
        <f t="shared" si="59"/>
        <v>Ô tô vận tải thùng 7 tấn443</v>
      </c>
      <c r="D3547" s="633">
        <v>0.189</v>
      </c>
      <c r="E3547" s="633">
        <v>0.19800000000000001</v>
      </c>
      <c r="F3547" s="633">
        <v>0.12</v>
      </c>
      <c r="G3547" s="633">
        <v>0.112</v>
      </c>
    </row>
    <row r="3548" spans="1:7" ht="18.75" x14ac:dyDescent="0.25">
      <c r="A3548" s="629" t="s">
        <v>3067</v>
      </c>
      <c r="B3548" s="630">
        <v>444</v>
      </c>
      <c r="C3548" s="631" t="str">
        <f t="shared" si="59"/>
        <v>Ô tô vận tải thùng 7 tấn444</v>
      </c>
      <c r="D3548" s="633">
        <v>0.189</v>
      </c>
      <c r="E3548" s="633">
        <v>0.19800000000000001</v>
      </c>
      <c r="F3548" s="633">
        <v>0.12</v>
      </c>
      <c r="G3548" s="633">
        <v>0.112</v>
      </c>
    </row>
    <row r="3549" spans="1:7" ht="18.75" x14ac:dyDescent="0.25">
      <c r="A3549" s="629" t="s">
        <v>3067</v>
      </c>
      <c r="B3549" s="630">
        <v>445</v>
      </c>
      <c r="C3549" s="631" t="str">
        <f t="shared" si="59"/>
        <v>Ô tô vận tải thùng 7 tấn445</v>
      </c>
      <c r="D3549" s="633">
        <v>0.189</v>
      </c>
      <c r="E3549" s="633">
        <v>0.19800000000000001</v>
      </c>
      <c r="F3549" s="633">
        <v>0.12</v>
      </c>
      <c r="G3549" s="633">
        <v>0.112</v>
      </c>
    </row>
    <row r="3550" spans="1:7" ht="18.75" x14ac:dyDescent="0.25">
      <c r="A3550" s="629" t="s">
        <v>3067</v>
      </c>
      <c r="B3550" s="630">
        <v>446</v>
      </c>
      <c r="C3550" s="631" t="str">
        <f t="shared" si="59"/>
        <v>Ô tô vận tải thùng 7 tấn446</v>
      </c>
      <c r="D3550" s="633">
        <v>0.189</v>
      </c>
      <c r="E3550" s="633">
        <v>0.19800000000000001</v>
      </c>
      <c r="F3550" s="633">
        <v>0.12</v>
      </c>
      <c r="G3550" s="633">
        <v>0.112</v>
      </c>
    </row>
    <row r="3551" spans="1:7" ht="18.75" x14ac:dyDescent="0.25">
      <c r="A3551" s="629" t="s">
        <v>3067</v>
      </c>
      <c r="B3551" s="630">
        <v>447</v>
      </c>
      <c r="C3551" s="631" t="str">
        <f t="shared" si="59"/>
        <v>Ô tô vận tải thùng 7 tấn447</v>
      </c>
      <c r="D3551" s="633">
        <v>0.189</v>
      </c>
      <c r="E3551" s="633">
        <v>0.19800000000000001</v>
      </c>
      <c r="F3551" s="633">
        <v>0.12</v>
      </c>
      <c r="G3551" s="633">
        <v>0.112</v>
      </c>
    </row>
    <row r="3552" spans="1:7" ht="18.75" x14ac:dyDescent="0.25">
      <c r="A3552" s="629" t="s">
        <v>3067</v>
      </c>
      <c r="B3552" s="630">
        <v>448</v>
      </c>
      <c r="C3552" s="631" t="str">
        <f t="shared" si="59"/>
        <v>Ô tô vận tải thùng 7 tấn448</v>
      </c>
      <c r="D3552" s="633">
        <v>0.189</v>
      </c>
      <c r="E3552" s="633">
        <v>0.19800000000000001</v>
      </c>
      <c r="F3552" s="633">
        <v>0.12</v>
      </c>
      <c r="G3552" s="633">
        <v>0.112</v>
      </c>
    </row>
    <row r="3553" spans="1:7" ht="18.75" x14ac:dyDescent="0.25">
      <c r="A3553" s="629" t="s">
        <v>3067</v>
      </c>
      <c r="B3553" s="630">
        <v>449</v>
      </c>
      <c r="C3553" s="631" t="str">
        <f t="shared" si="59"/>
        <v>Ô tô vận tải thùng 7 tấn449</v>
      </c>
      <c r="D3553" s="633">
        <v>0.189</v>
      </c>
      <c r="E3553" s="633">
        <v>0.19800000000000001</v>
      </c>
      <c r="F3553" s="633">
        <v>0.12</v>
      </c>
      <c r="G3553" s="633">
        <v>0.112</v>
      </c>
    </row>
    <row r="3554" spans="1:7" ht="18.75" x14ac:dyDescent="0.25">
      <c r="A3554" s="629" t="s">
        <v>3067</v>
      </c>
      <c r="B3554" s="630">
        <v>450</v>
      </c>
      <c r="C3554" s="631" t="str">
        <f t="shared" ref="C3554:C3604" si="60">A3554&amp;B3554</f>
        <v>Ô tô vận tải thùng 7 tấn450</v>
      </c>
      <c r="D3554" s="633">
        <v>0.189</v>
      </c>
      <c r="E3554" s="633">
        <v>0.19800000000000001</v>
      </c>
      <c r="F3554" s="633">
        <v>0.12</v>
      </c>
      <c r="G3554" s="633">
        <v>0.112</v>
      </c>
    </row>
    <row r="3555" spans="1:7" ht="18.75" x14ac:dyDescent="0.25">
      <c r="A3555" s="629" t="s">
        <v>3067</v>
      </c>
      <c r="B3555" s="630">
        <v>451</v>
      </c>
      <c r="C3555" s="631" t="str">
        <f t="shared" si="60"/>
        <v>Ô tô vận tải thùng 7 tấn451</v>
      </c>
      <c r="D3555" s="633">
        <v>0.189</v>
      </c>
      <c r="E3555" s="633">
        <v>0.19800000000000001</v>
      </c>
      <c r="F3555" s="633">
        <v>0.12</v>
      </c>
      <c r="G3555" s="633">
        <v>0.112</v>
      </c>
    </row>
    <row r="3556" spans="1:7" ht="18.75" x14ac:dyDescent="0.25">
      <c r="A3556" s="629" t="s">
        <v>3067</v>
      </c>
      <c r="B3556" s="630">
        <v>452</v>
      </c>
      <c r="C3556" s="631" t="str">
        <f t="shared" si="60"/>
        <v>Ô tô vận tải thùng 7 tấn452</v>
      </c>
      <c r="D3556" s="633">
        <v>0.189</v>
      </c>
      <c r="E3556" s="633">
        <v>0.19800000000000001</v>
      </c>
      <c r="F3556" s="633">
        <v>0.12</v>
      </c>
      <c r="G3556" s="633">
        <v>0.112</v>
      </c>
    </row>
    <row r="3557" spans="1:7" ht="18.75" x14ac:dyDescent="0.25">
      <c r="A3557" s="629" t="s">
        <v>3067</v>
      </c>
      <c r="B3557" s="630">
        <v>453</v>
      </c>
      <c r="C3557" s="631" t="str">
        <f t="shared" si="60"/>
        <v>Ô tô vận tải thùng 7 tấn453</v>
      </c>
      <c r="D3557" s="633">
        <v>0.189</v>
      </c>
      <c r="E3557" s="633">
        <v>0.19800000000000001</v>
      </c>
      <c r="F3557" s="633">
        <v>0.12</v>
      </c>
      <c r="G3557" s="633">
        <v>0.112</v>
      </c>
    </row>
    <row r="3558" spans="1:7" ht="18.75" x14ac:dyDescent="0.25">
      <c r="A3558" s="629" t="s">
        <v>3067</v>
      </c>
      <c r="B3558" s="630">
        <v>454</v>
      </c>
      <c r="C3558" s="631" t="str">
        <f t="shared" si="60"/>
        <v>Ô tô vận tải thùng 7 tấn454</v>
      </c>
      <c r="D3558" s="633">
        <v>0.189</v>
      </c>
      <c r="E3558" s="633">
        <v>0.19800000000000001</v>
      </c>
      <c r="F3558" s="633">
        <v>0.12</v>
      </c>
      <c r="G3558" s="633">
        <v>0.112</v>
      </c>
    </row>
    <row r="3559" spans="1:7" ht="18.75" x14ac:dyDescent="0.25">
      <c r="A3559" s="629" t="s">
        <v>3067</v>
      </c>
      <c r="B3559" s="630">
        <v>455</v>
      </c>
      <c r="C3559" s="631" t="str">
        <f t="shared" si="60"/>
        <v>Ô tô vận tải thùng 7 tấn455</v>
      </c>
      <c r="D3559" s="633">
        <v>0.189</v>
      </c>
      <c r="E3559" s="633">
        <v>0.19800000000000001</v>
      </c>
      <c r="F3559" s="633">
        <v>0.12</v>
      </c>
      <c r="G3559" s="633">
        <v>0.112</v>
      </c>
    </row>
    <row r="3560" spans="1:7" ht="18.75" x14ac:dyDescent="0.25">
      <c r="A3560" s="629" t="s">
        <v>3067</v>
      </c>
      <c r="B3560" s="630">
        <v>456</v>
      </c>
      <c r="C3560" s="631" t="str">
        <f t="shared" si="60"/>
        <v>Ô tô vận tải thùng 7 tấn456</v>
      </c>
      <c r="D3560" s="633">
        <v>0.189</v>
      </c>
      <c r="E3560" s="633">
        <v>0.19800000000000001</v>
      </c>
      <c r="F3560" s="633">
        <v>0.12</v>
      </c>
      <c r="G3560" s="633">
        <v>0.112</v>
      </c>
    </row>
    <row r="3561" spans="1:7" ht="18.75" x14ac:dyDescent="0.25">
      <c r="A3561" s="629" t="s">
        <v>3067</v>
      </c>
      <c r="B3561" s="630">
        <v>457</v>
      </c>
      <c r="C3561" s="631" t="str">
        <f t="shared" si="60"/>
        <v>Ô tô vận tải thùng 7 tấn457</v>
      </c>
      <c r="D3561" s="633">
        <v>0.189</v>
      </c>
      <c r="E3561" s="633">
        <v>0.19800000000000001</v>
      </c>
      <c r="F3561" s="633">
        <v>0.12</v>
      </c>
      <c r="G3561" s="633">
        <v>0.112</v>
      </c>
    </row>
    <row r="3562" spans="1:7" ht="18.75" x14ac:dyDescent="0.25">
      <c r="A3562" s="629" t="s">
        <v>3067</v>
      </c>
      <c r="B3562" s="630">
        <v>458</v>
      </c>
      <c r="C3562" s="631" t="str">
        <f t="shared" si="60"/>
        <v>Ô tô vận tải thùng 7 tấn458</v>
      </c>
      <c r="D3562" s="633">
        <v>0.189</v>
      </c>
      <c r="E3562" s="633">
        <v>0.19800000000000001</v>
      </c>
      <c r="F3562" s="633">
        <v>0.12</v>
      </c>
      <c r="G3562" s="633">
        <v>0.112</v>
      </c>
    </row>
    <row r="3563" spans="1:7" ht="18.75" x14ac:dyDescent="0.25">
      <c r="A3563" s="629" t="s">
        <v>3067</v>
      </c>
      <c r="B3563" s="630">
        <v>459</v>
      </c>
      <c r="C3563" s="631" t="str">
        <f t="shared" si="60"/>
        <v>Ô tô vận tải thùng 7 tấn459</v>
      </c>
      <c r="D3563" s="633">
        <v>0.189</v>
      </c>
      <c r="E3563" s="633">
        <v>0.19800000000000001</v>
      </c>
      <c r="F3563" s="633">
        <v>0.12</v>
      </c>
      <c r="G3563" s="633">
        <v>0.112</v>
      </c>
    </row>
    <row r="3564" spans="1:7" ht="18.75" x14ac:dyDescent="0.25">
      <c r="A3564" s="629" t="s">
        <v>3067</v>
      </c>
      <c r="B3564" s="630">
        <v>460</v>
      </c>
      <c r="C3564" s="631" t="str">
        <f t="shared" si="60"/>
        <v>Ô tô vận tải thùng 7 tấn460</v>
      </c>
      <c r="D3564" s="633">
        <v>0.189</v>
      </c>
      <c r="E3564" s="633">
        <v>0.19800000000000001</v>
      </c>
      <c r="F3564" s="633">
        <v>0.12</v>
      </c>
      <c r="G3564" s="633">
        <v>0.112</v>
      </c>
    </row>
    <row r="3565" spans="1:7" ht="18.75" x14ac:dyDescent="0.25">
      <c r="A3565" s="629" t="s">
        <v>3067</v>
      </c>
      <c r="B3565" s="630">
        <v>461</v>
      </c>
      <c r="C3565" s="631" t="str">
        <f t="shared" si="60"/>
        <v>Ô tô vận tải thùng 7 tấn461</v>
      </c>
      <c r="D3565" s="633">
        <v>0.189</v>
      </c>
      <c r="E3565" s="633">
        <v>0.19800000000000001</v>
      </c>
      <c r="F3565" s="633">
        <v>0.12</v>
      </c>
      <c r="G3565" s="633">
        <v>0.112</v>
      </c>
    </row>
    <row r="3566" spans="1:7" ht="18.75" x14ac:dyDescent="0.25">
      <c r="A3566" s="629" t="s">
        <v>3067</v>
      </c>
      <c r="B3566" s="630">
        <v>462</v>
      </c>
      <c r="C3566" s="631" t="str">
        <f t="shared" si="60"/>
        <v>Ô tô vận tải thùng 7 tấn462</v>
      </c>
      <c r="D3566" s="633">
        <v>0.189</v>
      </c>
      <c r="E3566" s="633">
        <v>0.19800000000000001</v>
      </c>
      <c r="F3566" s="633">
        <v>0.12</v>
      </c>
      <c r="G3566" s="633">
        <v>0.112</v>
      </c>
    </row>
    <row r="3567" spans="1:7" ht="18.75" x14ac:dyDescent="0.25">
      <c r="A3567" s="629" t="s">
        <v>3067</v>
      </c>
      <c r="B3567" s="630">
        <v>463</v>
      </c>
      <c r="C3567" s="631" t="str">
        <f t="shared" si="60"/>
        <v>Ô tô vận tải thùng 7 tấn463</v>
      </c>
      <c r="D3567" s="633">
        <v>0.189</v>
      </c>
      <c r="E3567" s="633">
        <v>0.19800000000000001</v>
      </c>
      <c r="F3567" s="633">
        <v>0.12</v>
      </c>
      <c r="G3567" s="633">
        <v>0.112</v>
      </c>
    </row>
    <row r="3568" spans="1:7" ht="18.75" x14ac:dyDescent="0.25">
      <c r="A3568" s="629" t="s">
        <v>3067</v>
      </c>
      <c r="B3568" s="630">
        <v>464</v>
      </c>
      <c r="C3568" s="631" t="str">
        <f t="shared" si="60"/>
        <v>Ô tô vận tải thùng 7 tấn464</v>
      </c>
      <c r="D3568" s="633">
        <v>0.189</v>
      </c>
      <c r="E3568" s="633">
        <v>0.19800000000000001</v>
      </c>
      <c r="F3568" s="633">
        <v>0.12</v>
      </c>
      <c r="G3568" s="633">
        <v>0.112</v>
      </c>
    </row>
    <row r="3569" spans="1:7" ht="18.75" x14ac:dyDescent="0.25">
      <c r="A3569" s="629" t="s">
        <v>3067</v>
      </c>
      <c r="B3569" s="630">
        <v>465</v>
      </c>
      <c r="C3569" s="631" t="str">
        <f t="shared" si="60"/>
        <v>Ô tô vận tải thùng 7 tấn465</v>
      </c>
      <c r="D3569" s="633">
        <v>0.189</v>
      </c>
      <c r="E3569" s="633">
        <v>0.19800000000000001</v>
      </c>
      <c r="F3569" s="633">
        <v>0.12</v>
      </c>
      <c r="G3569" s="633">
        <v>0.112</v>
      </c>
    </row>
    <row r="3570" spans="1:7" ht="18.75" x14ac:dyDescent="0.25">
      <c r="A3570" s="629" t="s">
        <v>3067</v>
      </c>
      <c r="B3570" s="630">
        <v>466</v>
      </c>
      <c r="C3570" s="631" t="str">
        <f t="shared" si="60"/>
        <v>Ô tô vận tải thùng 7 tấn466</v>
      </c>
      <c r="D3570" s="633">
        <v>0.189</v>
      </c>
      <c r="E3570" s="633">
        <v>0.19800000000000001</v>
      </c>
      <c r="F3570" s="633">
        <v>0.12</v>
      </c>
      <c r="G3570" s="633">
        <v>0.112</v>
      </c>
    </row>
    <row r="3571" spans="1:7" ht="18.75" x14ac:dyDescent="0.25">
      <c r="A3571" s="629" t="s">
        <v>3067</v>
      </c>
      <c r="B3571" s="630">
        <v>467</v>
      </c>
      <c r="C3571" s="631" t="str">
        <f t="shared" si="60"/>
        <v>Ô tô vận tải thùng 7 tấn467</v>
      </c>
      <c r="D3571" s="633">
        <v>0.189</v>
      </c>
      <c r="E3571" s="633">
        <v>0.19800000000000001</v>
      </c>
      <c r="F3571" s="633">
        <v>0.12</v>
      </c>
      <c r="G3571" s="633">
        <v>0.112</v>
      </c>
    </row>
    <row r="3572" spans="1:7" ht="18.75" x14ac:dyDescent="0.25">
      <c r="A3572" s="629" t="s">
        <v>3067</v>
      </c>
      <c r="B3572" s="630">
        <v>468</v>
      </c>
      <c r="C3572" s="631" t="str">
        <f t="shared" si="60"/>
        <v>Ô tô vận tải thùng 7 tấn468</v>
      </c>
      <c r="D3572" s="633">
        <v>0.189</v>
      </c>
      <c r="E3572" s="633">
        <v>0.19800000000000001</v>
      </c>
      <c r="F3572" s="633">
        <v>0.12</v>
      </c>
      <c r="G3572" s="633">
        <v>0.112</v>
      </c>
    </row>
    <row r="3573" spans="1:7" ht="18.75" x14ac:dyDescent="0.25">
      <c r="A3573" s="629" t="s">
        <v>3067</v>
      </c>
      <c r="B3573" s="630">
        <v>469</v>
      </c>
      <c r="C3573" s="631" t="str">
        <f t="shared" si="60"/>
        <v>Ô tô vận tải thùng 7 tấn469</v>
      </c>
      <c r="D3573" s="633">
        <v>0.189</v>
      </c>
      <c r="E3573" s="633">
        <v>0.19800000000000001</v>
      </c>
      <c r="F3573" s="633">
        <v>0.12</v>
      </c>
      <c r="G3573" s="633">
        <v>0.112</v>
      </c>
    </row>
    <row r="3574" spans="1:7" ht="18.75" x14ac:dyDescent="0.25">
      <c r="A3574" s="629" t="s">
        <v>3067</v>
      </c>
      <c r="B3574" s="630">
        <v>470</v>
      </c>
      <c r="C3574" s="631" t="str">
        <f t="shared" si="60"/>
        <v>Ô tô vận tải thùng 7 tấn470</v>
      </c>
      <c r="D3574" s="633">
        <v>0.189</v>
      </c>
      <c r="E3574" s="633">
        <v>0.19800000000000001</v>
      </c>
      <c r="F3574" s="633">
        <v>0.12</v>
      </c>
      <c r="G3574" s="633">
        <v>0.112</v>
      </c>
    </row>
    <row r="3575" spans="1:7" ht="18.75" x14ac:dyDescent="0.25">
      <c r="A3575" s="629" t="s">
        <v>3067</v>
      </c>
      <c r="B3575" s="630">
        <v>471</v>
      </c>
      <c r="C3575" s="631" t="str">
        <f t="shared" si="60"/>
        <v>Ô tô vận tải thùng 7 tấn471</v>
      </c>
      <c r="D3575" s="633">
        <v>0.189</v>
      </c>
      <c r="E3575" s="633">
        <v>0.19800000000000001</v>
      </c>
      <c r="F3575" s="633">
        <v>0.12</v>
      </c>
      <c r="G3575" s="633">
        <v>0.112</v>
      </c>
    </row>
    <row r="3576" spans="1:7" ht="18.75" x14ac:dyDescent="0.25">
      <c r="A3576" s="629" t="s">
        <v>3067</v>
      </c>
      <c r="B3576" s="630">
        <v>472</v>
      </c>
      <c r="C3576" s="631" t="str">
        <f t="shared" si="60"/>
        <v>Ô tô vận tải thùng 7 tấn472</v>
      </c>
      <c r="D3576" s="633">
        <v>0.189</v>
      </c>
      <c r="E3576" s="633">
        <v>0.19800000000000001</v>
      </c>
      <c r="F3576" s="633">
        <v>0.12</v>
      </c>
      <c r="G3576" s="633">
        <v>0.112</v>
      </c>
    </row>
    <row r="3577" spans="1:7" ht="18.75" x14ac:dyDescent="0.25">
      <c r="A3577" s="629" t="s">
        <v>3067</v>
      </c>
      <c r="B3577" s="630">
        <v>473</v>
      </c>
      <c r="C3577" s="631" t="str">
        <f t="shared" si="60"/>
        <v>Ô tô vận tải thùng 7 tấn473</v>
      </c>
      <c r="D3577" s="633">
        <v>0.189</v>
      </c>
      <c r="E3577" s="633">
        <v>0.19800000000000001</v>
      </c>
      <c r="F3577" s="633">
        <v>0.12</v>
      </c>
      <c r="G3577" s="633">
        <v>0.112</v>
      </c>
    </row>
    <row r="3578" spans="1:7" ht="18.75" x14ac:dyDescent="0.25">
      <c r="A3578" s="629" t="s">
        <v>3067</v>
      </c>
      <c r="B3578" s="630">
        <v>474</v>
      </c>
      <c r="C3578" s="631" t="str">
        <f t="shared" si="60"/>
        <v>Ô tô vận tải thùng 7 tấn474</v>
      </c>
      <c r="D3578" s="633">
        <v>0.189</v>
      </c>
      <c r="E3578" s="633">
        <v>0.19800000000000001</v>
      </c>
      <c r="F3578" s="633">
        <v>0.12</v>
      </c>
      <c r="G3578" s="633">
        <v>0.112</v>
      </c>
    </row>
    <row r="3579" spans="1:7" ht="18.75" x14ac:dyDescent="0.25">
      <c r="A3579" s="629" t="s">
        <v>3067</v>
      </c>
      <c r="B3579" s="630">
        <v>475</v>
      </c>
      <c r="C3579" s="631" t="str">
        <f t="shared" si="60"/>
        <v>Ô tô vận tải thùng 7 tấn475</v>
      </c>
      <c r="D3579" s="633">
        <v>0.189</v>
      </c>
      <c r="E3579" s="633">
        <v>0.19800000000000001</v>
      </c>
      <c r="F3579" s="633">
        <v>0.12</v>
      </c>
      <c r="G3579" s="633">
        <v>0.112</v>
      </c>
    </row>
    <row r="3580" spans="1:7" ht="18.75" x14ac:dyDescent="0.25">
      <c r="A3580" s="629" t="s">
        <v>3067</v>
      </c>
      <c r="B3580" s="630">
        <v>476</v>
      </c>
      <c r="C3580" s="631" t="str">
        <f t="shared" si="60"/>
        <v>Ô tô vận tải thùng 7 tấn476</v>
      </c>
      <c r="D3580" s="633">
        <v>0.189</v>
      </c>
      <c r="E3580" s="633">
        <v>0.19800000000000001</v>
      </c>
      <c r="F3580" s="633">
        <v>0.12</v>
      </c>
      <c r="G3580" s="633">
        <v>0.112</v>
      </c>
    </row>
    <row r="3581" spans="1:7" ht="18.75" x14ac:dyDescent="0.25">
      <c r="A3581" s="629" t="s">
        <v>3067</v>
      </c>
      <c r="B3581" s="630">
        <v>477</v>
      </c>
      <c r="C3581" s="631" t="str">
        <f t="shared" si="60"/>
        <v>Ô tô vận tải thùng 7 tấn477</v>
      </c>
      <c r="D3581" s="633">
        <v>0.189</v>
      </c>
      <c r="E3581" s="633">
        <v>0.19800000000000001</v>
      </c>
      <c r="F3581" s="633">
        <v>0.12</v>
      </c>
      <c r="G3581" s="633">
        <v>0.112</v>
      </c>
    </row>
    <row r="3582" spans="1:7" ht="18.75" x14ac:dyDescent="0.25">
      <c r="A3582" s="629" t="s">
        <v>3067</v>
      </c>
      <c r="B3582" s="630">
        <v>478</v>
      </c>
      <c r="C3582" s="631" t="str">
        <f t="shared" si="60"/>
        <v>Ô tô vận tải thùng 7 tấn478</v>
      </c>
      <c r="D3582" s="633">
        <v>0.189</v>
      </c>
      <c r="E3582" s="633">
        <v>0.19800000000000001</v>
      </c>
      <c r="F3582" s="633">
        <v>0.12</v>
      </c>
      <c r="G3582" s="633">
        <v>0.112</v>
      </c>
    </row>
    <row r="3583" spans="1:7" ht="18.75" x14ac:dyDescent="0.25">
      <c r="A3583" s="629" t="s">
        <v>3067</v>
      </c>
      <c r="B3583" s="630">
        <v>479</v>
      </c>
      <c r="C3583" s="631" t="str">
        <f t="shared" si="60"/>
        <v>Ô tô vận tải thùng 7 tấn479</v>
      </c>
      <c r="D3583" s="633">
        <v>0.189</v>
      </c>
      <c r="E3583" s="633">
        <v>0.19800000000000001</v>
      </c>
      <c r="F3583" s="633">
        <v>0.12</v>
      </c>
      <c r="G3583" s="633">
        <v>0.112</v>
      </c>
    </row>
    <row r="3584" spans="1:7" ht="18.75" x14ac:dyDescent="0.25">
      <c r="A3584" s="629" t="s">
        <v>3067</v>
      </c>
      <c r="B3584" s="630">
        <v>480</v>
      </c>
      <c r="C3584" s="631" t="str">
        <f t="shared" si="60"/>
        <v>Ô tô vận tải thùng 7 tấn480</v>
      </c>
      <c r="D3584" s="633">
        <v>0.189</v>
      </c>
      <c r="E3584" s="633">
        <v>0.19800000000000001</v>
      </c>
      <c r="F3584" s="633">
        <v>0.12</v>
      </c>
      <c r="G3584" s="633">
        <v>0.112</v>
      </c>
    </row>
    <row r="3585" spans="1:7" ht="18.75" x14ac:dyDescent="0.25">
      <c r="A3585" s="629" t="s">
        <v>3067</v>
      </c>
      <c r="B3585" s="630">
        <v>481</v>
      </c>
      <c r="C3585" s="631" t="str">
        <f t="shared" si="60"/>
        <v>Ô tô vận tải thùng 7 tấn481</v>
      </c>
      <c r="D3585" s="633">
        <v>0.189</v>
      </c>
      <c r="E3585" s="633">
        <v>0.19800000000000001</v>
      </c>
      <c r="F3585" s="633">
        <v>0.12</v>
      </c>
      <c r="G3585" s="633">
        <v>0.112</v>
      </c>
    </row>
    <row r="3586" spans="1:7" ht="18.75" x14ac:dyDescent="0.25">
      <c r="A3586" s="629" t="s">
        <v>3067</v>
      </c>
      <c r="B3586" s="630">
        <v>482</v>
      </c>
      <c r="C3586" s="631" t="str">
        <f t="shared" si="60"/>
        <v>Ô tô vận tải thùng 7 tấn482</v>
      </c>
      <c r="D3586" s="633">
        <v>0.189</v>
      </c>
      <c r="E3586" s="633">
        <v>0.19800000000000001</v>
      </c>
      <c r="F3586" s="633">
        <v>0.12</v>
      </c>
      <c r="G3586" s="633">
        <v>0.112</v>
      </c>
    </row>
    <row r="3587" spans="1:7" ht="18.75" x14ac:dyDescent="0.25">
      <c r="A3587" s="629" t="s">
        <v>3067</v>
      </c>
      <c r="B3587" s="630">
        <v>483</v>
      </c>
      <c r="C3587" s="631" t="str">
        <f t="shared" si="60"/>
        <v>Ô tô vận tải thùng 7 tấn483</v>
      </c>
      <c r="D3587" s="633">
        <v>0.189</v>
      </c>
      <c r="E3587" s="633">
        <v>0.19800000000000001</v>
      </c>
      <c r="F3587" s="633">
        <v>0.12</v>
      </c>
      <c r="G3587" s="633">
        <v>0.112</v>
      </c>
    </row>
    <row r="3588" spans="1:7" ht="18.75" x14ac:dyDescent="0.25">
      <c r="A3588" s="629" t="s">
        <v>3067</v>
      </c>
      <c r="B3588" s="630">
        <v>484</v>
      </c>
      <c r="C3588" s="631" t="str">
        <f t="shared" si="60"/>
        <v>Ô tô vận tải thùng 7 tấn484</v>
      </c>
      <c r="D3588" s="633">
        <v>0.189</v>
      </c>
      <c r="E3588" s="633">
        <v>0.19800000000000001</v>
      </c>
      <c r="F3588" s="633">
        <v>0.12</v>
      </c>
      <c r="G3588" s="633">
        <v>0.112</v>
      </c>
    </row>
    <row r="3589" spans="1:7" ht="18.75" x14ac:dyDescent="0.25">
      <c r="A3589" s="629" t="s">
        <v>3067</v>
      </c>
      <c r="B3589" s="630">
        <v>485</v>
      </c>
      <c r="C3589" s="631" t="str">
        <f t="shared" si="60"/>
        <v>Ô tô vận tải thùng 7 tấn485</v>
      </c>
      <c r="D3589" s="633">
        <v>0.189</v>
      </c>
      <c r="E3589" s="633">
        <v>0.19800000000000001</v>
      </c>
      <c r="F3589" s="633">
        <v>0.12</v>
      </c>
      <c r="G3589" s="633">
        <v>0.112</v>
      </c>
    </row>
    <row r="3590" spans="1:7" ht="18.75" x14ac:dyDescent="0.25">
      <c r="A3590" s="629" t="s">
        <v>3067</v>
      </c>
      <c r="B3590" s="630">
        <v>486</v>
      </c>
      <c r="C3590" s="631" t="str">
        <f t="shared" si="60"/>
        <v>Ô tô vận tải thùng 7 tấn486</v>
      </c>
      <c r="D3590" s="633">
        <v>0.189</v>
      </c>
      <c r="E3590" s="633">
        <v>0.19800000000000001</v>
      </c>
      <c r="F3590" s="633">
        <v>0.12</v>
      </c>
      <c r="G3590" s="633">
        <v>0.112</v>
      </c>
    </row>
    <row r="3591" spans="1:7" ht="18.75" x14ac:dyDescent="0.25">
      <c r="A3591" s="629" t="s">
        <v>3067</v>
      </c>
      <c r="B3591" s="630">
        <v>487</v>
      </c>
      <c r="C3591" s="631" t="str">
        <f t="shared" si="60"/>
        <v>Ô tô vận tải thùng 7 tấn487</v>
      </c>
      <c r="D3591" s="633">
        <v>0.189</v>
      </c>
      <c r="E3591" s="633">
        <v>0.19800000000000001</v>
      </c>
      <c r="F3591" s="633">
        <v>0.12</v>
      </c>
      <c r="G3591" s="633">
        <v>0.112</v>
      </c>
    </row>
    <row r="3592" spans="1:7" ht="18.75" x14ac:dyDescent="0.25">
      <c r="A3592" s="629" t="s">
        <v>3067</v>
      </c>
      <c r="B3592" s="630">
        <v>488</v>
      </c>
      <c r="C3592" s="631" t="str">
        <f t="shared" si="60"/>
        <v>Ô tô vận tải thùng 7 tấn488</v>
      </c>
      <c r="D3592" s="633">
        <v>0.189</v>
      </c>
      <c r="E3592" s="633">
        <v>0.19800000000000001</v>
      </c>
      <c r="F3592" s="633">
        <v>0.12</v>
      </c>
      <c r="G3592" s="633">
        <v>0.112</v>
      </c>
    </row>
    <row r="3593" spans="1:7" ht="18.75" x14ac:dyDescent="0.25">
      <c r="A3593" s="629" t="s">
        <v>3067</v>
      </c>
      <c r="B3593" s="630">
        <v>489</v>
      </c>
      <c r="C3593" s="631" t="str">
        <f t="shared" si="60"/>
        <v>Ô tô vận tải thùng 7 tấn489</v>
      </c>
      <c r="D3593" s="633">
        <v>0.189</v>
      </c>
      <c r="E3593" s="633">
        <v>0.19800000000000001</v>
      </c>
      <c r="F3593" s="633">
        <v>0.12</v>
      </c>
      <c r="G3593" s="633">
        <v>0.112</v>
      </c>
    </row>
    <row r="3594" spans="1:7" ht="18.75" x14ac:dyDescent="0.25">
      <c r="A3594" s="629" t="s">
        <v>3067</v>
      </c>
      <c r="B3594" s="630">
        <v>490</v>
      </c>
      <c r="C3594" s="631" t="str">
        <f t="shared" si="60"/>
        <v>Ô tô vận tải thùng 7 tấn490</v>
      </c>
      <c r="D3594" s="633">
        <v>0.189</v>
      </c>
      <c r="E3594" s="633">
        <v>0.19800000000000001</v>
      </c>
      <c r="F3594" s="633">
        <v>0.12</v>
      </c>
      <c r="G3594" s="633">
        <v>0.112</v>
      </c>
    </row>
    <row r="3595" spans="1:7" ht="18.75" x14ac:dyDescent="0.25">
      <c r="A3595" s="629" t="s">
        <v>3067</v>
      </c>
      <c r="B3595" s="630">
        <v>491</v>
      </c>
      <c r="C3595" s="631" t="str">
        <f t="shared" si="60"/>
        <v>Ô tô vận tải thùng 7 tấn491</v>
      </c>
      <c r="D3595" s="633">
        <v>0.189</v>
      </c>
      <c r="E3595" s="633">
        <v>0.19800000000000001</v>
      </c>
      <c r="F3595" s="633">
        <v>0.12</v>
      </c>
      <c r="G3595" s="633">
        <v>0.112</v>
      </c>
    </row>
    <row r="3596" spans="1:7" ht="18.75" x14ac:dyDescent="0.25">
      <c r="A3596" s="629" t="s">
        <v>3067</v>
      </c>
      <c r="B3596" s="630">
        <v>492</v>
      </c>
      <c r="C3596" s="631" t="str">
        <f t="shared" si="60"/>
        <v>Ô tô vận tải thùng 7 tấn492</v>
      </c>
      <c r="D3596" s="633">
        <v>0.189</v>
      </c>
      <c r="E3596" s="633">
        <v>0.19800000000000001</v>
      </c>
      <c r="F3596" s="633">
        <v>0.12</v>
      </c>
      <c r="G3596" s="633">
        <v>0.112</v>
      </c>
    </row>
    <row r="3597" spans="1:7" ht="18.75" x14ac:dyDescent="0.25">
      <c r="A3597" s="629" t="s">
        <v>3067</v>
      </c>
      <c r="B3597" s="630">
        <v>493</v>
      </c>
      <c r="C3597" s="631" t="str">
        <f t="shared" si="60"/>
        <v>Ô tô vận tải thùng 7 tấn493</v>
      </c>
      <c r="D3597" s="633">
        <v>0.189</v>
      </c>
      <c r="E3597" s="633">
        <v>0.19800000000000001</v>
      </c>
      <c r="F3597" s="633">
        <v>0.12</v>
      </c>
      <c r="G3597" s="633">
        <v>0.112</v>
      </c>
    </row>
    <row r="3598" spans="1:7" ht="18.75" x14ac:dyDescent="0.25">
      <c r="A3598" s="629" t="s">
        <v>3067</v>
      </c>
      <c r="B3598" s="630">
        <v>494</v>
      </c>
      <c r="C3598" s="631" t="str">
        <f t="shared" si="60"/>
        <v>Ô tô vận tải thùng 7 tấn494</v>
      </c>
      <c r="D3598" s="633">
        <v>0.189</v>
      </c>
      <c r="E3598" s="633">
        <v>0.19800000000000001</v>
      </c>
      <c r="F3598" s="633">
        <v>0.12</v>
      </c>
      <c r="G3598" s="633">
        <v>0.112</v>
      </c>
    </row>
    <row r="3599" spans="1:7" ht="18.75" x14ac:dyDescent="0.25">
      <c r="A3599" s="629" t="s">
        <v>3067</v>
      </c>
      <c r="B3599" s="630">
        <v>495</v>
      </c>
      <c r="C3599" s="631" t="str">
        <f t="shared" si="60"/>
        <v>Ô tô vận tải thùng 7 tấn495</v>
      </c>
      <c r="D3599" s="633">
        <v>0.189</v>
      </c>
      <c r="E3599" s="633">
        <v>0.19800000000000001</v>
      </c>
      <c r="F3599" s="633">
        <v>0.12</v>
      </c>
      <c r="G3599" s="633">
        <v>0.112</v>
      </c>
    </row>
    <row r="3600" spans="1:7" ht="18.75" x14ac:dyDescent="0.25">
      <c r="A3600" s="629" t="s">
        <v>3067</v>
      </c>
      <c r="B3600" s="630">
        <v>496</v>
      </c>
      <c r="C3600" s="631" t="str">
        <f t="shared" si="60"/>
        <v>Ô tô vận tải thùng 7 tấn496</v>
      </c>
      <c r="D3600" s="633">
        <v>0.189</v>
      </c>
      <c r="E3600" s="633">
        <v>0.19800000000000001</v>
      </c>
      <c r="F3600" s="633">
        <v>0.12</v>
      </c>
      <c r="G3600" s="633">
        <v>0.112</v>
      </c>
    </row>
    <row r="3601" spans="1:7" ht="18.75" x14ac:dyDescent="0.25">
      <c r="A3601" s="629" t="s">
        <v>3067</v>
      </c>
      <c r="B3601" s="630">
        <v>497</v>
      </c>
      <c r="C3601" s="631" t="str">
        <f t="shared" si="60"/>
        <v>Ô tô vận tải thùng 7 tấn497</v>
      </c>
      <c r="D3601" s="633">
        <v>0.189</v>
      </c>
      <c r="E3601" s="633">
        <v>0.19800000000000001</v>
      </c>
      <c r="F3601" s="633">
        <v>0.12</v>
      </c>
      <c r="G3601" s="633">
        <v>0.112</v>
      </c>
    </row>
    <row r="3602" spans="1:7" ht="18.75" x14ac:dyDescent="0.25">
      <c r="A3602" s="629" t="s">
        <v>3067</v>
      </c>
      <c r="B3602" s="630">
        <v>498</v>
      </c>
      <c r="C3602" s="631" t="str">
        <f t="shared" si="60"/>
        <v>Ô tô vận tải thùng 7 tấn498</v>
      </c>
      <c r="D3602" s="633">
        <v>0.189</v>
      </c>
      <c r="E3602" s="633">
        <v>0.19800000000000001</v>
      </c>
      <c r="F3602" s="633">
        <v>0.12</v>
      </c>
      <c r="G3602" s="633">
        <v>0.112</v>
      </c>
    </row>
    <row r="3603" spans="1:7" ht="18.75" x14ac:dyDescent="0.25">
      <c r="A3603" s="629" t="s">
        <v>3067</v>
      </c>
      <c r="B3603" s="630">
        <v>499</v>
      </c>
      <c r="C3603" s="631" t="str">
        <f t="shared" si="60"/>
        <v>Ô tô vận tải thùng 7 tấn499</v>
      </c>
      <c r="D3603" s="633">
        <v>0.189</v>
      </c>
      <c r="E3603" s="633">
        <v>0.19800000000000001</v>
      </c>
      <c r="F3603" s="633">
        <v>0.12</v>
      </c>
      <c r="G3603" s="633">
        <v>0.112</v>
      </c>
    </row>
    <row r="3604" spans="1:7" ht="18.75" x14ac:dyDescent="0.25">
      <c r="A3604" s="629" t="s">
        <v>3067</v>
      </c>
      <c r="B3604" s="630">
        <v>500</v>
      </c>
      <c r="C3604" s="631" t="str">
        <f t="shared" si="60"/>
        <v>Ô tô vận tải thùng 7 tấn500</v>
      </c>
      <c r="D3604" s="633">
        <v>0.189</v>
      </c>
      <c r="E3604" s="633">
        <v>0.19800000000000001</v>
      </c>
      <c r="F3604" s="633">
        <v>0.12</v>
      </c>
      <c r="G3604" s="633">
        <v>0.112</v>
      </c>
    </row>
    <row r="3605" spans="1:7" ht="18.75" x14ac:dyDescent="0.25">
      <c r="A3605" s="629" t="s">
        <v>3065</v>
      </c>
      <c r="B3605" s="630">
        <v>1</v>
      </c>
      <c r="C3605" s="631" t="str">
        <f>A3605&amp;B3605</f>
        <v>Ô tô vận tải thùng 10 tấn1</v>
      </c>
      <c r="D3605" s="633"/>
      <c r="E3605" s="633"/>
      <c r="F3605" s="633">
        <v>0.37</v>
      </c>
      <c r="G3605" s="633">
        <v>0.35</v>
      </c>
    </row>
    <row r="3606" spans="1:7" ht="18.75" x14ac:dyDescent="0.25">
      <c r="A3606" s="629" t="s">
        <v>3065</v>
      </c>
      <c r="B3606" s="630">
        <v>2</v>
      </c>
      <c r="C3606" s="631" t="str">
        <f t="shared" ref="C3606:C3669" si="61">A3606&amp;B3606</f>
        <v>Ô tô vận tải thùng 10 tấn2</v>
      </c>
      <c r="D3606" s="633"/>
      <c r="E3606" s="633"/>
      <c r="F3606" s="633">
        <v>0.17</v>
      </c>
      <c r="G3606" s="633">
        <v>0.16</v>
      </c>
    </row>
    <row r="3607" spans="1:7" ht="18.75" x14ac:dyDescent="0.25">
      <c r="A3607" s="629" t="s">
        <v>3065</v>
      </c>
      <c r="B3607" s="630">
        <v>3</v>
      </c>
      <c r="C3607" s="631" t="str">
        <f t="shared" si="61"/>
        <v>Ô tô vận tải thùng 10 tấn3</v>
      </c>
      <c r="D3607" s="633"/>
      <c r="E3607" s="633"/>
      <c r="F3607" s="633">
        <v>0.17</v>
      </c>
      <c r="G3607" s="633">
        <v>0.16</v>
      </c>
    </row>
    <row r="3608" spans="1:7" ht="18.75" x14ac:dyDescent="0.25">
      <c r="A3608" s="629" t="s">
        <v>3065</v>
      </c>
      <c r="B3608" s="630">
        <v>4</v>
      </c>
      <c r="C3608" s="631" t="str">
        <f t="shared" si="61"/>
        <v>Ô tô vận tải thùng 10 tấn4</v>
      </c>
      <c r="D3608" s="633"/>
      <c r="E3608" s="633"/>
      <c r="F3608" s="633">
        <v>0.17</v>
      </c>
      <c r="G3608" s="633">
        <v>0.16</v>
      </c>
    </row>
    <row r="3609" spans="1:7" ht="18.75" x14ac:dyDescent="0.25">
      <c r="A3609" s="629" t="s">
        <v>3065</v>
      </c>
      <c r="B3609" s="630">
        <v>5</v>
      </c>
      <c r="C3609" s="631" t="str">
        <f t="shared" si="61"/>
        <v>Ô tô vận tải thùng 10 tấn5</v>
      </c>
      <c r="D3609" s="633"/>
      <c r="E3609" s="633"/>
      <c r="F3609" s="633">
        <v>0.17</v>
      </c>
      <c r="G3609" s="633">
        <v>0.16</v>
      </c>
    </row>
    <row r="3610" spans="1:7" ht="18.75" x14ac:dyDescent="0.25">
      <c r="A3610" s="629" t="s">
        <v>3065</v>
      </c>
      <c r="B3610" s="630">
        <v>6</v>
      </c>
      <c r="C3610" s="631" t="str">
        <f t="shared" si="61"/>
        <v>Ô tô vận tải thùng 10 tấn6</v>
      </c>
      <c r="D3610" s="633"/>
      <c r="E3610" s="633"/>
      <c r="F3610" s="633">
        <v>0.14000000000000001</v>
      </c>
      <c r="G3610" s="633">
        <v>0.13</v>
      </c>
    </row>
    <row r="3611" spans="1:7" ht="18.75" x14ac:dyDescent="0.25">
      <c r="A3611" s="629" t="s">
        <v>3065</v>
      </c>
      <c r="B3611" s="630">
        <v>7</v>
      </c>
      <c r="C3611" s="631" t="str">
        <f t="shared" si="61"/>
        <v>Ô tô vận tải thùng 10 tấn7</v>
      </c>
      <c r="D3611" s="633"/>
      <c r="E3611" s="633"/>
      <c r="F3611" s="633">
        <v>0.14000000000000001</v>
      </c>
      <c r="G3611" s="633">
        <v>0.13</v>
      </c>
    </row>
    <row r="3612" spans="1:7" ht="18.75" x14ac:dyDescent="0.25">
      <c r="A3612" s="629" t="s">
        <v>3065</v>
      </c>
      <c r="B3612" s="630">
        <v>8</v>
      </c>
      <c r="C3612" s="631" t="str">
        <f t="shared" si="61"/>
        <v>Ô tô vận tải thùng 10 tấn8</v>
      </c>
      <c r="D3612" s="633"/>
      <c r="E3612" s="633"/>
      <c r="F3612" s="633">
        <v>0.14000000000000001</v>
      </c>
      <c r="G3612" s="633">
        <v>0.13</v>
      </c>
    </row>
    <row r="3613" spans="1:7" ht="18.75" x14ac:dyDescent="0.25">
      <c r="A3613" s="629" t="s">
        <v>3065</v>
      </c>
      <c r="B3613" s="630">
        <v>9</v>
      </c>
      <c r="C3613" s="631" t="str">
        <f t="shared" si="61"/>
        <v>Ô tô vận tải thùng 10 tấn9</v>
      </c>
      <c r="D3613" s="633"/>
      <c r="E3613" s="633"/>
      <c r="F3613" s="633">
        <v>0.14000000000000001</v>
      </c>
      <c r="G3613" s="633">
        <v>0.13</v>
      </c>
    </row>
    <row r="3614" spans="1:7" ht="18.75" x14ac:dyDescent="0.25">
      <c r="A3614" s="629" t="s">
        <v>3065</v>
      </c>
      <c r="B3614" s="630">
        <v>10</v>
      </c>
      <c r="C3614" s="631" t="str">
        <f t="shared" si="61"/>
        <v>Ô tô vận tải thùng 10 tấn10</v>
      </c>
      <c r="D3614" s="633"/>
      <c r="E3614" s="633"/>
      <c r="F3614" s="633">
        <v>0.14000000000000001</v>
      </c>
      <c r="G3614" s="633">
        <v>0.13</v>
      </c>
    </row>
    <row r="3615" spans="1:7" ht="18.75" x14ac:dyDescent="0.25">
      <c r="A3615" s="629" t="s">
        <v>3065</v>
      </c>
      <c r="B3615" s="630">
        <v>11</v>
      </c>
      <c r="C3615" s="631" t="str">
        <f t="shared" si="61"/>
        <v>Ô tô vận tải thùng 10 tấn11</v>
      </c>
      <c r="D3615" s="633"/>
      <c r="E3615" s="633"/>
      <c r="F3615" s="633">
        <v>0.12</v>
      </c>
      <c r="G3615" s="633">
        <v>0.11</v>
      </c>
    </row>
    <row r="3616" spans="1:7" ht="18.75" x14ac:dyDescent="0.25">
      <c r="A3616" s="629" t="s">
        <v>3065</v>
      </c>
      <c r="B3616" s="630">
        <v>12</v>
      </c>
      <c r="C3616" s="631" t="str">
        <f t="shared" si="61"/>
        <v>Ô tô vận tải thùng 10 tấn12</v>
      </c>
      <c r="D3616" s="633"/>
      <c r="E3616" s="633"/>
      <c r="F3616" s="633">
        <v>0.12</v>
      </c>
      <c r="G3616" s="633">
        <v>0.11</v>
      </c>
    </row>
    <row r="3617" spans="1:7" ht="18.75" x14ac:dyDescent="0.25">
      <c r="A3617" s="629" t="s">
        <v>3065</v>
      </c>
      <c r="B3617" s="630">
        <v>13</v>
      </c>
      <c r="C3617" s="631" t="str">
        <f t="shared" si="61"/>
        <v>Ô tô vận tải thùng 10 tấn13</v>
      </c>
      <c r="D3617" s="633"/>
      <c r="E3617" s="633"/>
      <c r="F3617" s="633">
        <v>0.12</v>
      </c>
      <c r="G3617" s="633">
        <v>0.11</v>
      </c>
    </row>
    <row r="3618" spans="1:7" ht="18.75" x14ac:dyDescent="0.25">
      <c r="A3618" s="629" t="s">
        <v>3065</v>
      </c>
      <c r="B3618" s="630">
        <v>14</v>
      </c>
      <c r="C3618" s="631" t="str">
        <f t="shared" si="61"/>
        <v>Ô tô vận tải thùng 10 tấn14</v>
      </c>
      <c r="D3618" s="633"/>
      <c r="E3618" s="633"/>
      <c r="F3618" s="633">
        <v>0.12</v>
      </c>
      <c r="G3618" s="633">
        <v>0.11</v>
      </c>
    </row>
    <row r="3619" spans="1:7" ht="18.75" x14ac:dyDescent="0.25">
      <c r="A3619" s="629" t="s">
        <v>3065</v>
      </c>
      <c r="B3619" s="630">
        <v>15</v>
      </c>
      <c r="C3619" s="631" t="str">
        <f t="shared" si="61"/>
        <v>Ô tô vận tải thùng 10 tấn15</v>
      </c>
      <c r="D3619" s="633"/>
      <c r="E3619" s="633"/>
      <c r="F3619" s="633">
        <v>0.12</v>
      </c>
      <c r="G3619" s="633">
        <v>0.11</v>
      </c>
    </row>
    <row r="3620" spans="1:7" ht="18.75" x14ac:dyDescent="0.25">
      <c r="A3620" s="629" t="s">
        <v>3065</v>
      </c>
      <c r="B3620" s="630">
        <v>16</v>
      </c>
      <c r="C3620" s="631" t="str">
        <f t="shared" si="61"/>
        <v>Ô tô vận tải thùng 10 tấn16</v>
      </c>
      <c r="D3620" s="633"/>
      <c r="E3620" s="633"/>
      <c r="F3620" s="633">
        <v>0.11</v>
      </c>
      <c r="G3620" s="633">
        <v>0.1</v>
      </c>
    </row>
    <row r="3621" spans="1:7" ht="18.75" x14ac:dyDescent="0.25">
      <c r="A3621" s="629" t="s">
        <v>3065</v>
      </c>
      <c r="B3621" s="630">
        <v>17</v>
      </c>
      <c r="C3621" s="631" t="str">
        <f t="shared" si="61"/>
        <v>Ô tô vận tải thùng 10 tấn17</v>
      </c>
      <c r="D3621" s="633"/>
      <c r="E3621" s="633"/>
      <c r="F3621" s="633">
        <v>0.11</v>
      </c>
      <c r="G3621" s="633">
        <v>0.1</v>
      </c>
    </row>
    <row r="3622" spans="1:7" ht="18.75" x14ac:dyDescent="0.25">
      <c r="A3622" s="629" t="s">
        <v>3065</v>
      </c>
      <c r="B3622" s="630">
        <v>18</v>
      </c>
      <c r="C3622" s="631" t="str">
        <f t="shared" si="61"/>
        <v>Ô tô vận tải thùng 10 tấn18</v>
      </c>
      <c r="D3622" s="633"/>
      <c r="E3622" s="633"/>
      <c r="F3622" s="633">
        <v>0.11</v>
      </c>
      <c r="G3622" s="633">
        <v>0.1</v>
      </c>
    </row>
    <row r="3623" spans="1:7" ht="18.75" x14ac:dyDescent="0.25">
      <c r="A3623" s="629" t="s">
        <v>3065</v>
      </c>
      <c r="B3623" s="630">
        <v>19</v>
      </c>
      <c r="C3623" s="631" t="str">
        <f t="shared" si="61"/>
        <v>Ô tô vận tải thùng 10 tấn19</v>
      </c>
      <c r="D3623" s="633"/>
      <c r="E3623" s="633"/>
      <c r="F3623" s="633">
        <v>0.11</v>
      </c>
      <c r="G3623" s="633">
        <v>0.1</v>
      </c>
    </row>
    <row r="3624" spans="1:7" ht="18.75" x14ac:dyDescent="0.25">
      <c r="A3624" s="629" t="s">
        <v>3065</v>
      </c>
      <c r="B3624" s="630">
        <v>20</v>
      </c>
      <c r="C3624" s="631" t="str">
        <f t="shared" si="61"/>
        <v>Ô tô vận tải thùng 10 tấn20</v>
      </c>
      <c r="D3624" s="633"/>
      <c r="E3624" s="633"/>
      <c r="F3624" s="633">
        <v>0.11</v>
      </c>
      <c r="G3624" s="633">
        <v>0.1</v>
      </c>
    </row>
    <row r="3625" spans="1:7" ht="18.75" x14ac:dyDescent="0.25">
      <c r="A3625" s="629" t="s">
        <v>3065</v>
      </c>
      <c r="B3625" s="630">
        <v>21</v>
      </c>
      <c r="C3625" s="631" t="str">
        <f t="shared" si="61"/>
        <v>Ô tô vận tải thùng 10 tấn21</v>
      </c>
      <c r="D3625" s="630"/>
      <c r="E3625" s="630"/>
      <c r="F3625" s="630"/>
      <c r="G3625" s="630"/>
    </row>
    <row r="3626" spans="1:7" ht="18.75" x14ac:dyDescent="0.25">
      <c r="A3626" s="629" t="s">
        <v>3065</v>
      </c>
      <c r="B3626" s="630">
        <v>22</v>
      </c>
      <c r="C3626" s="631" t="str">
        <f t="shared" si="61"/>
        <v>Ô tô vận tải thùng 10 tấn22</v>
      </c>
      <c r="D3626" s="630"/>
      <c r="E3626" s="630"/>
      <c r="F3626" s="630"/>
      <c r="G3626" s="630"/>
    </row>
    <row r="3627" spans="1:7" ht="18.75" x14ac:dyDescent="0.25">
      <c r="A3627" s="629" t="s">
        <v>3065</v>
      </c>
      <c r="B3627" s="630">
        <v>23</v>
      </c>
      <c r="C3627" s="631" t="str">
        <f t="shared" si="61"/>
        <v>Ô tô vận tải thùng 10 tấn23</v>
      </c>
      <c r="D3627" s="630"/>
      <c r="E3627" s="630"/>
      <c r="F3627" s="630"/>
      <c r="G3627" s="630"/>
    </row>
    <row r="3628" spans="1:7" ht="18.75" x14ac:dyDescent="0.25">
      <c r="A3628" s="629" t="s">
        <v>3065</v>
      </c>
      <c r="B3628" s="630">
        <v>24</v>
      </c>
      <c r="C3628" s="631" t="str">
        <f t="shared" si="61"/>
        <v>Ô tô vận tải thùng 10 tấn24</v>
      </c>
      <c r="D3628" s="630"/>
      <c r="E3628" s="630"/>
      <c r="F3628" s="630"/>
      <c r="G3628" s="630"/>
    </row>
    <row r="3629" spans="1:7" ht="18.75" x14ac:dyDescent="0.25">
      <c r="A3629" s="629" t="s">
        <v>3065</v>
      </c>
      <c r="B3629" s="630">
        <v>25</v>
      </c>
      <c r="C3629" s="631" t="str">
        <f t="shared" si="61"/>
        <v>Ô tô vận tải thùng 10 tấn25</v>
      </c>
      <c r="D3629" s="630"/>
      <c r="E3629" s="630"/>
      <c r="F3629" s="630"/>
      <c r="G3629" s="630"/>
    </row>
    <row r="3630" spans="1:7" ht="18.75" x14ac:dyDescent="0.25">
      <c r="A3630" s="629" t="s">
        <v>3065</v>
      </c>
      <c r="B3630" s="630">
        <v>26</v>
      </c>
      <c r="C3630" s="631" t="str">
        <f t="shared" si="61"/>
        <v>Ô tô vận tải thùng 10 tấn26</v>
      </c>
      <c r="D3630" s="630"/>
      <c r="E3630" s="630"/>
      <c r="F3630" s="630"/>
      <c r="G3630" s="630"/>
    </row>
    <row r="3631" spans="1:7" ht="18.75" x14ac:dyDescent="0.25">
      <c r="A3631" s="629" t="s">
        <v>3065</v>
      </c>
      <c r="B3631" s="630">
        <v>27</v>
      </c>
      <c r="C3631" s="631" t="str">
        <f t="shared" si="61"/>
        <v>Ô tô vận tải thùng 10 tấn27</v>
      </c>
      <c r="D3631" s="630"/>
      <c r="E3631" s="630"/>
      <c r="F3631" s="630"/>
      <c r="G3631" s="630"/>
    </row>
    <row r="3632" spans="1:7" ht="18.75" x14ac:dyDescent="0.25">
      <c r="A3632" s="629" t="s">
        <v>3065</v>
      </c>
      <c r="B3632" s="630">
        <v>28</v>
      </c>
      <c r="C3632" s="631" t="str">
        <f t="shared" si="61"/>
        <v>Ô tô vận tải thùng 10 tấn28</v>
      </c>
      <c r="D3632" s="630"/>
      <c r="E3632" s="630"/>
      <c r="F3632" s="630"/>
      <c r="G3632" s="630"/>
    </row>
    <row r="3633" spans="1:7" ht="18.75" x14ac:dyDescent="0.25">
      <c r="A3633" s="629" t="s">
        <v>3065</v>
      </c>
      <c r="B3633" s="630">
        <v>29</v>
      </c>
      <c r="C3633" s="631" t="str">
        <f t="shared" si="61"/>
        <v>Ô tô vận tải thùng 10 tấn29</v>
      </c>
      <c r="D3633" s="630"/>
      <c r="E3633" s="630"/>
      <c r="F3633" s="630"/>
      <c r="G3633" s="630"/>
    </row>
    <row r="3634" spans="1:7" ht="18.75" x14ac:dyDescent="0.25">
      <c r="A3634" s="629" t="s">
        <v>3065</v>
      </c>
      <c r="B3634" s="630">
        <v>30</v>
      </c>
      <c r="C3634" s="631" t="str">
        <f t="shared" si="61"/>
        <v>Ô tô vận tải thùng 10 tấn30</v>
      </c>
      <c r="D3634" s="630"/>
      <c r="E3634" s="630"/>
      <c r="F3634" s="630"/>
      <c r="G3634" s="630"/>
    </row>
    <row r="3635" spans="1:7" ht="18.75" x14ac:dyDescent="0.25">
      <c r="A3635" s="629" t="s">
        <v>3065</v>
      </c>
      <c r="B3635" s="630">
        <v>31</v>
      </c>
      <c r="C3635" s="631" t="str">
        <f t="shared" si="61"/>
        <v>Ô tô vận tải thùng 10 tấn31</v>
      </c>
      <c r="D3635" s="630"/>
      <c r="E3635" s="630"/>
      <c r="F3635" s="630"/>
      <c r="G3635" s="630"/>
    </row>
    <row r="3636" spans="1:7" ht="18.75" x14ac:dyDescent="0.25">
      <c r="A3636" s="629" t="s">
        <v>3065</v>
      </c>
      <c r="B3636" s="630">
        <v>32</v>
      </c>
      <c r="C3636" s="631" t="str">
        <f t="shared" si="61"/>
        <v>Ô tô vận tải thùng 10 tấn32</v>
      </c>
      <c r="D3636" s="630"/>
      <c r="E3636" s="630"/>
      <c r="F3636" s="630"/>
      <c r="G3636" s="630"/>
    </row>
    <row r="3637" spans="1:7" ht="18.75" x14ac:dyDescent="0.25">
      <c r="A3637" s="629" t="s">
        <v>3065</v>
      </c>
      <c r="B3637" s="630">
        <v>33</v>
      </c>
      <c r="C3637" s="631" t="str">
        <f t="shared" si="61"/>
        <v>Ô tô vận tải thùng 10 tấn33</v>
      </c>
      <c r="D3637" s="630"/>
      <c r="E3637" s="630"/>
      <c r="F3637" s="630"/>
      <c r="G3637" s="630"/>
    </row>
    <row r="3638" spans="1:7" ht="18.75" x14ac:dyDescent="0.25">
      <c r="A3638" s="629" t="s">
        <v>3065</v>
      </c>
      <c r="B3638" s="630">
        <v>34</v>
      </c>
      <c r="C3638" s="631" t="str">
        <f t="shared" si="61"/>
        <v>Ô tô vận tải thùng 10 tấn34</v>
      </c>
      <c r="D3638" s="630"/>
      <c r="E3638" s="630"/>
      <c r="F3638" s="630"/>
      <c r="G3638" s="630"/>
    </row>
    <row r="3639" spans="1:7" ht="18.75" x14ac:dyDescent="0.25">
      <c r="A3639" s="629" t="s">
        <v>3065</v>
      </c>
      <c r="B3639" s="630">
        <v>35</v>
      </c>
      <c r="C3639" s="631" t="str">
        <f t="shared" si="61"/>
        <v>Ô tô vận tải thùng 10 tấn35</v>
      </c>
      <c r="D3639" s="630"/>
      <c r="E3639" s="630"/>
      <c r="F3639" s="630"/>
      <c r="G3639" s="630"/>
    </row>
    <row r="3640" spans="1:7" ht="18.75" x14ac:dyDescent="0.25">
      <c r="A3640" s="629" t="s">
        <v>3065</v>
      </c>
      <c r="B3640" s="630">
        <v>36</v>
      </c>
      <c r="C3640" s="631" t="str">
        <f t="shared" si="61"/>
        <v>Ô tô vận tải thùng 10 tấn36</v>
      </c>
      <c r="D3640" s="630"/>
      <c r="E3640" s="630"/>
      <c r="F3640" s="630"/>
      <c r="G3640" s="630"/>
    </row>
    <row r="3641" spans="1:7" ht="18.75" x14ac:dyDescent="0.25">
      <c r="A3641" s="629" t="s">
        <v>3065</v>
      </c>
      <c r="B3641" s="630">
        <v>37</v>
      </c>
      <c r="C3641" s="631" t="str">
        <f t="shared" si="61"/>
        <v>Ô tô vận tải thùng 10 tấn37</v>
      </c>
      <c r="D3641" s="630"/>
      <c r="E3641" s="630"/>
      <c r="F3641" s="630"/>
      <c r="G3641" s="630"/>
    </row>
    <row r="3642" spans="1:7" ht="18.75" x14ac:dyDescent="0.25">
      <c r="A3642" s="629" t="s">
        <v>3065</v>
      </c>
      <c r="B3642" s="630">
        <v>38</v>
      </c>
      <c r="C3642" s="631" t="str">
        <f t="shared" si="61"/>
        <v>Ô tô vận tải thùng 10 tấn38</v>
      </c>
      <c r="D3642" s="630"/>
      <c r="E3642" s="630"/>
      <c r="F3642" s="630"/>
      <c r="G3642" s="630"/>
    </row>
    <row r="3643" spans="1:7" ht="18.75" x14ac:dyDescent="0.25">
      <c r="A3643" s="629" t="s">
        <v>3065</v>
      </c>
      <c r="B3643" s="630">
        <v>39</v>
      </c>
      <c r="C3643" s="631" t="str">
        <f t="shared" si="61"/>
        <v>Ô tô vận tải thùng 10 tấn39</v>
      </c>
      <c r="D3643" s="630"/>
      <c r="E3643" s="630"/>
      <c r="F3643" s="630"/>
      <c r="G3643" s="630"/>
    </row>
    <row r="3644" spans="1:7" ht="18.75" x14ac:dyDescent="0.25">
      <c r="A3644" s="629" t="s">
        <v>3065</v>
      </c>
      <c r="B3644" s="630">
        <v>40</v>
      </c>
      <c r="C3644" s="631" t="str">
        <f t="shared" si="61"/>
        <v>Ô tô vận tải thùng 10 tấn40</v>
      </c>
      <c r="D3644" s="630"/>
      <c r="E3644" s="630"/>
      <c r="F3644" s="630"/>
      <c r="G3644" s="630"/>
    </row>
    <row r="3645" spans="1:7" ht="18.75" x14ac:dyDescent="0.25">
      <c r="A3645" s="629" t="s">
        <v>3065</v>
      </c>
      <c r="B3645" s="630">
        <v>41</v>
      </c>
      <c r="C3645" s="631" t="str">
        <f t="shared" si="61"/>
        <v>Ô tô vận tải thùng 10 tấn41</v>
      </c>
      <c r="D3645" s="630"/>
      <c r="E3645" s="630"/>
      <c r="F3645" s="630"/>
      <c r="G3645" s="630"/>
    </row>
    <row r="3646" spans="1:7" ht="18.75" x14ac:dyDescent="0.25">
      <c r="A3646" s="629" t="s">
        <v>3065</v>
      </c>
      <c r="B3646" s="630">
        <v>42</v>
      </c>
      <c r="C3646" s="631" t="str">
        <f t="shared" si="61"/>
        <v>Ô tô vận tải thùng 10 tấn42</v>
      </c>
      <c r="D3646" s="630"/>
      <c r="E3646" s="630"/>
      <c r="F3646" s="630"/>
      <c r="G3646" s="630"/>
    </row>
    <row r="3647" spans="1:7" ht="18.75" x14ac:dyDescent="0.25">
      <c r="A3647" s="629" t="s">
        <v>3065</v>
      </c>
      <c r="B3647" s="630">
        <v>43</v>
      </c>
      <c r="C3647" s="631" t="str">
        <f t="shared" si="61"/>
        <v>Ô tô vận tải thùng 10 tấn43</v>
      </c>
      <c r="D3647" s="630"/>
      <c r="E3647" s="630"/>
      <c r="F3647" s="630"/>
      <c r="G3647" s="630"/>
    </row>
    <row r="3648" spans="1:7" ht="18.75" x14ac:dyDescent="0.25">
      <c r="A3648" s="629" t="s">
        <v>3065</v>
      </c>
      <c r="B3648" s="630">
        <v>44</v>
      </c>
      <c r="C3648" s="631" t="str">
        <f t="shared" si="61"/>
        <v>Ô tô vận tải thùng 10 tấn44</v>
      </c>
      <c r="D3648" s="630"/>
      <c r="E3648" s="630"/>
      <c r="F3648" s="630"/>
      <c r="G3648" s="630"/>
    </row>
    <row r="3649" spans="1:7" ht="18.75" x14ac:dyDescent="0.25">
      <c r="A3649" s="629" t="s">
        <v>3065</v>
      </c>
      <c r="B3649" s="630">
        <v>45</v>
      </c>
      <c r="C3649" s="631" t="str">
        <f t="shared" si="61"/>
        <v>Ô tô vận tải thùng 10 tấn45</v>
      </c>
      <c r="D3649" s="630"/>
      <c r="E3649" s="630"/>
      <c r="F3649" s="630"/>
      <c r="G3649" s="630"/>
    </row>
    <row r="3650" spans="1:7" ht="18.75" x14ac:dyDescent="0.25">
      <c r="A3650" s="629" t="s">
        <v>3065</v>
      </c>
      <c r="B3650" s="630">
        <v>46</v>
      </c>
      <c r="C3650" s="631" t="str">
        <f t="shared" si="61"/>
        <v>Ô tô vận tải thùng 10 tấn46</v>
      </c>
      <c r="D3650" s="630"/>
      <c r="E3650" s="630"/>
      <c r="F3650" s="630"/>
      <c r="G3650" s="630"/>
    </row>
    <row r="3651" spans="1:7" ht="18.75" x14ac:dyDescent="0.25">
      <c r="A3651" s="629" t="s">
        <v>3065</v>
      </c>
      <c r="B3651" s="630">
        <v>47</v>
      </c>
      <c r="C3651" s="631" t="str">
        <f t="shared" si="61"/>
        <v>Ô tô vận tải thùng 10 tấn47</v>
      </c>
      <c r="D3651" s="630"/>
      <c r="E3651" s="630"/>
      <c r="F3651" s="630"/>
      <c r="G3651" s="630"/>
    </row>
    <row r="3652" spans="1:7" ht="18.75" x14ac:dyDescent="0.25">
      <c r="A3652" s="629" t="s">
        <v>3065</v>
      </c>
      <c r="B3652" s="630">
        <v>48</v>
      </c>
      <c r="C3652" s="631" t="str">
        <f t="shared" si="61"/>
        <v>Ô tô vận tải thùng 10 tấn48</v>
      </c>
      <c r="D3652" s="630"/>
      <c r="E3652" s="630"/>
      <c r="F3652" s="630"/>
      <c r="G3652" s="630"/>
    </row>
    <row r="3653" spans="1:7" ht="18.75" x14ac:dyDescent="0.25">
      <c r="A3653" s="629" t="s">
        <v>3065</v>
      </c>
      <c r="B3653" s="630">
        <v>49</v>
      </c>
      <c r="C3653" s="631" t="str">
        <f t="shared" si="61"/>
        <v>Ô tô vận tải thùng 10 tấn49</v>
      </c>
      <c r="D3653" s="630"/>
      <c r="E3653" s="630"/>
      <c r="F3653" s="630"/>
      <c r="G3653" s="630"/>
    </row>
    <row r="3654" spans="1:7" ht="18.75" x14ac:dyDescent="0.25">
      <c r="A3654" s="629" t="s">
        <v>3065</v>
      </c>
      <c r="B3654" s="630">
        <v>50</v>
      </c>
      <c r="C3654" s="631" t="str">
        <f t="shared" si="61"/>
        <v>Ô tô vận tải thùng 10 tấn50</v>
      </c>
      <c r="D3654" s="630"/>
      <c r="E3654" s="630"/>
      <c r="F3654" s="630"/>
      <c r="G3654" s="630"/>
    </row>
    <row r="3655" spans="1:7" ht="18.75" x14ac:dyDescent="0.25">
      <c r="A3655" s="629" t="s">
        <v>3065</v>
      </c>
      <c r="B3655" s="630">
        <v>51</v>
      </c>
      <c r="C3655" s="631" t="str">
        <f t="shared" si="61"/>
        <v>Ô tô vận tải thùng 10 tấn51</v>
      </c>
      <c r="D3655" s="630"/>
      <c r="E3655" s="630"/>
      <c r="F3655" s="630"/>
      <c r="G3655" s="630"/>
    </row>
    <row r="3656" spans="1:7" ht="18.75" x14ac:dyDescent="0.25">
      <c r="A3656" s="629" t="s">
        <v>3065</v>
      </c>
      <c r="B3656" s="630">
        <v>52</v>
      </c>
      <c r="C3656" s="631" t="str">
        <f t="shared" si="61"/>
        <v>Ô tô vận tải thùng 10 tấn52</v>
      </c>
      <c r="D3656" s="630"/>
      <c r="E3656" s="630"/>
      <c r="F3656" s="630"/>
      <c r="G3656" s="630"/>
    </row>
    <row r="3657" spans="1:7" ht="18.75" x14ac:dyDescent="0.25">
      <c r="A3657" s="629" t="s">
        <v>3065</v>
      </c>
      <c r="B3657" s="630">
        <v>53</v>
      </c>
      <c r="C3657" s="631" t="str">
        <f t="shared" si="61"/>
        <v>Ô tô vận tải thùng 10 tấn53</v>
      </c>
      <c r="D3657" s="630"/>
      <c r="E3657" s="630"/>
      <c r="F3657" s="630"/>
      <c r="G3657" s="630"/>
    </row>
    <row r="3658" spans="1:7" ht="18.75" x14ac:dyDescent="0.25">
      <c r="A3658" s="629" t="s">
        <v>3065</v>
      </c>
      <c r="B3658" s="630">
        <v>54</v>
      </c>
      <c r="C3658" s="631" t="str">
        <f t="shared" si="61"/>
        <v>Ô tô vận tải thùng 10 tấn54</v>
      </c>
      <c r="D3658" s="630"/>
      <c r="E3658" s="630"/>
      <c r="F3658" s="630"/>
      <c r="G3658" s="630"/>
    </row>
    <row r="3659" spans="1:7" ht="18.75" x14ac:dyDescent="0.25">
      <c r="A3659" s="629" t="s">
        <v>3065</v>
      </c>
      <c r="B3659" s="630">
        <v>55</v>
      </c>
      <c r="C3659" s="631" t="str">
        <f t="shared" si="61"/>
        <v>Ô tô vận tải thùng 10 tấn55</v>
      </c>
      <c r="D3659" s="630"/>
      <c r="E3659" s="630"/>
      <c r="F3659" s="630"/>
      <c r="G3659" s="630"/>
    </row>
    <row r="3660" spans="1:7" ht="18.75" x14ac:dyDescent="0.25">
      <c r="A3660" s="629" t="s">
        <v>3065</v>
      </c>
      <c r="B3660" s="630">
        <v>56</v>
      </c>
      <c r="C3660" s="631" t="str">
        <f t="shared" si="61"/>
        <v>Ô tô vận tải thùng 10 tấn56</v>
      </c>
      <c r="D3660" s="630"/>
      <c r="E3660" s="630"/>
      <c r="F3660" s="630"/>
      <c r="G3660" s="630"/>
    </row>
    <row r="3661" spans="1:7" ht="18.75" x14ac:dyDescent="0.25">
      <c r="A3661" s="629" t="s">
        <v>3065</v>
      </c>
      <c r="B3661" s="630">
        <v>57</v>
      </c>
      <c r="C3661" s="631" t="str">
        <f t="shared" si="61"/>
        <v>Ô tô vận tải thùng 10 tấn57</v>
      </c>
      <c r="D3661" s="630"/>
      <c r="E3661" s="630"/>
      <c r="F3661" s="630"/>
      <c r="G3661" s="630"/>
    </row>
    <row r="3662" spans="1:7" ht="18.75" x14ac:dyDescent="0.25">
      <c r="A3662" s="629" t="s">
        <v>3065</v>
      </c>
      <c r="B3662" s="630">
        <v>58</v>
      </c>
      <c r="C3662" s="631" t="str">
        <f t="shared" si="61"/>
        <v>Ô tô vận tải thùng 10 tấn58</v>
      </c>
      <c r="D3662" s="630"/>
      <c r="E3662" s="630"/>
      <c r="F3662" s="630"/>
      <c r="G3662" s="630"/>
    </row>
    <row r="3663" spans="1:7" ht="18.75" x14ac:dyDescent="0.25">
      <c r="A3663" s="629" t="s">
        <v>3065</v>
      </c>
      <c r="B3663" s="630">
        <v>59</v>
      </c>
      <c r="C3663" s="631" t="str">
        <f t="shared" si="61"/>
        <v>Ô tô vận tải thùng 10 tấn59</v>
      </c>
      <c r="D3663" s="630"/>
      <c r="E3663" s="630"/>
      <c r="F3663" s="630"/>
      <c r="G3663" s="630"/>
    </row>
    <row r="3664" spans="1:7" ht="18.75" x14ac:dyDescent="0.25">
      <c r="A3664" s="629" t="s">
        <v>3065</v>
      </c>
      <c r="B3664" s="630">
        <v>60</v>
      </c>
      <c r="C3664" s="631" t="str">
        <f t="shared" si="61"/>
        <v>Ô tô vận tải thùng 10 tấn60</v>
      </c>
      <c r="D3664" s="630"/>
      <c r="E3664" s="630"/>
      <c r="F3664" s="630"/>
      <c r="G3664" s="630"/>
    </row>
    <row r="3665" spans="1:7" ht="18.75" x14ac:dyDescent="0.25">
      <c r="A3665" s="629" t="s">
        <v>3065</v>
      </c>
      <c r="B3665" s="630">
        <v>61</v>
      </c>
      <c r="C3665" s="631" t="str">
        <f t="shared" si="61"/>
        <v>Ô tô vận tải thùng 10 tấn61</v>
      </c>
      <c r="D3665" s="630"/>
      <c r="E3665" s="630"/>
      <c r="F3665" s="630"/>
      <c r="G3665" s="630"/>
    </row>
    <row r="3666" spans="1:7" ht="18.75" x14ac:dyDescent="0.25">
      <c r="A3666" s="629" t="s">
        <v>3065</v>
      </c>
      <c r="B3666" s="630">
        <v>62</v>
      </c>
      <c r="C3666" s="631" t="str">
        <f t="shared" si="61"/>
        <v>Ô tô vận tải thùng 10 tấn62</v>
      </c>
      <c r="D3666" s="630"/>
      <c r="E3666" s="630"/>
      <c r="F3666" s="630"/>
      <c r="G3666" s="630"/>
    </row>
    <row r="3667" spans="1:7" ht="18.75" x14ac:dyDescent="0.25">
      <c r="A3667" s="629" t="s">
        <v>3065</v>
      </c>
      <c r="B3667" s="630">
        <v>63</v>
      </c>
      <c r="C3667" s="631" t="str">
        <f t="shared" si="61"/>
        <v>Ô tô vận tải thùng 10 tấn63</v>
      </c>
      <c r="D3667" s="630"/>
      <c r="E3667" s="630"/>
      <c r="F3667" s="630"/>
      <c r="G3667" s="630"/>
    </row>
    <row r="3668" spans="1:7" ht="18.75" x14ac:dyDescent="0.25">
      <c r="A3668" s="629" t="s">
        <v>3065</v>
      </c>
      <c r="B3668" s="630">
        <v>64</v>
      </c>
      <c r="C3668" s="631" t="str">
        <f t="shared" si="61"/>
        <v>Ô tô vận tải thùng 10 tấn64</v>
      </c>
      <c r="D3668" s="630"/>
      <c r="E3668" s="630"/>
      <c r="F3668" s="630"/>
      <c r="G3668" s="630"/>
    </row>
    <row r="3669" spans="1:7" ht="18.75" x14ac:dyDescent="0.25">
      <c r="A3669" s="629" t="s">
        <v>3065</v>
      </c>
      <c r="B3669" s="630">
        <v>65</v>
      </c>
      <c r="C3669" s="631" t="str">
        <f t="shared" si="61"/>
        <v>Ô tô vận tải thùng 10 tấn65</v>
      </c>
      <c r="D3669" s="630"/>
      <c r="E3669" s="630"/>
      <c r="F3669" s="630"/>
      <c r="G3669" s="630"/>
    </row>
    <row r="3670" spans="1:7" ht="18.75" x14ac:dyDescent="0.25">
      <c r="A3670" s="629" t="s">
        <v>3065</v>
      </c>
      <c r="B3670" s="630">
        <v>66</v>
      </c>
      <c r="C3670" s="631" t="str">
        <f t="shared" ref="C3670:C3733" si="62">A3670&amp;B3670</f>
        <v>Ô tô vận tải thùng 10 tấn66</v>
      </c>
      <c r="D3670" s="630"/>
      <c r="E3670" s="630"/>
      <c r="F3670" s="630"/>
      <c r="G3670" s="630"/>
    </row>
    <row r="3671" spans="1:7" ht="18.75" x14ac:dyDescent="0.25">
      <c r="A3671" s="629" t="s">
        <v>3065</v>
      </c>
      <c r="B3671" s="630">
        <v>67</v>
      </c>
      <c r="C3671" s="631" t="str">
        <f t="shared" si="62"/>
        <v>Ô tô vận tải thùng 10 tấn67</v>
      </c>
      <c r="D3671" s="630"/>
      <c r="E3671" s="630"/>
      <c r="F3671" s="630"/>
      <c r="G3671" s="630"/>
    </row>
    <row r="3672" spans="1:7" ht="18.75" x14ac:dyDescent="0.25">
      <c r="A3672" s="629" t="s">
        <v>3065</v>
      </c>
      <c r="B3672" s="630">
        <v>68</v>
      </c>
      <c r="C3672" s="631" t="str">
        <f t="shared" si="62"/>
        <v>Ô tô vận tải thùng 10 tấn68</v>
      </c>
      <c r="D3672" s="630"/>
      <c r="E3672" s="630"/>
      <c r="F3672" s="630"/>
      <c r="G3672" s="630"/>
    </row>
    <row r="3673" spans="1:7" ht="18.75" x14ac:dyDescent="0.25">
      <c r="A3673" s="629" t="s">
        <v>3065</v>
      </c>
      <c r="B3673" s="630">
        <v>69</v>
      </c>
      <c r="C3673" s="631" t="str">
        <f t="shared" si="62"/>
        <v>Ô tô vận tải thùng 10 tấn69</v>
      </c>
      <c r="D3673" s="630"/>
      <c r="E3673" s="630"/>
      <c r="F3673" s="630"/>
      <c r="G3673" s="630"/>
    </row>
    <row r="3674" spans="1:7" ht="18.75" x14ac:dyDescent="0.25">
      <c r="A3674" s="629" t="s">
        <v>3065</v>
      </c>
      <c r="B3674" s="630">
        <v>70</v>
      </c>
      <c r="C3674" s="631" t="str">
        <f t="shared" si="62"/>
        <v>Ô tô vận tải thùng 10 tấn70</v>
      </c>
      <c r="D3674" s="630"/>
      <c r="E3674" s="630"/>
      <c r="F3674" s="630"/>
      <c r="G3674" s="630"/>
    </row>
    <row r="3675" spans="1:7" ht="18.75" x14ac:dyDescent="0.25">
      <c r="A3675" s="629" t="s">
        <v>3065</v>
      </c>
      <c r="B3675" s="630">
        <v>71</v>
      </c>
      <c r="C3675" s="631" t="str">
        <f t="shared" si="62"/>
        <v>Ô tô vận tải thùng 10 tấn71</v>
      </c>
      <c r="D3675" s="630"/>
      <c r="E3675" s="630"/>
      <c r="F3675" s="630"/>
      <c r="G3675" s="630"/>
    </row>
    <row r="3676" spans="1:7" ht="18.75" x14ac:dyDescent="0.25">
      <c r="A3676" s="629" t="s">
        <v>3065</v>
      </c>
      <c r="B3676" s="630">
        <v>72</v>
      </c>
      <c r="C3676" s="631" t="str">
        <f t="shared" si="62"/>
        <v>Ô tô vận tải thùng 10 tấn72</v>
      </c>
      <c r="D3676" s="630"/>
      <c r="E3676" s="630"/>
      <c r="F3676" s="630"/>
      <c r="G3676" s="630"/>
    </row>
    <row r="3677" spans="1:7" ht="18.75" x14ac:dyDescent="0.25">
      <c r="A3677" s="629" t="s">
        <v>3065</v>
      </c>
      <c r="B3677" s="630">
        <v>73</v>
      </c>
      <c r="C3677" s="631" t="str">
        <f t="shared" si="62"/>
        <v>Ô tô vận tải thùng 10 tấn73</v>
      </c>
      <c r="D3677" s="630"/>
      <c r="E3677" s="630"/>
      <c r="F3677" s="630"/>
      <c r="G3677" s="630"/>
    </row>
    <row r="3678" spans="1:7" ht="18.75" x14ac:dyDescent="0.25">
      <c r="A3678" s="629" t="s">
        <v>3065</v>
      </c>
      <c r="B3678" s="630">
        <v>74</v>
      </c>
      <c r="C3678" s="631" t="str">
        <f t="shared" si="62"/>
        <v>Ô tô vận tải thùng 10 tấn74</v>
      </c>
      <c r="D3678" s="630"/>
      <c r="E3678" s="630"/>
      <c r="F3678" s="630"/>
      <c r="G3678" s="630"/>
    </row>
    <row r="3679" spans="1:7" ht="18.75" x14ac:dyDescent="0.25">
      <c r="A3679" s="629" t="s">
        <v>3065</v>
      </c>
      <c r="B3679" s="630">
        <v>75</v>
      </c>
      <c r="C3679" s="631" t="str">
        <f t="shared" si="62"/>
        <v>Ô tô vận tải thùng 10 tấn75</v>
      </c>
      <c r="D3679" s="630"/>
      <c r="E3679" s="630"/>
      <c r="F3679" s="630"/>
      <c r="G3679" s="630"/>
    </row>
    <row r="3680" spans="1:7" ht="18.75" x14ac:dyDescent="0.25">
      <c r="A3680" s="629" t="s">
        <v>3065</v>
      </c>
      <c r="B3680" s="630">
        <v>76</v>
      </c>
      <c r="C3680" s="631" t="str">
        <f t="shared" si="62"/>
        <v>Ô tô vận tải thùng 10 tấn76</v>
      </c>
      <c r="D3680" s="630"/>
      <c r="E3680" s="630"/>
      <c r="F3680" s="630"/>
      <c r="G3680" s="630"/>
    </row>
    <row r="3681" spans="1:7" ht="18.75" x14ac:dyDescent="0.25">
      <c r="A3681" s="629" t="s">
        <v>3065</v>
      </c>
      <c r="B3681" s="630">
        <v>77</v>
      </c>
      <c r="C3681" s="631" t="str">
        <f t="shared" si="62"/>
        <v>Ô tô vận tải thùng 10 tấn77</v>
      </c>
      <c r="D3681" s="630"/>
      <c r="E3681" s="630"/>
      <c r="F3681" s="630"/>
      <c r="G3681" s="630"/>
    </row>
    <row r="3682" spans="1:7" ht="18.75" x14ac:dyDescent="0.25">
      <c r="A3682" s="629" t="s">
        <v>3065</v>
      </c>
      <c r="B3682" s="630">
        <v>78</v>
      </c>
      <c r="C3682" s="631" t="str">
        <f t="shared" si="62"/>
        <v>Ô tô vận tải thùng 10 tấn78</v>
      </c>
      <c r="D3682" s="630"/>
      <c r="E3682" s="630"/>
      <c r="F3682" s="630"/>
      <c r="G3682" s="630"/>
    </row>
    <row r="3683" spans="1:7" ht="18.75" x14ac:dyDescent="0.25">
      <c r="A3683" s="629" t="s">
        <v>3065</v>
      </c>
      <c r="B3683" s="630">
        <v>79</v>
      </c>
      <c r="C3683" s="631" t="str">
        <f t="shared" si="62"/>
        <v>Ô tô vận tải thùng 10 tấn79</v>
      </c>
      <c r="D3683" s="630"/>
      <c r="E3683" s="630"/>
      <c r="F3683" s="630"/>
      <c r="G3683" s="630"/>
    </row>
    <row r="3684" spans="1:7" ht="18.75" x14ac:dyDescent="0.25">
      <c r="A3684" s="629" t="s">
        <v>3065</v>
      </c>
      <c r="B3684" s="630">
        <v>80</v>
      </c>
      <c r="C3684" s="631" t="str">
        <f t="shared" si="62"/>
        <v>Ô tô vận tải thùng 10 tấn80</v>
      </c>
      <c r="D3684" s="630"/>
      <c r="E3684" s="630"/>
      <c r="F3684" s="630"/>
      <c r="G3684" s="630"/>
    </row>
    <row r="3685" spans="1:7" ht="18.75" x14ac:dyDescent="0.25">
      <c r="A3685" s="629" t="s">
        <v>3065</v>
      </c>
      <c r="B3685" s="630">
        <v>81</v>
      </c>
      <c r="C3685" s="631" t="str">
        <f t="shared" si="62"/>
        <v>Ô tô vận tải thùng 10 tấn81</v>
      </c>
      <c r="D3685" s="630"/>
      <c r="E3685" s="630"/>
      <c r="F3685" s="630"/>
      <c r="G3685" s="630"/>
    </row>
    <row r="3686" spans="1:7" ht="18.75" x14ac:dyDescent="0.25">
      <c r="A3686" s="629" t="s">
        <v>3065</v>
      </c>
      <c r="B3686" s="630">
        <v>82</v>
      </c>
      <c r="C3686" s="631" t="str">
        <f t="shared" si="62"/>
        <v>Ô tô vận tải thùng 10 tấn82</v>
      </c>
      <c r="D3686" s="630"/>
      <c r="E3686" s="630"/>
      <c r="F3686" s="630"/>
      <c r="G3686" s="630"/>
    </row>
    <row r="3687" spans="1:7" ht="18.75" x14ac:dyDescent="0.25">
      <c r="A3687" s="629" t="s">
        <v>3065</v>
      </c>
      <c r="B3687" s="630">
        <v>83</v>
      </c>
      <c r="C3687" s="631" t="str">
        <f t="shared" si="62"/>
        <v>Ô tô vận tải thùng 10 tấn83</v>
      </c>
      <c r="D3687" s="630"/>
      <c r="E3687" s="630"/>
      <c r="F3687" s="630"/>
      <c r="G3687" s="630"/>
    </row>
    <row r="3688" spans="1:7" ht="18.75" x14ac:dyDescent="0.25">
      <c r="A3688" s="629" t="s">
        <v>3065</v>
      </c>
      <c r="B3688" s="630">
        <v>84</v>
      </c>
      <c r="C3688" s="631" t="str">
        <f t="shared" si="62"/>
        <v>Ô tô vận tải thùng 10 tấn84</v>
      </c>
      <c r="D3688" s="630"/>
      <c r="E3688" s="630"/>
      <c r="F3688" s="630"/>
      <c r="G3688" s="630"/>
    </row>
    <row r="3689" spans="1:7" ht="18.75" x14ac:dyDescent="0.25">
      <c r="A3689" s="629" t="s">
        <v>3065</v>
      </c>
      <c r="B3689" s="630">
        <v>85</v>
      </c>
      <c r="C3689" s="631" t="str">
        <f t="shared" si="62"/>
        <v>Ô tô vận tải thùng 10 tấn85</v>
      </c>
      <c r="D3689" s="630"/>
      <c r="E3689" s="630"/>
      <c r="F3689" s="630"/>
      <c r="G3689" s="630"/>
    </row>
    <row r="3690" spans="1:7" ht="18.75" x14ac:dyDescent="0.25">
      <c r="A3690" s="629" t="s">
        <v>3065</v>
      </c>
      <c r="B3690" s="630">
        <v>86</v>
      </c>
      <c r="C3690" s="631" t="str">
        <f t="shared" si="62"/>
        <v>Ô tô vận tải thùng 10 tấn86</v>
      </c>
      <c r="D3690" s="630"/>
      <c r="E3690" s="630"/>
      <c r="F3690" s="630"/>
      <c r="G3690" s="630"/>
    </row>
    <row r="3691" spans="1:7" ht="18.75" x14ac:dyDescent="0.25">
      <c r="A3691" s="629" t="s">
        <v>3065</v>
      </c>
      <c r="B3691" s="630">
        <v>87</v>
      </c>
      <c r="C3691" s="631" t="str">
        <f t="shared" si="62"/>
        <v>Ô tô vận tải thùng 10 tấn87</v>
      </c>
      <c r="D3691" s="630"/>
      <c r="E3691" s="630"/>
      <c r="F3691" s="630"/>
      <c r="G3691" s="630"/>
    </row>
    <row r="3692" spans="1:7" ht="18.75" x14ac:dyDescent="0.25">
      <c r="A3692" s="629" t="s">
        <v>3065</v>
      </c>
      <c r="B3692" s="630">
        <v>88</v>
      </c>
      <c r="C3692" s="631" t="str">
        <f t="shared" si="62"/>
        <v>Ô tô vận tải thùng 10 tấn88</v>
      </c>
      <c r="D3692" s="630"/>
      <c r="E3692" s="630"/>
      <c r="F3692" s="630"/>
      <c r="G3692" s="630"/>
    </row>
    <row r="3693" spans="1:7" ht="18.75" x14ac:dyDescent="0.25">
      <c r="A3693" s="629" t="s">
        <v>3065</v>
      </c>
      <c r="B3693" s="630">
        <v>89</v>
      </c>
      <c r="C3693" s="631" t="str">
        <f t="shared" si="62"/>
        <v>Ô tô vận tải thùng 10 tấn89</v>
      </c>
      <c r="D3693" s="630"/>
      <c r="E3693" s="630"/>
      <c r="F3693" s="630"/>
      <c r="G3693" s="630"/>
    </row>
    <row r="3694" spans="1:7" ht="18.75" x14ac:dyDescent="0.25">
      <c r="A3694" s="629" t="s">
        <v>3065</v>
      </c>
      <c r="B3694" s="630">
        <v>90</v>
      </c>
      <c r="C3694" s="631" t="str">
        <f t="shared" si="62"/>
        <v>Ô tô vận tải thùng 10 tấn90</v>
      </c>
      <c r="D3694" s="630"/>
      <c r="E3694" s="630"/>
      <c r="F3694" s="630"/>
      <c r="G3694" s="630"/>
    </row>
    <row r="3695" spans="1:7" ht="18.75" x14ac:dyDescent="0.25">
      <c r="A3695" s="629" t="s">
        <v>3065</v>
      </c>
      <c r="B3695" s="630">
        <v>91</v>
      </c>
      <c r="C3695" s="631" t="str">
        <f t="shared" si="62"/>
        <v>Ô tô vận tải thùng 10 tấn91</v>
      </c>
      <c r="D3695" s="630"/>
      <c r="E3695" s="630"/>
      <c r="F3695" s="630"/>
      <c r="G3695" s="630"/>
    </row>
    <row r="3696" spans="1:7" ht="18.75" x14ac:dyDescent="0.25">
      <c r="A3696" s="629" t="s">
        <v>3065</v>
      </c>
      <c r="B3696" s="630">
        <v>92</v>
      </c>
      <c r="C3696" s="631" t="str">
        <f t="shared" si="62"/>
        <v>Ô tô vận tải thùng 10 tấn92</v>
      </c>
      <c r="D3696" s="630"/>
      <c r="E3696" s="630"/>
      <c r="F3696" s="630"/>
      <c r="G3696" s="630"/>
    </row>
    <row r="3697" spans="1:7" ht="18.75" x14ac:dyDescent="0.25">
      <c r="A3697" s="629" t="s">
        <v>3065</v>
      </c>
      <c r="B3697" s="630">
        <v>93</v>
      </c>
      <c r="C3697" s="631" t="str">
        <f t="shared" si="62"/>
        <v>Ô tô vận tải thùng 10 tấn93</v>
      </c>
      <c r="D3697" s="630"/>
      <c r="E3697" s="630"/>
      <c r="F3697" s="630"/>
      <c r="G3697" s="630"/>
    </row>
    <row r="3698" spans="1:7" ht="18.75" x14ac:dyDescent="0.25">
      <c r="A3698" s="629" t="s">
        <v>3065</v>
      </c>
      <c r="B3698" s="630">
        <v>94</v>
      </c>
      <c r="C3698" s="631" t="str">
        <f t="shared" si="62"/>
        <v>Ô tô vận tải thùng 10 tấn94</v>
      </c>
      <c r="D3698" s="630"/>
      <c r="E3698" s="630"/>
      <c r="F3698" s="630"/>
      <c r="G3698" s="630"/>
    </row>
    <row r="3699" spans="1:7" ht="18.75" x14ac:dyDescent="0.25">
      <c r="A3699" s="629" t="s">
        <v>3065</v>
      </c>
      <c r="B3699" s="630">
        <v>95</v>
      </c>
      <c r="C3699" s="631" t="str">
        <f t="shared" si="62"/>
        <v>Ô tô vận tải thùng 10 tấn95</v>
      </c>
      <c r="D3699" s="630"/>
      <c r="E3699" s="630"/>
      <c r="F3699" s="630"/>
      <c r="G3699" s="630"/>
    </row>
    <row r="3700" spans="1:7" ht="18.75" x14ac:dyDescent="0.25">
      <c r="A3700" s="629" t="s">
        <v>3065</v>
      </c>
      <c r="B3700" s="630">
        <v>96</v>
      </c>
      <c r="C3700" s="631" t="str">
        <f t="shared" si="62"/>
        <v>Ô tô vận tải thùng 10 tấn96</v>
      </c>
      <c r="D3700" s="630"/>
      <c r="E3700" s="630"/>
      <c r="F3700" s="630"/>
      <c r="G3700" s="630"/>
    </row>
    <row r="3701" spans="1:7" ht="18.75" x14ac:dyDescent="0.25">
      <c r="A3701" s="629" t="s">
        <v>3065</v>
      </c>
      <c r="B3701" s="630">
        <v>97</v>
      </c>
      <c r="C3701" s="631" t="str">
        <f t="shared" si="62"/>
        <v>Ô tô vận tải thùng 10 tấn97</v>
      </c>
      <c r="D3701" s="630"/>
      <c r="E3701" s="630"/>
      <c r="F3701" s="630"/>
      <c r="G3701" s="630"/>
    </row>
    <row r="3702" spans="1:7" ht="18.75" x14ac:dyDescent="0.25">
      <c r="A3702" s="629" t="s">
        <v>3065</v>
      </c>
      <c r="B3702" s="630">
        <v>98</v>
      </c>
      <c r="C3702" s="631" t="str">
        <f t="shared" si="62"/>
        <v>Ô tô vận tải thùng 10 tấn98</v>
      </c>
      <c r="D3702" s="630"/>
      <c r="E3702" s="630"/>
      <c r="F3702" s="630"/>
      <c r="G3702" s="630"/>
    </row>
    <row r="3703" spans="1:7" ht="18.75" x14ac:dyDescent="0.25">
      <c r="A3703" s="629" t="s">
        <v>3065</v>
      </c>
      <c r="B3703" s="630">
        <v>99</v>
      </c>
      <c r="C3703" s="631" t="str">
        <f t="shared" si="62"/>
        <v>Ô tô vận tải thùng 10 tấn99</v>
      </c>
      <c r="D3703" s="630"/>
      <c r="E3703" s="630"/>
      <c r="F3703" s="630"/>
      <c r="G3703" s="630"/>
    </row>
    <row r="3704" spans="1:7" ht="18.75" x14ac:dyDescent="0.25">
      <c r="A3704" s="629" t="s">
        <v>3065</v>
      </c>
      <c r="B3704" s="630">
        <v>100</v>
      </c>
      <c r="C3704" s="631" t="str">
        <f t="shared" si="62"/>
        <v>Ô tô vận tải thùng 10 tấn100</v>
      </c>
      <c r="D3704" s="630"/>
      <c r="E3704" s="630"/>
      <c r="F3704" s="630"/>
      <c r="G3704" s="630"/>
    </row>
    <row r="3705" spans="1:7" ht="18.75" x14ac:dyDescent="0.25">
      <c r="A3705" s="629" t="s">
        <v>3065</v>
      </c>
      <c r="B3705" s="630">
        <v>101</v>
      </c>
      <c r="C3705" s="631" t="str">
        <f t="shared" si="62"/>
        <v>Ô tô vận tải thùng 10 tấn101</v>
      </c>
      <c r="D3705" s="630"/>
      <c r="E3705" s="630"/>
      <c r="F3705" s="630"/>
      <c r="G3705" s="630"/>
    </row>
    <row r="3706" spans="1:7" ht="18.75" x14ac:dyDescent="0.25">
      <c r="A3706" s="629" t="s">
        <v>3065</v>
      </c>
      <c r="B3706" s="630">
        <v>102</v>
      </c>
      <c r="C3706" s="631" t="str">
        <f t="shared" si="62"/>
        <v>Ô tô vận tải thùng 10 tấn102</v>
      </c>
      <c r="D3706" s="630"/>
      <c r="E3706" s="630"/>
      <c r="F3706" s="630"/>
      <c r="G3706" s="630"/>
    </row>
    <row r="3707" spans="1:7" ht="18.75" x14ac:dyDescent="0.25">
      <c r="A3707" s="629" t="s">
        <v>3065</v>
      </c>
      <c r="B3707" s="630">
        <v>103</v>
      </c>
      <c r="C3707" s="631" t="str">
        <f t="shared" si="62"/>
        <v>Ô tô vận tải thùng 10 tấn103</v>
      </c>
      <c r="D3707" s="630"/>
      <c r="E3707" s="630"/>
      <c r="F3707" s="630"/>
      <c r="G3707" s="630"/>
    </row>
    <row r="3708" spans="1:7" ht="18.75" x14ac:dyDescent="0.25">
      <c r="A3708" s="629" t="s">
        <v>3065</v>
      </c>
      <c r="B3708" s="630">
        <v>104</v>
      </c>
      <c r="C3708" s="631" t="str">
        <f t="shared" si="62"/>
        <v>Ô tô vận tải thùng 10 tấn104</v>
      </c>
      <c r="D3708" s="630"/>
      <c r="E3708" s="630"/>
      <c r="F3708" s="630"/>
      <c r="G3708" s="630"/>
    </row>
    <row r="3709" spans="1:7" ht="18.75" x14ac:dyDescent="0.25">
      <c r="A3709" s="629" t="s">
        <v>3065</v>
      </c>
      <c r="B3709" s="630">
        <v>105</v>
      </c>
      <c r="C3709" s="631" t="str">
        <f t="shared" si="62"/>
        <v>Ô tô vận tải thùng 10 tấn105</v>
      </c>
      <c r="D3709" s="630"/>
      <c r="E3709" s="630"/>
      <c r="F3709" s="630"/>
      <c r="G3709" s="630"/>
    </row>
    <row r="3710" spans="1:7" ht="18.75" x14ac:dyDescent="0.25">
      <c r="A3710" s="629" t="s">
        <v>3065</v>
      </c>
      <c r="B3710" s="630">
        <v>106</v>
      </c>
      <c r="C3710" s="631" t="str">
        <f t="shared" si="62"/>
        <v>Ô tô vận tải thùng 10 tấn106</v>
      </c>
      <c r="D3710" s="630"/>
      <c r="E3710" s="630"/>
      <c r="F3710" s="630"/>
      <c r="G3710" s="630"/>
    </row>
    <row r="3711" spans="1:7" ht="18.75" x14ac:dyDescent="0.25">
      <c r="A3711" s="629" t="s">
        <v>3065</v>
      </c>
      <c r="B3711" s="630">
        <v>107</v>
      </c>
      <c r="C3711" s="631" t="str">
        <f t="shared" si="62"/>
        <v>Ô tô vận tải thùng 10 tấn107</v>
      </c>
      <c r="D3711" s="630"/>
      <c r="E3711" s="630"/>
      <c r="F3711" s="630"/>
      <c r="G3711" s="630"/>
    </row>
    <row r="3712" spans="1:7" ht="18.75" x14ac:dyDescent="0.25">
      <c r="A3712" s="629" t="s">
        <v>3065</v>
      </c>
      <c r="B3712" s="630">
        <v>108</v>
      </c>
      <c r="C3712" s="631" t="str">
        <f t="shared" si="62"/>
        <v>Ô tô vận tải thùng 10 tấn108</v>
      </c>
      <c r="D3712" s="630"/>
      <c r="E3712" s="630"/>
      <c r="F3712" s="630"/>
      <c r="G3712" s="630"/>
    </row>
    <row r="3713" spans="1:7" ht="18.75" x14ac:dyDescent="0.25">
      <c r="A3713" s="629" t="s">
        <v>3065</v>
      </c>
      <c r="B3713" s="630">
        <v>109</v>
      </c>
      <c r="C3713" s="631" t="str">
        <f t="shared" si="62"/>
        <v>Ô tô vận tải thùng 10 tấn109</v>
      </c>
      <c r="D3713" s="630"/>
      <c r="E3713" s="630"/>
      <c r="F3713" s="630"/>
      <c r="G3713" s="630"/>
    </row>
    <row r="3714" spans="1:7" ht="18.75" x14ac:dyDescent="0.25">
      <c r="A3714" s="629" t="s">
        <v>3065</v>
      </c>
      <c r="B3714" s="630">
        <v>110</v>
      </c>
      <c r="C3714" s="631" t="str">
        <f t="shared" si="62"/>
        <v>Ô tô vận tải thùng 10 tấn110</v>
      </c>
      <c r="D3714" s="630"/>
      <c r="E3714" s="630"/>
      <c r="F3714" s="630"/>
      <c r="G3714" s="630"/>
    </row>
    <row r="3715" spans="1:7" ht="18.75" x14ac:dyDescent="0.25">
      <c r="A3715" s="629" t="s">
        <v>3065</v>
      </c>
      <c r="B3715" s="630">
        <v>111</v>
      </c>
      <c r="C3715" s="631" t="str">
        <f t="shared" si="62"/>
        <v>Ô tô vận tải thùng 10 tấn111</v>
      </c>
      <c r="D3715" s="630"/>
      <c r="E3715" s="630"/>
      <c r="F3715" s="630"/>
      <c r="G3715" s="630"/>
    </row>
    <row r="3716" spans="1:7" ht="18.75" x14ac:dyDescent="0.25">
      <c r="A3716" s="629" t="s">
        <v>3065</v>
      </c>
      <c r="B3716" s="630">
        <v>112</v>
      </c>
      <c r="C3716" s="631" t="str">
        <f t="shared" si="62"/>
        <v>Ô tô vận tải thùng 10 tấn112</v>
      </c>
      <c r="D3716" s="630"/>
      <c r="E3716" s="630"/>
      <c r="F3716" s="630"/>
      <c r="G3716" s="630"/>
    </row>
    <row r="3717" spans="1:7" ht="18.75" x14ac:dyDescent="0.25">
      <c r="A3717" s="629" t="s">
        <v>3065</v>
      </c>
      <c r="B3717" s="630">
        <v>113</v>
      </c>
      <c r="C3717" s="631" t="str">
        <f t="shared" si="62"/>
        <v>Ô tô vận tải thùng 10 tấn113</v>
      </c>
      <c r="D3717" s="630"/>
      <c r="E3717" s="630"/>
      <c r="F3717" s="630"/>
      <c r="G3717" s="630"/>
    </row>
    <row r="3718" spans="1:7" ht="18.75" x14ac:dyDescent="0.25">
      <c r="A3718" s="629" t="s">
        <v>3065</v>
      </c>
      <c r="B3718" s="630">
        <v>114</v>
      </c>
      <c r="C3718" s="631" t="str">
        <f t="shared" si="62"/>
        <v>Ô tô vận tải thùng 10 tấn114</v>
      </c>
      <c r="D3718" s="630"/>
      <c r="E3718" s="630"/>
      <c r="F3718" s="630"/>
      <c r="G3718" s="630"/>
    </row>
    <row r="3719" spans="1:7" ht="18.75" x14ac:dyDescent="0.25">
      <c r="A3719" s="629" t="s">
        <v>3065</v>
      </c>
      <c r="B3719" s="630">
        <v>115</v>
      </c>
      <c r="C3719" s="631" t="str">
        <f t="shared" si="62"/>
        <v>Ô tô vận tải thùng 10 tấn115</v>
      </c>
      <c r="D3719" s="630"/>
      <c r="E3719" s="630"/>
      <c r="F3719" s="630"/>
      <c r="G3719" s="630"/>
    </row>
    <row r="3720" spans="1:7" ht="18.75" x14ac:dyDescent="0.25">
      <c r="A3720" s="629" t="s">
        <v>3065</v>
      </c>
      <c r="B3720" s="630">
        <v>116</v>
      </c>
      <c r="C3720" s="631" t="str">
        <f t="shared" si="62"/>
        <v>Ô tô vận tải thùng 10 tấn116</v>
      </c>
      <c r="D3720" s="630"/>
      <c r="E3720" s="630"/>
      <c r="F3720" s="630"/>
      <c r="G3720" s="630"/>
    </row>
    <row r="3721" spans="1:7" ht="18.75" x14ac:dyDescent="0.25">
      <c r="A3721" s="629" t="s">
        <v>3065</v>
      </c>
      <c r="B3721" s="630">
        <v>117</v>
      </c>
      <c r="C3721" s="631" t="str">
        <f t="shared" si="62"/>
        <v>Ô tô vận tải thùng 10 tấn117</v>
      </c>
      <c r="D3721" s="630"/>
      <c r="E3721" s="630"/>
      <c r="F3721" s="630"/>
      <c r="G3721" s="630"/>
    </row>
    <row r="3722" spans="1:7" ht="18.75" x14ac:dyDescent="0.25">
      <c r="A3722" s="629" t="s">
        <v>3065</v>
      </c>
      <c r="B3722" s="630">
        <v>118</v>
      </c>
      <c r="C3722" s="631" t="str">
        <f t="shared" si="62"/>
        <v>Ô tô vận tải thùng 10 tấn118</v>
      </c>
      <c r="D3722" s="630"/>
      <c r="E3722" s="630"/>
      <c r="F3722" s="630"/>
      <c r="G3722" s="630"/>
    </row>
    <row r="3723" spans="1:7" ht="18.75" x14ac:dyDescent="0.25">
      <c r="A3723" s="629" t="s">
        <v>3065</v>
      </c>
      <c r="B3723" s="630">
        <v>119</v>
      </c>
      <c r="C3723" s="631" t="str">
        <f t="shared" si="62"/>
        <v>Ô tô vận tải thùng 10 tấn119</v>
      </c>
      <c r="D3723" s="630"/>
      <c r="E3723" s="630"/>
      <c r="F3723" s="630"/>
      <c r="G3723" s="630"/>
    </row>
    <row r="3724" spans="1:7" ht="18.75" x14ac:dyDescent="0.25">
      <c r="A3724" s="629" t="s">
        <v>3065</v>
      </c>
      <c r="B3724" s="630">
        <v>120</v>
      </c>
      <c r="C3724" s="631" t="str">
        <f t="shared" si="62"/>
        <v>Ô tô vận tải thùng 10 tấn120</v>
      </c>
      <c r="D3724" s="630"/>
      <c r="E3724" s="630"/>
      <c r="F3724" s="630"/>
      <c r="G3724" s="630"/>
    </row>
    <row r="3725" spans="1:7" ht="18.75" x14ac:dyDescent="0.25">
      <c r="A3725" s="629" t="s">
        <v>3065</v>
      </c>
      <c r="B3725" s="630">
        <v>121</v>
      </c>
      <c r="C3725" s="631" t="str">
        <f t="shared" si="62"/>
        <v>Ô tô vận tải thùng 10 tấn121</v>
      </c>
      <c r="D3725" s="630"/>
      <c r="E3725" s="630"/>
      <c r="F3725" s="630"/>
      <c r="G3725" s="630"/>
    </row>
    <row r="3726" spans="1:7" ht="18.75" x14ac:dyDescent="0.25">
      <c r="A3726" s="629" t="s">
        <v>3065</v>
      </c>
      <c r="B3726" s="630">
        <v>122</v>
      </c>
      <c r="C3726" s="631" t="str">
        <f t="shared" si="62"/>
        <v>Ô tô vận tải thùng 10 tấn122</v>
      </c>
      <c r="D3726" s="630"/>
      <c r="E3726" s="630"/>
      <c r="F3726" s="630"/>
      <c r="G3726" s="630"/>
    </row>
    <row r="3727" spans="1:7" ht="18.75" x14ac:dyDescent="0.25">
      <c r="A3727" s="629" t="s">
        <v>3065</v>
      </c>
      <c r="B3727" s="630">
        <v>123</v>
      </c>
      <c r="C3727" s="631" t="str">
        <f t="shared" si="62"/>
        <v>Ô tô vận tải thùng 10 tấn123</v>
      </c>
      <c r="D3727" s="630"/>
      <c r="E3727" s="630"/>
      <c r="F3727" s="630"/>
      <c r="G3727" s="630"/>
    </row>
    <row r="3728" spans="1:7" ht="18.75" x14ac:dyDescent="0.25">
      <c r="A3728" s="629" t="s">
        <v>3065</v>
      </c>
      <c r="B3728" s="630">
        <v>124</v>
      </c>
      <c r="C3728" s="631" t="str">
        <f t="shared" si="62"/>
        <v>Ô tô vận tải thùng 10 tấn124</v>
      </c>
      <c r="D3728" s="630"/>
      <c r="E3728" s="630"/>
      <c r="F3728" s="630"/>
      <c r="G3728" s="630"/>
    </row>
    <row r="3729" spans="1:7" ht="18.75" x14ac:dyDescent="0.25">
      <c r="A3729" s="629" t="s">
        <v>3065</v>
      </c>
      <c r="B3729" s="630">
        <v>125</v>
      </c>
      <c r="C3729" s="631" t="str">
        <f t="shared" si="62"/>
        <v>Ô tô vận tải thùng 10 tấn125</v>
      </c>
      <c r="D3729" s="630"/>
      <c r="E3729" s="630"/>
      <c r="F3729" s="630"/>
      <c r="G3729" s="630"/>
    </row>
    <row r="3730" spans="1:7" ht="18.75" x14ac:dyDescent="0.25">
      <c r="A3730" s="629" t="s">
        <v>3065</v>
      </c>
      <c r="B3730" s="630">
        <v>126</v>
      </c>
      <c r="C3730" s="631" t="str">
        <f t="shared" si="62"/>
        <v>Ô tô vận tải thùng 10 tấn126</v>
      </c>
      <c r="D3730" s="630"/>
      <c r="E3730" s="630"/>
      <c r="F3730" s="630"/>
      <c r="G3730" s="630"/>
    </row>
    <row r="3731" spans="1:7" ht="18.75" x14ac:dyDescent="0.25">
      <c r="A3731" s="629" t="s">
        <v>3065</v>
      </c>
      <c r="B3731" s="630">
        <v>127</v>
      </c>
      <c r="C3731" s="631" t="str">
        <f t="shared" si="62"/>
        <v>Ô tô vận tải thùng 10 tấn127</v>
      </c>
      <c r="D3731" s="630"/>
      <c r="E3731" s="630"/>
      <c r="F3731" s="630"/>
      <c r="G3731" s="630"/>
    </row>
    <row r="3732" spans="1:7" ht="18.75" x14ac:dyDescent="0.25">
      <c r="A3732" s="629" t="s">
        <v>3065</v>
      </c>
      <c r="B3732" s="630">
        <v>128</v>
      </c>
      <c r="C3732" s="631" t="str">
        <f t="shared" si="62"/>
        <v>Ô tô vận tải thùng 10 tấn128</v>
      </c>
      <c r="D3732" s="630"/>
      <c r="E3732" s="630"/>
      <c r="F3732" s="630"/>
      <c r="G3732" s="630"/>
    </row>
    <row r="3733" spans="1:7" ht="18.75" x14ac:dyDescent="0.25">
      <c r="A3733" s="629" t="s">
        <v>3065</v>
      </c>
      <c r="B3733" s="630">
        <v>129</v>
      </c>
      <c r="C3733" s="631" t="str">
        <f t="shared" si="62"/>
        <v>Ô tô vận tải thùng 10 tấn129</v>
      </c>
      <c r="D3733" s="630"/>
      <c r="E3733" s="630"/>
      <c r="F3733" s="630"/>
      <c r="G3733" s="630"/>
    </row>
    <row r="3734" spans="1:7" ht="18.75" x14ac:dyDescent="0.25">
      <c r="A3734" s="629" t="s">
        <v>3065</v>
      </c>
      <c r="B3734" s="630">
        <v>130</v>
      </c>
      <c r="C3734" s="631" t="str">
        <f t="shared" ref="C3734:C3797" si="63">A3734&amp;B3734</f>
        <v>Ô tô vận tải thùng 10 tấn130</v>
      </c>
      <c r="D3734" s="630"/>
      <c r="E3734" s="630"/>
      <c r="F3734" s="630"/>
      <c r="G3734" s="630"/>
    </row>
    <row r="3735" spans="1:7" ht="18.75" x14ac:dyDescent="0.25">
      <c r="A3735" s="629" t="s">
        <v>3065</v>
      </c>
      <c r="B3735" s="630">
        <v>131</v>
      </c>
      <c r="C3735" s="631" t="str">
        <f t="shared" si="63"/>
        <v>Ô tô vận tải thùng 10 tấn131</v>
      </c>
      <c r="D3735" s="630"/>
      <c r="E3735" s="630"/>
      <c r="F3735" s="630"/>
      <c r="G3735" s="630"/>
    </row>
    <row r="3736" spans="1:7" ht="18.75" x14ac:dyDescent="0.25">
      <c r="A3736" s="629" t="s">
        <v>3065</v>
      </c>
      <c r="B3736" s="630">
        <v>132</v>
      </c>
      <c r="C3736" s="631" t="str">
        <f t="shared" si="63"/>
        <v>Ô tô vận tải thùng 10 tấn132</v>
      </c>
      <c r="D3736" s="630"/>
      <c r="E3736" s="630"/>
      <c r="F3736" s="630"/>
      <c r="G3736" s="630"/>
    </row>
    <row r="3737" spans="1:7" ht="18.75" x14ac:dyDescent="0.25">
      <c r="A3737" s="629" t="s">
        <v>3065</v>
      </c>
      <c r="B3737" s="630">
        <v>133</v>
      </c>
      <c r="C3737" s="631" t="str">
        <f t="shared" si="63"/>
        <v>Ô tô vận tải thùng 10 tấn133</v>
      </c>
      <c r="D3737" s="630"/>
      <c r="E3737" s="630"/>
      <c r="F3737" s="630"/>
      <c r="G3737" s="630"/>
    </row>
    <row r="3738" spans="1:7" ht="18.75" x14ac:dyDescent="0.25">
      <c r="A3738" s="629" t="s">
        <v>3065</v>
      </c>
      <c r="B3738" s="630">
        <v>134</v>
      </c>
      <c r="C3738" s="631" t="str">
        <f t="shared" si="63"/>
        <v>Ô tô vận tải thùng 10 tấn134</v>
      </c>
      <c r="D3738" s="630"/>
      <c r="E3738" s="630"/>
      <c r="F3738" s="630"/>
      <c r="G3738" s="630"/>
    </row>
    <row r="3739" spans="1:7" ht="18.75" x14ac:dyDescent="0.25">
      <c r="A3739" s="629" t="s">
        <v>3065</v>
      </c>
      <c r="B3739" s="630">
        <v>135</v>
      </c>
      <c r="C3739" s="631" t="str">
        <f t="shared" si="63"/>
        <v>Ô tô vận tải thùng 10 tấn135</v>
      </c>
      <c r="D3739" s="630"/>
      <c r="E3739" s="630"/>
      <c r="F3739" s="630"/>
      <c r="G3739" s="630"/>
    </row>
    <row r="3740" spans="1:7" ht="18.75" x14ac:dyDescent="0.25">
      <c r="A3740" s="629" t="s">
        <v>3065</v>
      </c>
      <c r="B3740" s="630">
        <v>136</v>
      </c>
      <c r="C3740" s="631" t="str">
        <f t="shared" si="63"/>
        <v>Ô tô vận tải thùng 10 tấn136</v>
      </c>
      <c r="D3740" s="630"/>
      <c r="E3740" s="630"/>
      <c r="F3740" s="630"/>
      <c r="G3740" s="630"/>
    </row>
    <row r="3741" spans="1:7" ht="18.75" x14ac:dyDescent="0.25">
      <c r="A3741" s="629" t="s">
        <v>3065</v>
      </c>
      <c r="B3741" s="630">
        <v>137</v>
      </c>
      <c r="C3741" s="631" t="str">
        <f t="shared" si="63"/>
        <v>Ô tô vận tải thùng 10 tấn137</v>
      </c>
      <c r="D3741" s="630"/>
      <c r="E3741" s="630"/>
      <c r="F3741" s="630"/>
      <c r="G3741" s="630"/>
    </row>
    <row r="3742" spans="1:7" ht="18.75" x14ac:dyDescent="0.25">
      <c r="A3742" s="629" t="s">
        <v>3065</v>
      </c>
      <c r="B3742" s="630">
        <v>138</v>
      </c>
      <c r="C3742" s="631" t="str">
        <f t="shared" si="63"/>
        <v>Ô tô vận tải thùng 10 tấn138</v>
      </c>
      <c r="D3742" s="630"/>
      <c r="E3742" s="630"/>
      <c r="F3742" s="630"/>
      <c r="G3742" s="630"/>
    </row>
    <row r="3743" spans="1:7" ht="18.75" x14ac:dyDescent="0.25">
      <c r="A3743" s="629" t="s">
        <v>3065</v>
      </c>
      <c r="B3743" s="630">
        <v>139</v>
      </c>
      <c r="C3743" s="631" t="str">
        <f t="shared" si="63"/>
        <v>Ô tô vận tải thùng 10 tấn139</v>
      </c>
      <c r="D3743" s="630"/>
      <c r="E3743" s="630"/>
      <c r="F3743" s="630"/>
      <c r="G3743" s="630"/>
    </row>
    <row r="3744" spans="1:7" ht="18.75" x14ac:dyDescent="0.25">
      <c r="A3744" s="629" t="s">
        <v>3065</v>
      </c>
      <c r="B3744" s="630">
        <v>140</v>
      </c>
      <c r="C3744" s="631" t="str">
        <f t="shared" si="63"/>
        <v>Ô tô vận tải thùng 10 tấn140</v>
      </c>
      <c r="D3744" s="630"/>
      <c r="E3744" s="630"/>
      <c r="F3744" s="630"/>
      <c r="G3744" s="630"/>
    </row>
    <row r="3745" spans="1:7" ht="18.75" x14ac:dyDescent="0.25">
      <c r="A3745" s="629" t="s">
        <v>3065</v>
      </c>
      <c r="B3745" s="630">
        <v>141</v>
      </c>
      <c r="C3745" s="631" t="str">
        <f t="shared" si="63"/>
        <v>Ô tô vận tải thùng 10 tấn141</v>
      </c>
      <c r="D3745" s="630"/>
      <c r="E3745" s="630"/>
      <c r="F3745" s="630"/>
      <c r="G3745" s="630"/>
    </row>
    <row r="3746" spans="1:7" ht="18.75" x14ac:dyDescent="0.25">
      <c r="A3746" s="629" t="s">
        <v>3065</v>
      </c>
      <c r="B3746" s="630">
        <v>142</v>
      </c>
      <c r="C3746" s="631" t="str">
        <f t="shared" si="63"/>
        <v>Ô tô vận tải thùng 10 tấn142</v>
      </c>
      <c r="D3746" s="630"/>
      <c r="E3746" s="630"/>
      <c r="F3746" s="630"/>
      <c r="G3746" s="630"/>
    </row>
    <row r="3747" spans="1:7" ht="18.75" x14ac:dyDescent="0.25">
      <c r="A3747" s="629" t="s">
        <v>3065</v>
      </c>
      <c r="B3747" s="630">
        <v>143</v>
      </c>
      <c r="C3747" s="631" t="str">
        <f t="shared" si="63"/>
        <v>Ô tô vận tải thùng 10 tấn143</v>
      </c>
      <c r="D3747" s="630"/>
      <c r="E3747" s="630"/>
      <c r="F3747" s="630"/>
      <c r="G3747" s="630"/>
    </row>
    <row r="3748" spans="1:7" ht="18.75" x14ac:dyDescent="0.25">
      <c r="A3748" s="629" t="s">
        <v>3065</v>
      </c>
      <c r="B3748" s="630">
        <v>144</v>
      </c>
      <c r="C3748" s="631" t="str">
        <f t="shared" si="63"/>
        <v>Ô tô vận tải thùng 10 tấn144</v>
      </c>
      <c r="D3748" s="630"/>
      <c r="E3748" s="630"/>
      <c r="F3748" s="630"/>
      <c r="G3748" s="630"/>
    </row>
    <row r="3749" spans="1:7" ht="18.75" x14ac:dyDescent="0.25">
      <c r="A3749" s="629" t="s">
        <v>3065</v>
      </c>
      <c r="B3749" s="630">
        <v>145</v>
      </c>
      <c r="C3749" s="631" t="str">
        <f t="shared" si="63"/>
        <v>Ô tô vận tải thùng 10 tấn145</v>
      </c>
      <c r="D3749" s="630"/>
      <c r="E3749" s="630"/>
      <c r="F3749" s="630"/>
      <c r="G3749" s="630"/>
    </row>
    <row r="3750" spans="1:7" ht="18.75" x14ac:dyDescent="0.25">
      <c r="A3750" s="629" t="s">
        <v>3065</v>
      </c>
      <c r="B3750" s="630">
        <v>146</v>
      </c>
      <c r="C3750" s="631" t="str">
        <f t="shared" si="63"/>
        <v>Ô tô vận tải thùng 10 tấn146</v>
      </c>
      <c r="D3750" s="630"/>
      <c r="E3750" s="630"/>
      <c r="F3750" s="630"/>
      <c r="G3750" s="630"/>
    </row>
    <row r="3751" spans="1:7" ht="18.75" x14ac:dyDescent="0.25">
      <c r="A3751" s="629" t="s">
        <v>3065</v>
      </c>
      <c r="B3751" s="630">
        <v>147</v>
      </c>
      <c r="C3751" s="631" t="str">
        <f t="shared" si="63"/>
        <v>Ô tô vận tải thùng 10 tấn147</v>
      </c>
      <c r="D3751" s="630"/>
      <c r="E3751" s="630"/>
      <c r="F3751" s="630"/>
      <c r="G3751" s="630"/>
    </row>
    <row r="3752" spans="1:7" ht="18.75" x14ac:dyDescent="0.25">
      <c r="A3752" s="629" t="s">
        <v>3065</v>
      </c>
      <c r="B3752" s="630">
        <v>148</v>
      </c>
      <c r="C3752" s="631" t="str">
        <f t="shared" si="63"/>
        <v>Ô tô vận tải thùng 10 tấn148</v>
      </c>
      <c r="D3752" s="630"/>
      <c r="E3752" s="630"/>
      <c r="F3752" s="630"/>
      <c r="G3752" s="630"/>
    </row>
    <row r="3753" spans="1:7" ht="18.75" x14ac:dyDescent="0.25">
      <c r="A3753" s="629" t="s">
        <v>3065</v>
      </c>
      <c r="B3753" s="630">
        <v>149</v>
      </c>
      <c r="C3753" s="631" t="str">
        <f t="shared" si="63"/>
        <v>Ô tô vận tải thùng 10 tấn149</v>
      </c>
      <c r="D3753" s="630"/>
      <c r="E3753" s="630"/>
      <c r="F3753" s="630"/>
      <c r="G3753" s="630"/>
    </row>
    <row r="3754" spans="1:7" ht="18.75" x14ac:dyDescent="0.25">
      <c r="A3754" s="629" t="s">
        <v>3065</v>
      </c>
      <c r="B3754" s="630">
        <v>150</v>
      </c>
      <c r="C3754" s="631" t="str">
        <f t="shared" si="63"/>
        <v>Ô tô vận tải thùng 10 tấn150</v>
      </c>
      <c r="D3754" s="630"/>
      <c r="E3754" s="630"/>
      <c r="F3754" s="630"/>
      <c r="G3754" s="630"/>
    </row>
    <row r="3755" spans="1:7" ht="18.75" x14ac:dyDescent="0.25">
      <c r="A3755" s="629" t="s">
        <v>3065</v>
      </c>
      <c r="B3755" s="630">
        <v>151</v>
      </c>
      <c r="C3755" s="631" t="str">
        <f t="shared" si="63"/>
        <v>Ô tô vận tải thùng 10 tấn151</v>
      </c>
      <c r="D3755" s="630"/>
      <c r="E3755" s="630"/>
      <c r="F3755" s="630"/>
      <c r="G3755" s="630"/>
    </row>
    <row r="3756" spans="1:7" ht="18.75" x14ac:dyDescent="0.25">
      <c r="A3756" s="629" t="s">
        <v>3065</v>
      </c>
      <c r="B3756" s="630">
        <v>152</v>
      </c>
      <c r="C3756" s="631" t="str">
        <f t="shared" si="63"/>
        <v>Ô tô vận tải thùng 10 tấn152</v>
      </c>
      <c r="D3756" s="630"/>
      <c r="E3756" s="630"/>
      <c r="F3756" s="630"/>
      <c r="G3756" s="630"/>
    </row>
    <row r="3757" spans="1:7" ht="18.75" x14ac:dyDescent="0.25">
      <c r="A3757" s="629" t="s">
        <v>3065</v>
      </c>
      <c r="B3757" s="630">
        <v>153</v>
      </c>
      <c r="C3757" s="631" t="str">
        <f t="shared" si="63"/>
        <v>Ô tô vận tải thùng 10 tấn153</v>
      </c>
      <c r="D3757" s="630"/>
      <c r="E3757" s="630"/>
      <c r="F3757" s="630"/>
      <c r="G3757" s="630"/>
    </row>
    <row r="3758" spans="1:7" ht="18.75" x14ac:dyDescent="0.25">
      <c r="A3758" s="629" t="s">
        <v>3065</v>
      </c>
      <c r="B3758" s="630">
        <v>154</v>
      </c>
      <c r="C3758" s="631" t="str">
        <f t="shared" si="63"/>
        <v>Ô tô vận tải thùng 10 tấn154</v>
      </c>
      <c r="D3758" s="630"/>
      <c r="E3758" s="630"/>
      <c r="F3758" s="630"/>
      <c r="G3758" s="630"/>
    </row>
    <row r="3759" spans="1:7" ht="18.75" x14ac:dyDescent="0.25">
      <c r="A3759" s="629" t="s">
        <v>3065</v>
      </c>
      <c r="B3759" s="630">
        <v>155</v>
      </c>
      <c r="C3759" s="631" t="str">
        <f t="shared" si="63"/>
        <v>Ô tô vận tải thùng 10 tấn155</v>
      </c>
      <c r="D3759" s="630"/>
      <c r="E3759" s="630"/>
      <c r="F3759" s="630"/>
      <c r="G3759" s="630"/>
    </row>
    <row r="3760" spans="1:7" ht="18.75" x14ac:dyDescent="0.25">
      <c r="A3760" s="629" t="s">
        <v>3065</v>
      </c>
      <c r="B3760" s="630">
        <v>156</v>
      </c>
      <c r="C3760" s="631" t="str">
        <f t="shared" si="63"/>
        <v>Ô tô vận tải thùng 10 tấn156</v>
      </c>
      <c r="D3760" s="630"/>
      <c r="E3760" s="630"/>
      <c r="F3760" s="630"/>
      <c r="G3760" s="630"/>
    </row>
    <row r="3761" spans="1:7" ht="18.75" x14ac:dyDescent="0.25">
      <c r="A3761" s="629" t="s">
        <v>3065</v>
      </c>
      <c r="B3761" s="630">
        <v>157</v>
      </c>
      <c r="C3761" s="631" t="str">
        <f t="shared" si="63"/>
        <v>Ô tô vận tải thùng 10 tấn157</v>
      </c>
      <c r="D3761" s="630"/>
      <c r="E3761" s="630"/>
      <c r="F3761" s="630"/>
      <c r="G3761" s="630"/>
    </row>
    <row r="3762" spans="1:7" ht="18.75" x14ac:dyDescent="0.25">
      <c r="A3762" s="629" t="s">
        <v>3065</v>
      </c>
      <c r="B3762" s="630">
        <v>158</v>
      </c>
      <c r="C3762" s="631" t="str">
        <f t="shared" si="63"/>
        <v>Ô tô vận tải thùng 10 tấn158</v>
      </c>
      <c r="D3762" s="630"/>
      <c r="E3762" s="630"/>
      <c r="F3762" s="630"/>
      <c r="G3762" s="630"/>
    </row>
    <row r="3763" spans="1:7" ht="18.75" x14ac:dyDescent="0.25">
      <c r="A3763" s="629" t="s">
        <v>3065</v>
      </c>
      <c r="B3763" s="630">
        <v>159</v>
      </c>
      <c r="C3763" s="631" t="str">
        <f t="shared" si="63"/>
        <v>Ô tô vận tải thùng 10 tấn159</v>
      </c>
      <c r="D3763" s="630"/>
      <c r="E3763" s="630"/>
      <c r="F3763" s="630"/>
      <c r="G3763" s="630"/>
    </row>
    <row r="3764" spans="1:7" ht="18.75" x14ac:dyDescent="0.25">
      <c r="A3764" s="629" t="s">
        <v>3065</v>
      </c>
      <c r="B3764" s="630">
        <v>160</v>
      </c>
      <c r="C3764" s="631" t="str">
        <f t="shared" si="63"/>
        <v>Ô tô vận tải thùng 10 tấn160</v>
      </c>
      <c r="D3764" s="630"/>
      <c r="E3764" s="630"/>
      <c r="F3764" s="630"/>
      <c r="G3764" s="630"/>
    </row>
    <row r="3765" spans="1:7" ht="18.75" x14ac:dyDescent="0.25">
      <c r="A3765" s="629" t="s">
        <v>3065</v>
      </c>
      <c r="B3765" s="630">
        <v>161</v>
      </c>
      <c r="C3765" s="631" t="str">
        <f t="shared" si="63"/>
        <v>Ô tô vận tải thùng 10 tấn161</v>
      </c>
      <c r="D3765" s="630"/>
      <c r="E3765" s="630"/>
      <c r="F3765" s="630"/>
      <c r="G3765" s="630"/>
    </row>
    <row r="3766" spans="1:7" ht="18.75" x14ac:dyDescent="0.25">
      <c r="A3766" s="629" t="s">
        <v>3065</v>
      </c>
      <c r="B3766" s="630">
        <v>162</v>
      </c>
      <c r="C3766" s="631" t="str">
        <f t="shared" si="63"/>
        <v>Ô tô vận tải thùng 10 tấn162</v>
      </c>
      <c r="D3766" s="630"/>
      <c r="E3766" s="630"/>
      <c r="F3766" s="630"/>
      <c r="G3766" s="630"/>
    </row>
    <row r="3767" spans="1:7" ht="18.75" x14ac:dyDescent="0.25">
      <c r="A3767" s="629" t="s">
        <v>3065</v>
      </c>
      <c r="B3767" s="630">
        <v>163</v>
      </c>
      <c r="C3767" s="631" t="str">
        <f t="shared" si="63"/>
        <v>Ô tô vận tải thùng 10 tấn163</v>
      </c>
      <c r="D3767" s="630"/>
      <c r="E3767" s="630"/>
      <c r="F3767" s="630"/>
      <c r="G3767" s="630"/>
    </row>
    <row r="3768" spans="1:7" ht="18.75" x14ac:dyDescent="0.25">
      <c r="A3768" s="629" t="s">
        <v>3065</v>
      </c>
      <c r="B3768" s="630">
        <v>164</v>
      </c>
      <c r="C3768" s="631" t="str">
        <f t="shared" si="63"/>
        <v>Ô tô vận tải thùng 10 tấn164</v>
      </c>
      <c r="D3768" s="630"/>
      <c r="E3768" s="630"/>
      <c r="F3768" s="630"/>
      <c r="G3768" s="630"/>
    </row>
    <row r="3769" spans="1:7" ht="18.75" x14ac:dyDescent="0.25">
      <c r="A3769" s="629" t="s">
        <v>3065</v>
      </c>
      <c r="B3769" s="630">
        <v>165</v>
      </c>
      <c r="C3769" s="631" t="str">
        <f t="shared" si="63"/>
        <v>Ô tô vận tải thùng 10 tấn165</v>
      </c>
      <c r="D3769" s="630"/>
      <c r="E3769" s="630"/>
      <c r="F3769" s="630"/>
      <c r="G3769" s="630"/>
    </row>
    <row r="3770" spans="1:7" ht="18.75" x14ac:dyDescent="0.25">
      <c r="A3770" s="629" t="s">
        <v>3065</v>
      </c>
      <c r="B3770" s="630">
        <v>166</v>
      </c>
      <c r="C3770" s="631" t="str">
        <f t="shared" si="63"/>
        <v>Ô tô vận tải thùng 10 tấn166</v>
      </c>
      <c r="D3770" s="630"/>
      <c r="E3770" s="630"/>
      <c r="F3770" s="630"/>
      <c r="G3770" s="630"/>
    </row>
    <row r="3771" spans="1:7" ht="18.75" x14ac:dyDescent="0.25">
      <c r="A3771" s="629" t="s">
        <v>3065</v>
      </c>
      <c r="B3771" s="630">
        <v>167</v>
      </c>
      <c r="C3771" s="631" t="str">
        <f t="shared" si="63"/>
        <v>Ô tô vận tải thùng 10 tấn167</v>
      </c>
      <c r="D3771" s="630"/>
      <c r="E3771" s="630"/>
      <c r="F3771" s="630"/>
      <c r="G3771" s="630"/>
    </row>
    <row r="3772" spans="1:7" ht="18.75" x14ac:dyDescent="0.25">
      <c r="A3772" s="629" t="s">
        <v>3065</v>
      </c>
      <c r="B3772" s="630">
        <v>168</v>
      </c>
      <c r="C3772" s="631" t="str">
        <f t="shared" si="63"/>
        <v>Ô tô vận tải thùng 10 tấn168</v>
      </c>
      <c r="D3772" s="630"/>
      <c r="E3772" s="630"/>
      <c r="F3772" s="630"/>
      <c r="G3772" s="630"/>
    </row>
    <row r="3773" spans="1:7" ht="18.75" x14ac:dyDescent="0.25">
      <c r="A3773" s="629" t="s">
        <v>3065</v>
      </c>
      <c r="B3773" s="630">
        <v>169</v>
      </c>
      <c r="C3773" s="631" t="str">
        <f t="shared" si="63"/>
        <v>Ô tô vận tải thùng 10 tấn169</v>
      </c>
      <c r="D3773" s="630"/>
      <c r="E3773" s="630"/>
      <c r="F3773" s="630"/>
      <c r="G3773" s="630"/>
    </row>
    <row r="3774" spans="1:7" ht="18.75" x14ac:dyDescent="0.25">
      <c r="A3774" s="629" t="s">
        <v>3065</v>
      </c>
      <c r="B3774" s="630">
        <v>170</v>
      </c>
      <c r="C3774" s="631" t="str">
        <f t="shared" si="63"/>
        <v>Ô tô vận tải thùng 10 tấn170</v>
      </c>
      <c r="D3774" s="630"/>
      <c r="E3774" s="630"/>
      <c r="F3774" s="630"/>
      <c r="G3774" s="630"/>
    </row>
    <row r="3775" spans="1:7" ht="18.75" x14ac:dyDescent="0.25">
      <c r="A3775" s="629" t="s">
        <v>3065</v>
      </c>
      <c r="B3775" s="630">
        <v>171</v>
      </c>
      <c r="C3775" s="631" t="str">
        <f t="shared" si="63"/>
        <v>Ô tô vận tải thùng 10 tấn171</v>
      </c>
      <c r="D3775" s="630"/>
      <c r="E3775" s="630"/>
      <c r="F3775" s="630"/>
      <c r="G3775" s="630"/>
    </row>
    <row r="3776" spans="1:7" ht="18.75" x14ac:dyDescent="0.25">
      <c r="A3776" s="629" t="s">
        <v>3065</v>
      </c>
      <c r="B3776" s="630">
        <v>172</v>
      </c>
      <c r="C3776" s="631" t="str">
        <f t="shared" si="63"/>
        <v>Ô tô vận tải thùng 10 tấn172</v>
      </c>
      <c r="D3776" s="630"/>
      <c r="E3776" s="630"/>
      <c r="F3776" s="630"/>
      <c r="G3776" s="630"/>
    </row>
    <row r="3777" spans="1:7" ht="18.75" x14ac:dyDescent="0.25">
      <c r="A3777" s="629" t="s">
        <v>3065</v>
      </c>
      <c r="B3777" s="630">
        <v>173</v>
      </c>
      <c r="C3777" s="631" t="str">
        <f t="shared" si="63"/>
        <v>Ô tô vận tải thùng 10 tấn173</v>
      </c>
      <c r="D3777" s="630"/>
      <c r="E3777" s="630"/>
      <c r="F3777" s="630"/>
      <c r="G3777" s="630"/>
    </row>
    <row r="3778" spans="1:7" ht="18.75" x14ac:dyDescent="0.25">
      <c r="A3778" s="629" t="s">
        <v>3065</v>
      </c>
      <c r="B3778" s="630">
        <v>174</v>
      </c>
      <c r="C3778" s="631" t="str">
        <f t="shared" si="63"/>
        <v>Ô tô vận tải thùng 10 tấn174</v>
      </c>
      <c r="D3778" s="630"/>
      <c r="E3778" s="630"/>
      <c r="F3778" s="630"/>
      <c r="G3778" s="630"/>
    </row>
    <row r="3779" spans="1:7" ht="18.75" x14ac:dyDescent="0.25">
      <c r="A3779" s="629" t="s">
        <v>3065</v>
      </c>
      <c r="B3779" s="630">
        <v>175</v>
      </c>
      <c r="C3779" s="631" t="str">
        <f t="shared" si="63"/>
        <v>Ô tô vận tải thùng 10 tấn175</v>
      </c>
      <c r="D3779" s="630"/>
      <c r="E3779" s="630"/>
      <c r="F3779" s="630"/>
      <c r="G3779" s="630"/>
    </row>
    <row r="3780" spans="1:7" ht="18.75" x14ac:dyDescent="0.25">
      <c r="A3780" s="629" t="s">
        <v>3065</v>
      </c>
      <c r="B3780" s="630">
        <v>176</v>
      </c>
      <c r="C3780" s="631" t="str">
        <f t="shared" si="63"/>
        <v>Ô tô vận tải thùng 10 tấn176</v>
      </c>
      <c r="D3780" s="630"/>
      <c r="E3780" s="630"/>
      <c r="F3780" s="630"/>
      <c r="G3780" s="630"/>
    </row>
    <row r="3781" spans="1:7" ht="18.75" x14ac:dyDescent="0.25">
      <c r="A3781" s="629" t="s">
        <v>3065</v>
      </c>
      <c r="B3781" s="630">
        <v>177</v>
      </c>
      <c r="C3781" s="631" t="str">
        <f t="shared" si="63"/>
        <v>Ô tô vận tải thùng 10 tấn177</v>
      </c>
      <c r="D3781" s="630"/>
      <c r="E3781" s="630"/>
      <c r="F3781" s="630"/>
      <c r="G3781" s="630"/>
    </row>
    <row r="3782" spans="1:7" ht="18.75" x14ac:dyDescent="0.25">
      <c r="A3782" s="629" t="s">
        <v>3065</v>
      </c>
      <c r="B3782" s="630">
        <v>178</v>
      </c>
      <c r="C3782" s="631" t="str">
        <f t="shared" si="63"/>
        <v>Ô tô vận tải thùng 10 tấn178</v>
      </c>
      <c r="D3782" s="630"/>
      <c r="E3782" s="630"/>
      <c r="F3782" s="630"/>
      <c r="G3782" s="630"/>
    </row>
    <row r="3783" spans="1:7" ht="18.75" x14ac:dyDescent="0.25">
      <c r="A3783" s="629" t="s">
        <v>3065</v>
      </c>
      <c r="B3783" s="630">
        <v>179</v>
      </c>
      <c r="C3783" s="631" t="str">
        <f t="shared" si="63"/>
        <v>Ô tô vận tải thùng 10 tấn179</v>
      </c>
      <c r="D3783" s="630"/>
      <c r="E3783" s="630"/>
      <c r="F3783" s="630"/>
      <c r="G3783" s="630"/>
    </row>
    <row r="3784" spans="1:7" ht="18.75" x14ac:dyDescent="0.25">
      <c r="A3784" s="629" t="s">
        <v>3065</v>
      </c>
      <c r="B3784" s="630">
        <v>180</v>
      </c>
      <c r="C3784" s="631" t="str">
        <f t="shared" si="63"/>
        <v>Ô tô vận tải thùng 10 tấn180</v>
      </c>
      <c r="D3784" s="630"/>
      <c r="E3784" s="630"/>
      <c r="F3784" s="630"/>
      <c r="G3784" s="630"/>
    </row>
    <row r="3785" spans="1:7" ht="18.75" x14ac:dyDescent="0.25">
      <c r="A3785" s="629" t="s">
        <v>3065</v>
      </c>
      <c r="B3785" s="630">
        <v>181</v>
      </c>
      <c r="C3785" s="631" t="str">
        <f t="shared" si="63"/>
        <v>Ô tô vận tải thùng 10 tấn181</v>
      </c>
      <c r="D3785" s="630"/>
      <c r="E3785" s="630"/>
      <c r="F3785" s="630"/>
      <c r="G3785" s="630"/>
    </row>
    <row r="3786" spans="1:7" ht="18.75" x14ac:dyDescent="0.25">
      <c r="A3786" s="629" t="s">
        <v>3065</v>
      </c>
      <c r="B3786" s="630">
        <v>182</v>
      </c>
      <c r="C3786" s="631" t="str">
        <f t="shared" si="63"/>
        <v>Ô tô vận tải thùng 10 tấn182</v>
      </c>
      <c r="D3786" s="630"/>
      <c r="E3786" s="630"/>
      <c r="F3786" s="630"/>
      <c r="G3786" s="630"/>
    </row>
    <row r="3787" spans="1:7" ht="18.75" x14ac:dyDescent="0.25">
      <c r="A3787" s="629" t="s">
        <v>3065</v>
      </c>
      <c r="B3787" s="630">
        <v>183</v>
      </c>
      <c r="C3787" s="631" t="str">
        <f t="shared" si="63"/>
        <v>Ô tô vận tải thùng 10 tấn183</v>
      </c>
      <c r="D3787" s="630"/>
      <c r="E3787" s="630"/>
      <c r="F3787" s="630"/>
      <c r="G3787" s="630"/>
    </row>
    <row r="3788" spans="1:7" ht="18.75" x14ac:dyDescent="0.25">
      <c r="A3788" s="629" t="s">
        <v>3065</v>
      </c>
      <c r="B3788" s="630">
        <v>184</v>
      </c>
      <c r="C3788" s="631" t="str">
        <f t="shared" si="63"/>
        <v>Ô tô vận tải thùng 10 tấn184</v>
      </c>
      <c r="D3788" s="630"/>
      <c r="E3788" s="630"/>
      <c r="F3788" s="630"/>
      <c r="G3788" s="630"/>
    </row>
    <row r="3789" spans="1:7" ht="18.75" x14ac:dyDescent="0.25">
      <c r="A3789" s="629" t="s">
        <v>3065</v>
      </c>
      <c r="B3789" s="630">
        <v>185</v>
      </c>
      <c r="C3789" s="631" t="str">
        <f t="shared" si="63"/>
        <v>Ô tô vận tải thùng 10 tấn185</v>
      </c>
      <c r="D3789" s="630"/>
      <c r="E3789" s="630"/>
      <c r="F3789" s="630"/>
      <c r="G3789" s="630"/>
    </row>
    <row r="3790" spans="1:7" ht="18.75" x14ac:dyDescent="0.25">
      <c r="A3790" s="629" t="s">
        <v>3065</v>
      </c>
      <c r="B3790" s="630">
        <v>186</v>
      </c>
      <c r="C3790" s="631" t="str">
        <f t="shared" si="63"/>
        <v>Ô tô vận tải thùng 10 tấn186</v>
      </c>
      <c r="D3790" s="630"/>
      <c r="E3790" s="630"/>
      <c r="F3790" s="630"/>
      <c r="G3790" s="630"/>
    </row>
    <row r="3791" spans="1:7" ht="18.75" x14ac:dyDescent="0.25">
      <c r="A3791" s="629" t="s">
        <v>3065</v>
      </c>
      <c r="B3791" s="630">
        <v>187</v>
      </c>
      <c r="C3791" s="631" t="str">
        <f t="shared" si="63"/>
        <v>Ô tô vận tải thùng 10 tấn187</v>
      </c>
      <c r="D3791" s="630"/>
      <c r="E3791" s="630"/>
      <c r="F3791" s="630"/>
      <c r="G3791" s="630"/>
    </row>
    <row r="3792" spans="1:7" ht="18.75" x14ac:dyDescent="0.25">
      <c r="A3792" s="629" t="s">
        <v>3065</v>
      </c>
      <c r="B3792" s="630">
        <v>188</v>
      </c>
      <c r="C3792" s="631" t="str">
        <f t="shared" si="63"/>
        <v>Ô tô vận tải thùng 10 tấn188</v>
      </c>
      <c r="D3792" s="630"/>
      <c r="E3792" s="630"/>
      <c r="F3792" s="630"/>
      <c r="G3792" s="630"/>
    </row>
    <row r="3793" spans="1:7" ht="18.75" x14ac:dyDescent="0.25">
      <c r="A3793" s="629" t="s">
        <v>3065</v>
      </c>
      <c r="B3793" s="630">
        <v>189</v>
      </c>
      <c r="C3793" s="631" t="str">
        <f t="shared" si="63"/>
        <v>Ô tô vận tải thùng 10 tấn189</v>
      </c>
      <c r="D3793" s="630"/>
      <c r="E3793" s="630"/>
      <c r="F3793" s="630"/>
      <c r="G3793" s="630"/>
    </row>
    <row r="3794" spans="1:7" ht="18.75" x14ac:dyDescent="0.25">
      <c r="A3794" s="629" t="s">
        <v>3065</v>
      </c>
      <c r="B3794" s="630">
        <v>190</v>
      </c>
      <c r="C3794" s="631" t="str">
        <f t="shared" si="63"/>
        <v>Ô tô vận tải thùng 10 tấn190</v>
      </c>
      <c r="D3794" s="630"/>
      <c r="E3794" s="630"/>
      <c r="F3794" s="630"/>
      <c r="G3794" s="630"/>
    </row>
    <row r="3795" spans="1:7" ht="18.75" x14ac:dyDescent="0.25">
      <c r="A3795" s="629" t="s">
        <v>3065</v>
      </c>
      <c r="B3795" s="630">
        <v>191</v>
      </c>
      <c r="C3795" s="631" t="str">
        <f t="shared" si="63"/>
        <v>Ô tô vận tải thùng 10 tấn191</v>
      </c>
      <c r="D3795" s="630"/>
      <c r="E3795" s="630"/>
      <c r="F3795" s="630"/>
      <c r="G3795" s="630"/>
    </row>
    <row r="3796" spans="1:7" ht="18.75" x14ac:dyDescent="0.25">
      <c r="A3796" s="629" t="s">
        <v>3065</v>
      </c>
      <c r="B3796" s="630">
        <v>192</v>
      </c>
      <c r="C3796" s="631" t="str">
        <f t="shared" si="63"/>
        <v>Ô tô vận tải thùng 10 tấn192</v>
      </c>
      <c r="D3796" s="630"/>
      <c r="E3796" s="630"/>
      <c r="F3796" s="630"/>
      <c r="G3796" s="630"/>
    </row>
    <row r="3797" spans="1:7" ht="18.75" x14ac:dyDescent="0.25">
      <c r="A3797" s="629" t="s">
        <v>3065</v>
      </c>
      <c r="B3797" s="630">
        <v>193</v>
      </c>
      <c r="C3797" s="631" t="str">
        <f t="shared" si="63"/>
        <v>Ô tô vận tải thùng 10 tấn193</v>
      </c>
      <c r="D3797" s="630"/>
      <c r="E3797" s="630"/>
      <c r="F3797" s="630"/>
      <c r="G3797" s="630"/>
    </row>
    <row r="3798" spans="1:7" ht="18.75" x14ac:dyDescent="0.25">
      <c r="A3798" s="629" t="s">
        <v>3065</v>
      </c>
      <c r="B3798" s="630">
        <v>194</v>
      </c>
      <c r="C3798" s="631" t="str">
        <f t="shared" ref="C3798:C3861" si="64">A3798&amp;B3798</f>
        <v>Ô tô vận tải thùng 10 tấn194</v>
      </c>
      <c r="D3798" s="630"/>
      <c r="E3798" s="630"/>
      <c r="F3798" s="630"/>
      <c r="G3798" s="630"/>
    </row>
    <row r="3799" spans="1:7" ht="18.75" x14ac:dyDescent="0.25">
      <c r="A3799" s="629" t="s">
        <v>3065</v>
      </c>
      <c r="B3799" s="630">
        <v>195</v>
      </c>
      <c r="C3799" s="631" t="str">
        <f t="shared" si="64"/>
        <v>Ô tô vận tải thùng 10 tấn195</v>
      </c>
      <c r="D3799" s="630"/>
      <c r="E3799" s="630"/>
      <c r="F3799" s="630"/>
      <c r="G3799" s="630"/>
    </row>
    <row r="3800" spans="1:7" ht="18.75" x14ac:dyDescent="0.25">
      <c r="A3800" s="629" t="s">
        <v>3065</v>
      </c>
      <c r="B3800" s="630">
        <v>196</v>
      </c>
      <c r="C3800" s="631" t="str">
        <f t="shared" si="64"/>
        <v>Ô tô vận tải thùng 10 tấn196</v>
      </c>
      <c r="D3800" s="630"/>
      <c r="E3800" s="630"/>
      <c r="F3800" s="630"/>
      <c r="G3800" s="630"/>
    </row>
    <row r="3801" spans="1:7" ht="18.75" x14ac:dyDescent="0.25">
      <c r="A3801" s="629" t="s">
        <v>3065</v>
      </c>
      <c r="B3801" s="630">
        <v>197</v>
      </c>
      <c r="C3801" s="631" t="str">
        <f t="shared" si="64"/>
        <v>Ô tô vận tải thùng 10 tấn197</v>
      </c>
      <c r="D3801" s="630"/>
      <c r="E3801" s="630"/>
      <c r="F3801" s="630"/>
      <c r="G3801" s="630"/>
    </row>
    <row r="3802" spans="1:7" ht="18.75" x14ac:dyDescent="0.25">
      <c r="A3802" s="629" t="s">
        <v>3065</v>
      </c>
      <c r="B3802" s="630">
        <v>198</v>
      </c>
      <c r="C3802" s="631" t="str">
        <f t="shared" si="64"/>
        <v>Ô tô vận tải thùng 10 tấn198</v>
      </c>
      <c r="D3802" s="630"/>
      <c r="E3802" s="630"/>
      <c r="F3802" s="630"/>
      <c r="G3802" s="630"/>
    </row>
    <row r="3803" spans="1:7" ht="18.75" x14ac:dyDescent="0.25">
      <c r="A3803" s="629" t="s">
        <v>3065</v>
      </c>
      <c r="B3803" s="630">
        <v>199</v>
      </c>
      <c r="C3803" s="631" t="str">
        <f t="shared" si="64"/>
        <v>Ô tô vận tải thùng 10 tấn199</v>
      </c>
      <c r="D3803" s="630"/>
      <c r="E3803" s="630"/>
      <c r="F3803" s="630"/>
      <c r="G3803" s="630"/>
    </row>
    <row r="3804" spans="1:7" ht="18.75" x14ac:dyDescent="0.25">
      <c r="A3804" s="629" t="s">
        <v>3065</v>
      </c>
      <c r="B3804" s="630">
        <v>200</v>
      </c>
      <c r="C3804" s="631" t="str">
        <f t="shared" si="64"/>
        <v>Ô tô vận tải thùng 10 tấn200</v>
      </c>
      <c r="D3804" s="630"/>
      <c r="E3804" s="630"/>
      <c r="F3804" s="630"/>
      <c r="G3804" s="630"/>
    </row>
    <row r="3805" spans="1:7" ht="18.75" x14ac:dyDescent="0.25">
      <c r="A3805" s="629" t="s">
        <v>3065</v>
      </c>
      <c r="B3805" s="630">
        <v>201</v>
      </c>
      <c r="C3805" s="631" t="str">
        <f t="shared" si="64"/>
        <v>Ô tô vận tải thùng 10 tấn201</v>
      </c>
      <c r="D3805" s="630"/>
      <c r="E3805" s="630"/>
      <c r="F3805" s="630"/>
      <c r="G3805" s="630"/>
    </row>
    <row r="3806" spans="1:7" ht="18.75" x14ac:dyDescent="0.25">
      <c r="A3806" s="629" t="s">
        <v>3065</v>
      </c>
      <c r="B3806" s="630">
        <v>202</v>
      </c>
      <c r="C3806" s="631" t="str">
        <f t="shared" si="64"/>
        <v>Ô tô vận tải thùng 10 tấn202</v>
      </c>
      <c r="D3806" s="630"/>
      <c r="E3806" s="630"/>
      <c r="F3806" s="630"/>
      <c r="G3806" s="630"/>
    </row>
    <row r="3807" spans="1:7" ht="18.75" x14ac:dyDescent="0.25">
      <c r="A3807" s="629" t="s">
        <v>3065</v>
      </c>
      <c r="B3807" s="630">
        <v>203</v>
      </c>
      <c r="C3807" s="631" t="str">
        <f t="shared" si="64"/>
        <v>Ô tô vận tải thùng 10 tấn203</v>
      </c>
      <c r="D3807" s="630"/>
      <c r="E3807" s="630"/>
      <c r="F3807" s="630"/>
      <c r="G3807" s="630"/>
    </row>
    <row r="3808" spans="1:7" ht="18.75" x14ac:dyDescent="0.25">
      <c r="A3808" s="629" t="s">
        <v>3065</v>
      </c>
      <c r="B3808" s="630">
        <v>204</v>
      </c>
      <c r="C3808" s="631" t="str">
        <f t="shared" si="64"/>
        <v>Ô tô vận tải thùng 10 tấn204</v>
      </c>
      <c r="D3808" s="630"/>
      <c r="E3808" s="630"/>
      <c r="F3808" s="630"/>
      <c r="G3808" s="630"/>
    </row>
    <row r="3809" spans="1:7" ht="18.75" x14ac:dyDescent="0.25">
      <c r="A3809" s="629" t="s">
        <v>3065</v>
      </c>
      <c r="B3809" s="630">
        <v>205</v>
      </c>
      <c r="C3809" s="631" t="str">
        <f t="shared" si="64"/>
        <v>Ô tô vận tải thùng 10 tấn205</v>
      </c>
      <c r="D3809" s="630"/>
      <c r="E3809" s="630"/>
      <c r="F3809" s="630"/>
      <c r="G3809" s="630"/>
    </row>
    <row r="3810" spans="1:7" ht="18.75" x14ac:dyDescent="0.25">
      <c r="A3810" s="629" t="s">
        <v>3065</v>
      </c>
      <c r="B3810" s="630">
        <v>206</v>
      </c>
      <c r="C3810" s="631" t="str">
        <f t="shared" si="64"/>
        <v>Ô tô vận tải thùng 10 tấn206</v>
      </c>
      <c r="D3810" s="630"/>
      <c r="E3810" s="630"/>
      <c r="F3810" s="630"/>
      <c r="G3810" s="630"/>
    </row>
    <row r="3811" spans="1:7" ht="18.75" x14ac:dyDescent="0.25">
      <c r="A3811" s="629" t="s">
        <v>3065</v>
      </c>
      <c r="B3811" s="630">
        <v>207</v>
      </c>
      <c r="C3811" s="631" t="str">
        <f t="shared" si="64"/>
        <v>Ô tô vận tải thùng 10 tấn207</v>
      </c>
      <c r="D3811" s="630"/>
      <c r="E3811" s="630"/>
      <c r="F3811" s="630"/>
      <c r="G3811" s="630"/>
    </row>
    <row r="3812" spans="1:7" ht="18.75" x14ac:dyDescent="0.25">
      <c r="A3812" s="629" t="s">
        <v>3065</v>
      </c>
      <c r="B3812" s="630">
        <v>208</v>
      </c>
      <c r="C3812" s="631" t="str">
        <f t="shared" si="64"/>
        <v>Ô tô vận tải thùng 10 tấn208</v>
      </c>
      <c r="D3812" s="630"/>
      <c r="E3812" s="630"/>
      <c r="F3812" s="630"/>
      <c r="G3812" s="630"/>
    </row>
    <row r="3813" spans="1:7" ht="18.75" x14ac:dyDescent="0.25">
      <c r="A3813" s="629" t="s">
        <v>3065</v>
      </c>
      <c r="B3813" s="630">
        <v>209</v>
      </c>
      <c r="C3813" s="631" t="str">
        <f t="shared" si="64"/>
        <v>Ô tô vận tải thùng 10 tấn209</v>
      </c>
      <c r="D3813" s="630"/>
      <c r="E3813" s="630"/>
      <c r="F3813" s="630"/>
      <c r="G3813" s="630"/>
    </row>
    <row r="3814" spans="1:7" ht="18.75" x14ac:dyDescent="0.25">
      <c r="A3814" s="629" t="s">
        <v>3065</v>
      </c>
      <c r="B3814" s="630">
        <v>210</v>
      </c>
      <c r="C3814" s="631" t="str">
        <f t="shared" si="64"/>
        <v>Ô tô vận tải thùng 10 tấn210</v>
      </c>
      <c r="D3814" s="630"/>
      <c r="E3814" s="630"/>
      <c r="F3814" s="630"/>
      <c r="G3814" s="630"/>
    </row>
    <row r="3815" spans="1:7" ht="18.75" x14ac:dyDescent="0.25">
      <c r="A3815" s="629" t="s">
        <v>3065</v>
      </c>
      <c r="B3815" s="630">
        <v>211</v>
      </c>
      <c r="C3815" s="631" t="str">
        <f t="shared" si="64"/>
        <v>Ô tô vận tải thùng 10 tấn211</v>
      </c>
      <c r="D3815" s="630"/>
      <c r="E3815" s="630"/>
      <c r="F3815" s="630"/>
      <c r="G3815" s="630"/>
    </row>
    <row r="3816" spans="1:7" ht="18.75" x14ac:dyDescent="0.25">
      <c r="A3816" s="629" t="s">
        <v>3065</v>
      </c>
      <c r="B3816" s="630">
        <v>212</v>
      </c>
      <c r="C3816" s="631" t="str">
        <f t="shared" si="64"/>
        <v>Ô tô vận tải thùng 10 tấn212</v>
      </c>
      <c r="D3816" s="630"/>
      <c r="E3816" s="630"/>
      <c r="F3816" s="630"/>
      <c r="G3816" s="630"/>
    </row>
    <row r="3817" spans="1:7" ht="18.75" x14ac:dyDescent="0.25">
      <c r="A3817" s="629" t="s">
        <v>3065</v>
      </c>
      <c r="B3817" s="630">
        <v>213</v>
      </c>
      <c r="C3817" s="631" t="str">
        <f t="shared" si="64"/>
        <v>Ô tô vận tải thùng 10 tấn213</v>
      </c>
      <c r="D3817" s="630"/>
      <c r="E3817" s="630"/>
      <c r="F3817" s="630"/>
      <c r="G3817" s="630"/>
    </row>
    <row r="3818" spans="1:7" ht="18.75" x14ac:dyDescent="0.25">
      <c r="A3818" s="629" t="s">
        <v>3065</v>
      </c>
      <c r="B3818" s="630">
        <v>214</v>
      </c>
      <c r="C3818" s="631" t="str">
        <f t="shared" si="64"/>
        <v>Ô tô vận tải thùng 10 tấn214</v>
      </c>
      <c r="D3818" s="630"/>
      <c r="E3818" s="630"/>
      <c r="F3818" s="630"/>
      <c r="G3818" s="630"/>
    </row>
    <row r="3819" spans="1:7" ht="18.75" x14ac:dyDescent="0.25">
      <c r="A3819" s="629" t="s">
        <v>3065</v>
      </c>
      <c r="B3819" s="630">
        <v>215</v>
      </c>
      <c r="C3819" s="631" t="str">
        <f t="shared" si="64"/>
        <v>Ô tô vận tải thùng 10 tấn215</v>
      </c>
      <c r="D3819" s="630"/>
      <c r="E3819" s="630"/>
      <c r="F3819" s="630"/>
      <c r="G3819" s="630"/>
    </row>
    <row r="3820" spans="1:7" ht="18.75" x14ac:dyDescent="0.25">
      <c r="A3820" s="629" t="s">
        <v>3065</v>
      </c>
      <c r="B3820" s="630">
        <v>216</v>
      </c>
      <c r="C3820" s="631" t="str">
        <f t="shared" si="64"/>
        <v>Ô tô vận tải thùng 10 tấn216</v>
      </c>
      <c r="D3820" s="630"/>
      <c r="E3820" s="630"/>
      <c r="F3820" s="630"/>
      <c r="G3820" s="630"/>
    </row>
    <row r="3821" spans="1:7" ht="18.75" x14ac:dyDescent="0.25">
      <c r="A3821" s="629" t="s">
        <v>3065</v>
      </c>
      <c r="B3821" s="630">
        <v>217</v>
      </c>
      <c r="C3821" s="631" t="str">
        <f t="shared" si="64"/>
        <v>Ô tô vận tải thùng 10 tấn217</v>
      </c>
      <c r="D3821" s="630"/>
      <c r="E3821" s="630"/>
      <c r="F3821" s="630"/>
      <c r="G3821" s="630"/>
    </row>
    <row r="3822" spans="1:7" ht="18.75" x14ac:dyDescent="0.25">
      <c r="A3822" s="629" t="s">
        <v>3065</v>
      </c>
      <c r="B3822" s="630">
        <v>218</v>
      </c>
      <c r="C3822" s="631" t="str">
        <f t="shared" si="64"/>
        <v>Ô tô vận tải thùng 10 tấn218</v>
      </c>
      <c r="D3822" s="630"/>
      <c r="E3822" s="630"/>
      <c r="F3822" s="630"/>
      <c r="G3822" s="630"/>
    </row>
    <row r="3823" spans="1:7" ht="18.75" x14ac:dyDescent="0.25">
      <c r="A3823" s="629" t="s">
        <v>3065</v>
      </c>
      <c r="B3823" s="630">
        <v>219</v>
      </c>
      <c r="C3823" s="631" t="str">
        <f t="shared" si="64"/>
        <v>Ô tô vận tải thùng 10 tấn219</v>
      </c>
      <c r="D3823" s="630"/>
      <c r="E3823" s="630"/>
      <c r="F3823" s="630"/>
      <c r="G3823" s="630"/>
    </row>
    <row r="3824" spans="1:7" ht="18.75" x14ac:dyDescent="0.25">
      <c r="A3824" s="629" t="s">
        <v>3065</v>
      </c>
      <c r="B3824" s="630">
        <v>220</v>
      </c>
      <c r="C3824" s="631" t="str">
        <f t="shared" si="64"/>
        <v>Ô tô vận tải thùng 10 tấn220</v>
      </c>
      <c r="D3824" s="630"/>
      <c r="E3824" s="630"/>
      <c r="F3824" s="630"/>
      <c r="G3824" s="630"/>
    </row>
    <row r="3825" spans="1:7" ht="18.75" x14ac:dyDescent="0.25">
      <c r="A3825" s="629" t="s">
        <v>3065</v>
      </c>
      <c r="B3825" s="630">
        <v>221</v>
      </c>
      <c r="C3825" s="631" t="str">
        <f t="shared" si="64"/>
        <v>Ô tô vận tải thùng 10 tấn221</v>
      </c>
      <c r="D3825" s="630"/>
      <c r="E3825" s="630"/>
      <c r="F3825" s="630"/>
      <c r="G3825" s="630"/>
    </row>
    <row r="3826" spans="1:7" ht="18.75" x14ac:dyDescent="0.25">
      <c r="A3826" s="629" t="s">
        <v>3065</v>
      </c>
      <c r="B3826" s="630">
        <v>222</v>
      </c>
      <c r="C3826" s="631" t="str">
        <f t="shared" si="64"/>
        <v>Ô tô vận tải thùng 10 tấn222</v>
      </c>
      <c r="D3826" s="630"/>
      <c r="E3826" s="630"/>
      <c r="F3826" s="630"/>
      <c r="G3826" s="630"/>
    </row>
    <row r="3827" spans="1:7" ht="18.75" x14ac:dyDescent="0.25">
      <c r="A3827" s="629" t="s">
        <v>3065</v>
      </c>
      <c r="B3827" s="630">
        <v>223</v>
      </c>
      <c r="C3827" s="631" t="str">
        <f t="shared" si="64"/>
        <v>Ô tô vận tải thùng 10 tấn223</v>
      </c>
      <c r="D3827" s="630"/>
      <c r="E3827" s="630"/>
      <c r="F3827" s="630"/>
      <c r="G3827" s="630"/>
    </row>
    <row r="3828" spans="1:7" ht="18.75" x14ac:dyDescent="0.25">
      <c r="A3828" s="629" t="s">
        <v>3065</v>
      </c>
      <c r="B3828" s="630">
        <v>224</v>
      </c>
      <c r="C3828" s="631" t="str">
        <f t="shared" si="64"/>
        <v>Ô tô vận tải thùng 10 tấn224</v>
      </c>
      <c r="D3828" s="630"/>
      <c r="E3828" s="630"/>
      <c r="F3828" s="630"/>
      <c r="G3828" s="630"/>
    </row>
    <row r="3829" spans="1:7" ht="18.75" x14ac:dyDescent="0.25">
      <c r="A3829" s="629" t="s">
        <v>3065</v>
      </c>
      <c r="B3829" s="630">
        <v>225</v>
      </c>
      <c r="C3829" s="631" t="str">
        <f t="shared" si="64"/>
        <v>Ô tô vận tải thùng 10 tấn225</v>
      </c>
      <c r="D3829" s="630"/>
      <c r="E3829" s="630"/>
      <c r="F3829" s="630"/>
      <c r="G3829" s="630"/>
    </row>
    <row r="3830" spans="1:7" ht="18.75" x14ac:dyDescent="0.25">
      <c r="A3830" s="629" t="s">
        <v>3065</v>
      </c>
      <c r="B3830" s="630">
        <v>226</v>
      </c>
      <c r="C3830" s="631" t="str">
        <f t="shared" si="64"/>
        <v>Ô tô vận tải thùng 10 tấn226</v>
      </c>
      <c r="D3830" s="630"/>
      <c r="E3830" s="630"/>
      <c r="F3830" s="630"/>
      <c r="G3830" s="630"/>
    </row>
    <row r="3831" spans="1:7" ht="18.75" x14ac:dyDescent="0.25">
      <c r="A3831" s="629" t="s">
        <v>3065</v>
      </c>
      <c r="B3831" s="630">
        <v>227</v>
      </c>
      <c r="C3831" s="631" t="str">
        <f t="shared" si="64"/>
        <v>Ô tô vận tải thùng 10 tấn227</v>
      </c>
      <c r="D3831" s="630"/>
      <c r="E3831" s="630"/>
      <c r="F3831" s="630"/>
      <c r="G3831" s="630"/>
    </row>
    <row r="3832" spans="1:7" ht="18.75" x14ac:dyDescent="0.25">
      <c r="A3832" s="629" t="s">
        <v>3065</v>
      </c>
      <c r="B3832" s="630">
        <v>228</v>
      </c>
      <c r="C3832" s="631" t="str">
        <f t="shared" si="64"/>
        <v>Ô tô vận tải thùng 10 tấn228</v>
      </c>
      <c r="D3832" s="630"/>
      <c r="E3832" s="630"/>
      <c r="F3832" s="630"/>
      <c r="G3832" s="630"/>
    </row>
    <row r="3833" spans="1:7" ht="18.75" x14ac:dyDescent="0.25">
      <c r="A3833" s="629" t="s">
        <v>3065</v>
      </c>
      <c r="B3833" s="630">
        <v>229</v>
      </c>
      <c r="C3833" s="631" t="str">
        <f t="shared" si="64"/>
        <v>Ô tô vận tải thùng 10 tấn229</v>
      </c>
      <c r="D3833" s="630"/>
      <c r="E3833" s="630"/>
      <c r="F3833" s="630"/>
      <c r="G3833" s="630"/>
    </row>
    <row r="3834" spans="1:7" ht="18.75" x14ac:dyDescent="0.25">
      <c r="A3834" s="629" t="s">
        <v>3065</v>
      </c>
      <c r="B3834" s="630">
        <v>230</v>
      </c>
      <c r="C3834" s="631" t="str">
        <f t="shared" si="64"/>
        <v>Ô tô vận tải thùng 10 tấn230</v>
      </c>
      <c r="D3834" s="630"/>
      <c r="E3834" s="630"/>
      <c r="F3834" s="630"/>
      <c r="G3834" s="630"/>
    </row>
    <row r="3835" spans="1:7" ht="18.75" x14ac:dyDescent="0.25">
      <c r="A3835" s="629" t="s">
        <v>3065</v>
      </c>
      <c r="B3835" s="630">
        <v>231</v>
      </c>
      <c r="C3835" s="631" t="str">
        <f t="shared" si="64"/>
        <v>Ô tô vận tải thùng 10 tấn231</v>
      </c>
      <c r="D3835" s="630"/>
      <c r="E3835" s="630"/>
      <c r="F3835" s="630"/>
      <c r="G3835" s="630"/>
    </row>
    <row r="3836" spans="1:7" ht="18.75" x14ac:dyDescent="0.25">
      <c r="A3836" s="629" t="s">
        <v>3065</v>
      </c>
      <c r="B3836" s="630">
        <v>232</v>
      </c>
      <c r="C3836" s="631" t="str">
        <f t="shared" si="64"/>
        <v>Ô tô vận tải thùng 10 tấn232</v>
      </c>
      <c r="D3836" s="630"/>
      <c r="E3836" s="630"/>
      <c r="F3836" s="630"/>
      <c r="G3836" s="630"/>
    </row>
    <row r="3837" spans="1:7" ht="18.75" x14ac:dyDescent="0.25">
      <c r="A3837" s="629" t="s">
        <v>3065</v>
      </c>
      <c r="B3837" s="630">
        <v>233</v>
      </c>
      <c r="C3837" s="631" t="str">
        <f t="shared" si="64"/>
        <v>Ô tô vận tải thùng 10 tấn233</v>
      </c>
      <c r="D3837" s="630"/>
      <c r="E3837" s="630"/>
      <c r="F3837" s="630"/>
      <c r="G3837" s="630"/>
    </row>
    <row r="3838" spans="1:7" ht="18.75" x14ac:dyDescent="0.25">
      <c r="A3838" s="629" t="s">
        <v>3065</v>
      </c>
      <c r="B3838" s="630">
        <v>234</v>
      </c>
      <c r="C3838" s="631" t="str">
        <f t="shared" si="64"/>
        <v>Ô tô vận tải thùng 10 tấn234</v>
      </c>
      <c r="D3838" s="630"/>
      <c r="E3838" s="630"/>
      <c r="F3838" s="630"/>
      <c r="G3838" s="630"/>
    </row>
    <row r="3839" spans="1:7" ht="18.75" x14ac:dyDescent="0.25">
      <c r="A3839" s="629" t="s">
        <v>3065</v>
      </c>
      <c r="B3839" s="630">
        <v>235</v>
      </c>
      <c r="C3839" s="631" t="str">
        <f t="shared" si="64"/>
        <v>Ô tô vận tải thùng 10 tấn235</v>
      </c>
      <c r="D3839" s="630"/>
      <c r="E3839" s="630"/>
      <c r="F3839" s="630"/>
      <c r="G3839" s="630"/>
    </row>
    <row r="3840" spans="1:7" ht="18.75" x14ac:dyDescent="0.25">
      <c r="A3840" s="629" t="s">
        <v>3065</v>
      </c>
      <c r="B3840" s="630">
        <v>236</v>
      </c>
      <c r="C3840" s="631" t="str">
        <f t="shared" si="64"/>
        <v>Ô tô vận tải thùng 10 tấn236</v>
      </c>
      <c r="D3840" s="630"/>
      <c r="E3840" s="630"/>
      <c r="F3840" s="630"/>
      <c r="G3840" s="630"/>
    </row>
    <row r="3841" spans="1:7" ht="18.75" x14ac:dyDescent="0.25">
      <c r="A3841" s="629" t="s">
        <v>3065</v>
      </c>
      <c r="B3841" s="630">
        <v>237</v>
      </c>
      <c r="C3841" s="631" t="str">
        <f t="shared" si="64"/>
        <v>Ô tô vận tải thùng 10 tấn237</v>
      </c>
      <c r="D3841" s="630"/>
      <c r="E3841" s="630"/>
      <c r="F3841" s="630"/>
      <c r="G3841" s="630"/>
    </row>
    <row r="3842" spans="1:7" ht="18.75" x14ac:dyDescent="0.25">
      <c r="A3842" s="629" t="s">
        <v>3065</v>
      </c>
      <c r="B3842" s="630">
        <v>238</v>
      </c>
      <c r="C3842" s="631" t="str">
        <f t="shared" si="64"/>
        <v>Ô tô vận tải thùng 10 tấn238</v>
      </c>
      <c r="D3842" s="630"/>
      <c r="E3842" s="630"/>
      <c r="F3842" s="630"/>
      <c r="G3842" s="630"/>
    </row>
    <row r="3843" spans="1:7" ht="18.75" x14ac:dyDescent="0.25">
      <c r="A3843" s="629" t="s">
        <v>3065</v>
      </c>
      <c r="B3843" s="630">
        <v>239</v>
      </c>
      <c r="C3843" s="631" t="str">
        <f t="shared" si="64"/>
        <v>Ô tô vận tải thùng 10 tấn239</v>
      </c>
      <c r="D3843" s="630"/>
      <c r="E3843" s="630"/>
      <c r="F3843" s="630"/>
      <c r="G3843" s="630"/>
    </row>
    <row r="3844" spans="1:7" ht="18.75" x14ac:dyDescent="0.25">
      <c r="A3844" s="629" t="s">
        <v>3065</v>
      </c>
      <c r="B3844" s="630">
        <v>240</v>
      </c>
      <c r="C3844" s="631" t="str">
        <f t="shared" si="64"/>
        <v>Ô tô vận tải thùng 10 tấn240</v>
      </c>
      <c r="D3844" s="630"/>
      <c r="E3844" s="630"/>
      <c r="F3844" s="630"/>
      <c r="G3844" s="630"/>
    </row>
    <row r="3845" spans="1:7" ht="18.75" x14ac:dyDescent="0.25">
      <c r="A3845" s="629" t="s">
        <v>3065</v>
      </c>
      <c r="B3845" s="630">
        <v>241</v>
      </c>
      <c r="C3845" s="631" t="str">
        <f t="shared" si="64"/>
        <v>Ô tô vận tải thùng 10 tấn241</v>
      </c>
      <c r="D3845" s="630"/>
      <c r="E3845" s="630"/>
      <c r="F3845" s="630"/>
      <c r="G3845" s="630"/>
    </row>
    <row r="3846" spans="1:7" ht="18.75" x14ac:dyDescent="0.25">
      <c r="A3846" s="629" t="s">
        <v>3065</v>
      </c>
      <c r="B3846" s="630">
        <v>242</v>
      </c>
      <c r="C3846" s="631" t="str">
        <f t="shared" si="64"/>
        <v>Ô tô vận tải thùng 10 tấn242</v>
      </c>
      <c r="D3846" s="630"/>
      <c r="E3846" s="630"/>
      <c r="F3846" s="630"/>
      <c r="G3846" s="630"/>
    </row>
    <row r="3847" spans="1:7" ht="18.75" x14ac:dyDescent="0.25">
      <c r="A3847" s="629" t="s">
        <v>3065</v>
      </c>
      <c r="B3847" s="630">
        <v>243</v>
      </c>
      <c r="C3847" s="631" t="str">
        <f t="shared" si="64"/>
        <v>Ô tô vận tải thùng 10 tấn243</v>
      </c>
      <c r="D3847" s="630"/>
      <c r="E3847" s="630"/>
      <c r="F3847" s="630"/>
      <c r="G3847" s="630"/>
    </row>
    <row r="3848" spans="1:7" ht="18.75" x14ac:dyDescent="0.25">
      <c r="A3848" s="629" t="s">
        <v>3065</v>
      </c>
      <c r="B3848" s="630">
        <v>244</v>
      </c>
      <c r="C3848" s="631" t="str">
        <f t="shared" si="64"/>
        <v>Ô tô vận tải thùng 10 tấn244</v>
      </c>
      <c r="D3848" s="630"/>
      <c r="E3848" s="630"/>
      <c r="F3848" s="630"/>
      <c r="G3848" s="630"/>
    </row>
    <row r="3849" spans="1:7" ht="18.75" x14ac:dyDescent="0.25">
      <c r="A3849" s="629" t="s">
        <v>3065</v>
      </c>
      <c r="B3849" s="630">
        <v>245</v>
      </c>
      <c r="C3849" s="631" t="str">
        <f t="shared" si="64"/>
        <v>Ô tô vận tải thùng 10 tấn245</v>
      </c>
      <c r="D3849" s="630"/>
      <c r="E3849" s="630"/>
      <c r="F3849" s="630"/>
      <c r="G3849" s="630"/>
    </row>
    <row r="3850" spans="1:7" ht="18.75" x14ac:dyDescent="0.25">
      <c r="A3850" s="629" t="s">
        <v>3065</v>
      </c>
      <c r="B3850" s="630">
        <v>246</v>
      </c>
      <c r="C3850" s="631" t="str">
        <f t="shared" si="64"/>
        <v>Ô tô vận tải thùng 10 tấn246</v>
      </c>
      <c r="D3850" s="630"/>
      <c r="E3850" s="630"/>
      <c r="F3850" s="630"/>
      <c r="G3850" s="630"/>
    </row>
    <row r="3851" spans="1:7" ht="18.75" x14ac:dyDescent="0.25">
      <c r="A3851" s="629" t="s">
        <v>3065</v>
      </c>
      <c r="B3851" s="630">
        <v>247</v>
      </c>
      <c r="C3851" s="631" t="str">
        <f t="shared" si="64"/>
        <v>Ô tô vận tải thùng 10 tấn247</v>
      </c>
      <c r="D3851" s="630"/>
      <c r="E3851" s="630"/>
      <c r="F3851" s="630"/>
      <c r="G3851" s="630"/>
    </row>
    <row r="3852" spans="1:7" ht="18.75" x14ac:dyDescent="0.25">
      <c r="A3852" s="629" t="s">
        <v>3065</v>
      </c>
      <c r="B3852" s="630">
        <v>248</v>
      </c>
      <c r="C3852" s="631" t="str">
        <f t="shared" si="64"/>
        <v>Ô tô vận tải thùng 10 tấn248</v>
      </c>
      <c r="D3852" s="630"/>
      <c r="E3852" s="630"/>
      <c r="F3852" s="630"/>
      <c r="G3852" s="630"/>
    </row>
    <row r="3853" spans="1:7" ht="18.75" x14ac:dyDescent="0.25">
      <c r="A3853" s="629" t="s">
        <v>3065</v>
      </c>
      <c r="B3853" s="630">
        <v>249</v>
      </c>
      <c r="C3853" s="631" t="str">
        <f t="shared" si="64"/>
        <v>Ô tô vận tải thùng 10 tấn249</v>
      </c>
      <c r="D3853" s="630"/>
      <c r="E3853" s="630"/>
      <c r="F3853" s="630"/>
      <c r="G3853" s="630"/>
    </row>
    <row r="3854" spans="1:7" ht="18.75" x14ac:dyDescent="0.25">
      <c r="A3854" s="629" t="s">
        <v>3065</v>
      </c>
      <c r="B3854" s="630">
        <v>250</v>
      </c>
      <c r="C3854" s="631" t="str">
        <f t="shared" si="64"/>
        <v>Ô tô vận tải thùng 10 tấn250</v>
      </c>
      <c r="D3854" s="630"/>
      <c r="E3854" s="630"/>
      <c r="F3854" s="630"/>
      <c r="G3854" s="630"/>
    </row>
    <row r="3855" spans="1:7" ht="18.75" x14ac:dyDescent="0.25">
      <c r="A3855" s="629" t="s">
        <v>3065</v>
      </c>
      <c r="B3855" s="630">
        <v>251</v>
      </c>
      <c r="C3855" s="631" t="str">
        <f t="shared" si="64"/>
        <v>Ô tô vận tải thùng 10 tấn251</v>
      </c>
      <c r="D3855" s="630"/>
      <c r="E3855" s="630"/>
      <c r="F3855" s="630"/>
      <c r="G3855" s="630"/>
    </row>
    <row r="3856" spans="1:7" ht="18.75" x14ac:dyDescent="0.25">
      <c r="A3856" s="629" t="s">
        <v>3065</v>
      </c>
      <c r="B3856" s="630">
        <v>252</v>
      </c>
      <c r="C3856" s="631" t="str">
        <f t="shared" si="64"/>
        <v>Ô tô vận tải thùng 10 tấn252</v>
      </c>
      <c r="D3856" s="630"/>
      <c r="E3856" s="630"/>
      <c r="F3856" s="630"/>
      <c r="G3856" s="630"/>
    </row>
    <row r="3857" spans="1:7" ht="18.75" x14ac:dyDescent="0.25">
      <c r="A3857" s="629" t="s">
        <v>3065</v>
      </c>
      <c r="B3857" s="630">
        <v>253</v>
      </c>
      <c r="C3857" s="631" t="str">
        <f t="shared" si="64"/>
        <v>Ô tô vận tải thùng 10 tấn253</v>
      </c>
      <c r="D3857" s="630"/>
      <c r="E3857" s="630"/>
      <c r="F3857" s="630"/>
      <c r="G3857" s="630"/>
    </row>
    <row r="3858" spans="1:7" ht="18.75" x14ac:dyDescent="0.25">
      <c r="A3858" s="629" t="s">
        <v>3065</v>
      </c>
      <c r="B3858" s="630">
        <v>254</v>
      </c>
      <c r="C3858" s="631" t="str">
        <f t="shared" si="64"/>
        <v>Ô tô vận tải thùng 10 tấn254</v>
      </c>
      <c r="D3858" s="630"/>
      <c r="E3858" s="630"/>
      <c r="F3858" s="630"/>
      <c r="G3858" s="630"/>
    </row>
    <row r="3859" spans="1:7" ht="18.75" x14ac:dyDescent="0.25">
      <c r="A3859" s="629" t="s">
        <v>3065</v>
      </c>
      <c r="B3859" s="630">
        <v>255</v>
      </c>
      <c r="C3859" s="631" t="str">
        <f t="shared" si="64"/>
        <v>Ô tô vận tải thùng 10 tấn255</v>
      </c>
      <c r="D3859" s="630"/>
      <c r="E3859" s="630"/>
      <c r="F3859" s="630"/>
      <c r="G3859" s="630"/>
    </row>
    <row r="3860" spans="1:7" ht="18.75" x14ac:dyDescent="0.25">
      <c r="A3860" s="629" t="s">
        <v>3065</v>
      </c>
      <c r="B3860" s="630">
        <v>256</v>
      </c>
      <c r="C3860" s="631" t="str">
        <f t="shared" si="64"/>
        <v>Ô tô vận tải thùng 10 tấn256</v>
      </c>
      <c r="D3860" s="630"/>
      <c r="E3860" s="630"/>
      <c r="F3860" s="630"/>
      <c r="G3860" s="630"/>
    </row>
    <row r="3861" spans="1:7" ht="18.75" x14ac:dyDescent="0.25">
      <c r="A3861" s="629" t="s">
        <v>3065</v>
      </c>
      <c r="B3861" s="630">
        <v>257</v>
      </c>
      <c r="C3861" s="631" t="str">
        <f t="shared" si="64"/>
        <v>Ô tô vận tải thùng 10 tấn257</v>
      </c>
      <c r="D3861" s="630"/>
      <c r="E3861" s="630"/>
      <c r="F3861" s="630"/>
      <c r="G3861" s="630"/>
    </row>
    <row r="3862" spans="1:7" ht="18.75" x14ac:dyDescent="0.25">
      <c r="A3862" s="629" t="s">
        <v>3065</v>
      </c>
      <c r="B3862" s="630">
        <v>258</v>
      </c>
      <c r="C3862" s="631" t="str">
        <f t="shared" ref="C3862:C3925" si="65">A3862&amp;B3862</f>
        <v>Ô tô vận tải thùng 10 tấn258</v>
      </c>
      <c r="D3862" s="630"/>
      <c r="E3862" s="630"/>
      <c r="F3862" s="630"/>
      <c r="G3862" s="630"/>
    </row>
    <row r="3863" spans="1:7" ht="18.75" x14ac:dyDescent="0.25">
      <c r="A3863" s="629" t="s">
        <v>3065</v>
      </c>
      <c r="B3863" s="630">
        <v>259</v>
      </c>
      <c r="C3863" s="631" t="str">
        <f t="shared" si="65"/>
        <v>Ô tô vận tải thùng 10 tấn259</v>
      </c>
      <c r="D3863" s="630"/>
      <c r="E3863" s="630"/>
      <c r="F3863" s="630"/>
      <c r="G3863" s="630"/>
    </row>
    <row r="3864" spans="1:7" ht="18.75" x14ac:dyDescent="0.25">
      <c r="A3864" s="629" t="s">
        <v>3065</v>
      </c>
      <c r="B3864" s="630">
        <v>260</v>
      </c>
      <c r="C3864" s="631" t="str">
        <f t="shared" si="65"/>
        <v>Ô tô vận tải thùng 10 tấn260</v>
      </c>
      <c r="D3864" s="630"/>
      <c r="E3864" s="630"/>
      <c r="F3864" s="630"/>
      <c r="G3864" s="630"/>
    </row>
    <row r="3865" spans="1:7" ht="18.75" x14ac:dyDescent="0.25">
      <c r="A3865" s="629" t="s">
        <v>3065</v>
      </c>
      <c r="B3865" s="630">
        <v>261</v>
      </c>
      <c r="C3865" s="631" t="str">
        <f t="shared" si="65"/>
        <v>Ô tô vận tải thùng 10 tấn261</v>
      </c>
      <c r="D3865" s="630"/>
      <c r="E3865" s="630"/>
      <c r="F3865" s="630"/>
      <c r="G3865" s="630"/>
    </row>
    <row r="3866" spans="1:7" ht="18.75" x14ac:dyDescent="0.25">
      <c r="A3866" s="629" t="s">
        <v>3065</v>
      </c>
      <c r="B3866" s="630">
        <v>262</v>
      </c>
      <c r="C3866" s="631" t="str">
        <f t="shared" si="65"/>
        <v>Ô tô vận tải thùng 10 tấn262</v>
      </c>
      <c r="D3866" s="630"/>
      <c r="E3866" s="630"/>
      <c r="F3866" s="630"/>
      <c r="G3866" s="630"/>
    </row>
    <row r="3867" spans="1:7" ht="18.75" x14ac:dyDescent="0.25">
      <c r="A3867" s="629" t="s">
        <v>3065</v>
      </c>
      <c r="B3867" s="630">
        <v>263</v>
      </c>
      <c r="C3867" s="631" t="str">
        <f t="shared" si="65"/>
        <v>Ô tô vận tải thùng 10 tấn263</v>
      </c>
      <c r="D3867" s="630"/>
      <c r="E3867" s="630"/>
      <c r="F3867" s="630"/>
      <c r="G3867" s="630"/>
    </row>
    <row r="3868" spans="1:7" ht="18.75" x14ac:dyDescent="0.25">
      <c r="A3868" s="629" t="s">
        <v>3065</v>
      </c>
      <c r="B3868" s="630">
        <v>264</v>
      </c>
      <c r="C3868" s="631" t="str">
        <f t="shared" si="65"/>
        <v>Ô tô vận tải thùng 10 tấn264</v>
      </c>
      <c r="D3868" s="630"/>
      <c r="E3868" s="630"/>
      <c r="F3868" s="630"/>
      <c r="G3868" s="630"/>
    </row>
    <row r="3869" spans="1:7" ht="18.75" x14ac:dyDescent="0.25">
      <c r="A3869" s="629" t="s">
        <v>3065</v>
      </c>
      <c r="B3869" s="630">
        <v>265</v>
      </c>
      <c r="C3869" s="631" t="str">
        <f t="shared" si="65"/>
        <v>Ô tô vận tải thùng 10 tấn265</v>
      </c>
      <c r="D3869" s="630"/>
      <c r="E3869" s="630"/>
      <c r="F3869" s="630"/>
      <c r="G3869" s="630"/>
    </row>
    <row r="3870" spans="1:7" ht="18.75" x14ac:dyDescent="0.25">
      <c r="A3870" s="629" t="s">
        <v>3065</v>
      </c>
      <c r="B3870" s="630">
        <v>266</v>
      </c>
      <c r="C3870" s="631" t="str">
        <f t="shared" si="65"/>
        <v>Ô tô vận tải thùng 10 tấn266</v>
      </c>
      <c r="D3870" s="630"/>
      <c r="E3870" s="630"/>
      <c r="F3870" s="630"/>
      <c r="G3870" s="630"/>
    </row>
    <row r="3871" spans="1:7" ht="18.75" x14ac:dyDescent="0.25">
      <c r="A3871" s="629" t="s">
        <v>3065</v>
      </c>
      <c r="B3871" s="630">
        <v>267</v>
      </c>
      <c r="C3871" s="631" t="str">
        <f t="shared" si="65"/>
        <v>Ô tô vận tải thùng 10 tấn267</v>
      </c>
      <c r="D3871" s="630"/>
      <c r="E3871" s="630"/>
      <c r="F3871" s="630"/>
      <c r="G3871" s="630"/>
    </row>
    <row r="3872" spans="1:7" ht="18.75" x14ac:dyDescent="0.25">
      <c r="A3872" s="629" t="s">
        <v>3065</v>
      </c>
      <c r="B3872" s="630">
        <v>268</v>
      </c>
      <c r="C3872" s="631" t="str">
        <f t="shared" si="65"/>
        <v>Ô tô vận tải thùng 10 tấn268</v>
      </c>
      <c r="D3872" s="630"/>
      <c r="E3872" s="630"/>
      <c r="F3872" s="630"/>
      <c r="G3872" s="630"/>
    </row>
    <row r="3873" spans="1:7" ht="18.75" x14ac:dyDescent="0.25">
      <c r="A3873" s="629" t="s">
        <v>3065</v>
      </c>
      <c r="B3873" s="630">
        <v>269</v>
      </c>
      <c r="C3873" s="631" t="str">
        <f t="shared" si="65"/>
        <v>Ô tô vận tải thùng 10 tấn269</v>
      </c>
      <c r="D3873" s="630"/>
      <c r="E3873" s="630"/>
      <c r="F3873" s="630"/>
      <c r="G3873" s="630"/>
    </row>
    <row r="3874" spans="1:7" ht="18.75" x14ac:dyDescent="0.25">
      <c r="A3874" s="629" t="s">
        <v>3065</v>
      </c>
      <c r="B3874" s="630">
        <v>270</v>
      </c>
      <c r="C3874" s="631" t="str">
        <f t="shared" si="65"/>
        <v>Ô tô vận tải thùng 10 tấn270</v>
      </c>
      <c r="D3874" s="630"/>
      <c r="E3874" s="630"/>
      <c r="F3874" s="630"/>
      <c r="G3874" s="630"/>
    </row>
    <row r="3875" spans="1:7" ht="18.75" x14ac:dyDescent="0.25">
      <c r="A3875" s="629" t="s">
        <v>3065</v>
      </c>
      <c r="B3875" s="630">
        <v>271</v>
      </c>
      <c r="C3875" s="631" t="str">
        <f t="shared" si="65"/>
        <v>Ô tô vận tải thùng 10 tấn271</v>
      </c>
      <c r="D3875" s="630"/>
      <c r="E3875" s="630"/>
      <c r="F3875" s="630"/>
      <c r="G3875" s="630"/>
    </row>
    <row r="3876" spans="1:7" ht="18.75" x14ac:dyDescent="0.25">
      <c r="A3876" s="629" t="s">
        <v>3065</v>
      </c>
      <c r="B3876" s="630">
        <v>272</v>
      </c>
      <c r="C3876" s="631" t="str">
        <f t="shared" si="65"/>
        <v>Ô tô vận tải thùng 10 tấn272</v>
      </c>
      <c r="D3876" s="630"/>
      <c r="E3876" s="630"/>
      <c r="F3876" s="630"/>
      <c r="G3876" s="630"/>
    </row>
    <row r="3877" spans="1:7" ht="18.75" x14ac:dyDescent="0.25">
      <c r="A3877" s="629" t="s">
        <v>3065</v>
      </c>
      <c r="B3877" s="630">
        <v>273</v>
      </c>
      <c r="C3877" s="631" t="str">
        <f t="shared" si="65"/>
        <v>Ô tô vận tải thùng 10 tấn273</v>
      </c>
      <c r="D3877" s="630"/>
      <c r="E3877" s="630"/>
      <c r="F3877" s="630"/>
      <c r="G3877" s="630"/>
    </row>
    <row r="3878" spans="1:7" ht="18.75" x14ac:dyDescent="0.25">
      <c r="A3878" s="629" t="s">
        <v>3065</v>
      </c>
      <c r="B3878" s="630">
        <v>274</v>
      </c>
      <c r="C3878" s="631" t="str">
        <f t="shared" si="65"/>
        <v>Ô tô vận tải thùng 10 tấn274</v>
      </c>
      <c r="D3878" s="630"/>
      <c r="E3878" s="630"/>
      <c r="F3878" s="630"/>
      <c r="G3878" s="630"/>
    </row>
    <row r="3879" spans="1:7" ht="18.75" x14ac:dyDescent="0.25">
      <c r="A3879" s="629" t="s">
        <v>3065</v>
      </c>
      <c r="B3879" s="630">
        <v>275</v>
      </c>
      <c r="C3879" s="631" t="str">
        <f t="shared" si="65"/>
        <v>Ô tô vận tải thùng 10 tấn275</v>
      </c>
      <c r="D3879" s="630"/>
      <c r="E3879" s="630"/>
      <c r="F3879" s="630"/>
      <c r="G3879" s="630"/>
    </row>
    <row r="3880" spans="1:7" ht="18.75" x14ac:dyDescent="0.25">
      <c r="A3880" s="629" t="s">
        <v>3065</v>
      </c>
      <c r="B3880" s="630">
        <v>276</v>
      </c>
      <c r="C3880" s="631" t="str">
        <f t="shared" si="65"/>
        <v>Ô tô vận tải thùng 10 tấn276</v>
      </c>
      <c r="D3880" s="630"/>
      <c r="E3880" s="630"/>
      <c r="F3880" s="630"/>
      <c r="G3880" s="630"/>
    </row>
    <row r="3881" spans="1:7" ht="18.75" x14ac:dyDescent="0.25">
      <c r="A3881" s="629" t="s">
        <v>3065</v>
      </c>
      <c r="B3881" s="630">
        <v>277</v>
      </c>
      <c r="C3881" s="631" t="str">
        <f t="shared" si="65"/>
        <v>Ô tô vận tải thùng 10 tấn277</v>
      </c>
      <c r="D3881" s="630"/>
      <c r="E3881" s="630"/>
      <c r="F3881" s="630"/>
      <c r="G3881" s="630"/>
    </row>
    <row r="3882" spans="1:7" ht="18.75" x14ac:dyDescent="0.25">
      <c r="A3882" s="629" t="s">
        <v>3065</v>
      </c>
      <c r="B3882" s="630">
        <v>278</v>
      </c>
      <c r="C3882" s="631" t="str">
        <f t="shared" si="65"/>
        <v>Ô tô vận tải thùng 10 tấn278</v>
      </c>
      <c r="D3882" s="630"/>
      <c r="E3882" s="630"/>
      <c r="F3882" s="630"/>
      <c r="G3882" s="630"/>
    </row>
    <row r="3883" spans="1:7" ht="18.75" x14ac:dyDescent="0.25">
      <c r="A3883" s="629" t="s">
        <v>3065</v>
      </c>
      <c r="B3883" s="630">
        <v>279</v>
      </c>
      <c r="C3883" s="631" t="str">
        <f t="shared" si="65"/>
        <v>Ô tô vận tải thùng 10 tấn279</v>
      </c>
      <c r="D3883" s="630"/>
      <c r="E3883" s="630"/>
      <c r="F3883" s="630"/>
      <c r="G3883" s="630"/>
    </row>
    <row r="3884" spans="1:7" ht="18.75" x14ac:dyDescent="0.25">
      <c r="A3884" s="629" t="s">
        <v>3065</v>
      </c>
      <c r="B3884" s="630">
        <v>280</v>
      </c>
      <c r="C3884" s="631" t="str">
        <f t="shared" si="65"/>
        <v>Ô tô vận tải thùng 10 tấn280</v>
      </c>
      <c r="D3884" s="630"/>
      <c r="E3884" s="630"/>
      <c r="F3884" s="630"/>
      <c r="G3884" s="630"/>
    </row>
    <row r="3885" spans="1:7" ht="18.75" x14ac:dyDescent="0.25">
      <c r="A3885" s="629" t="s">
        <v>3065</v>
      </c>
      <c r="B3885" s="630">
        <v>281</v>
      </c>
      <c r="C3885" s="631" t="str">
        <f t="shared" si="65"/>
        <v>Ô tô vận tải thùng 10 tấn281</v>
      </c>
      <c r="D3885" s="630"/>
      <c r="E3885" s="630"/>
      <c r="F3885" s="630"/>
      <c r="G3885" s="630"/>
    </row>
    <row r="3886" spans="1:7" ht="18.75" x14ac:dyDescent="0.25">
      <c r="A3886" s="629" t="s">
        <v>3065</v>
      </c>
      <c r="B3886" s="630">
        <v>282</v>
      </c>
      <c r="C3886" s="631" t="str">
        <f t="shared" si="65"/>
        <v>Ô tô vận tải thùng 10 tấn282</v>
      </c>
      <c r="D3886" s="630"/>
      <c r="E3886" s="630"/>
      <c r="F3886" s="630"/>
      <c r="G3886" s="630"/>
    </row>
    <row r="3887" spans="1:7" ht="18.75" x14ac:dyDescent="0.25">
      <c r="A3887" s="629" t="s">
        <v>3065</v>
      </c>
      <c r="B3887" s="630">
        <v>283</v>
      </c>
      <c r="C3887" s="631" t="str">
        <f t="shared" si="65"/>
        <v>Ô tô vận tải thùng 10 tấn283</v>
      </c>
      <c r="D3887" s="630"/>
      <c r="E3887" s="630"/>
      <c r="F3887" s="630"/>
      <c r="G3887" s="630"/>
    </row>
    <row r="3888" spans="1:7" ht="18.75" x14ac:dyDescent="0.25">
      <c r="A3888" s="629" t="s">
        <v>3065</v>
      </c>
      <c r="B3888" s="630">
        <v>284</v>
      </c>
      <c r="C3888" s="631" t="str">
        <f t="shared" si="65"/>
        <v>Ô tô vận tải thùng 10 tấn284</v>
      </c>
      <c r="D3888" s="630"/>
      <c r="E3888" s="630"/>
      <c r="F3888" s="630"/>
      <c r="G3888" s="630"/>
    </row>
    <row r="3889" spans="1:7" ht="18.75" x14ac:dyDescent="0.25">
      <c r="A3889" s="629" t="s">
        <v>3065</v>
      </c>
      <c r="B3889" s="630">
        <v>285</v>
      </c>
      <c r="C3889" s="631" t="str">
        <f t="shared" si="65"/>
        <v>Ô tô vận tải thùng 10 tấn285</v>
      </c>
      <c r="D3889" s="630"/>
      <c r="E3889" s="630"/>
      <c r="F3889" s="630"/>
      <c r="G3889" s="630"/>
    </row>
    <row r="3890" spans="1:7" ht="18.75" x14ac:dyDescent="0.25">
      <c r="A3890" s="629" t="s">
        <v>3065</v>
      </c>
      <c r="B3890" s="630">
        <v>286</v>
      </c>
      <c r="C3890" s="631" t="str">
        <f t="shared" si="65"/>
        <v>Ô tô vận tải thùng 10 tấn286</v>
      </c>
      <c r="D3890" s="630"/>
      <c r="E3890" s="630"/>
      <c r="F3890" s="630"/>
      <c r="G3890" s="630"/>
    </row>
    <row r="3891" spans="1:7" ht="18.75" x14ac:dyDescent="0.25">
      <c r="A3891" s="629" t="s">
        <v>3065</v>
      </c>
      <c r="B3891" s="630">
        <v>287</v>
      </c>
      <c r="C3891" s="631" t="str">
        <f t="shared" si="65"/>
        <v>Ô tô vận tải thùng 10 tấn287</v>
      </c>
      <c r="D3891" s="630"/>
      <c r="E3891" s="630"/>
      <c r="F3891" s="630"/>
      <c r="G3891" s="630"/>
    </row>
    <row r="3892" spans="1:7" ht="18.75" x14ac:dyDescent="0.25">
      <c r="A3892" s="629" t="s">
        <v>3065</v>
      </c>
      <c r="B3892" s="630">
        <v>288</v>
      </c>
      <c r="C3892" s="631" t="str">
        <f t="shared" si="65"/>
        <v>Ô tô vận tải thùng 10 tấn288</v>
      </c>
      <c r="D3892" s="630"/>
      <c r="E3892" s="630"/>
      <c r="F3892" s="630"/>
      <c r="G3892" s="630"/>
    </row>
    <row r="3893" spans="1:7" ht="18.75" x14ac:dyDescent="0.25">
      <c r="A3893" s="629" t="s">
        <v>3065</v>
      </c>
      <c r="B3893" s="630">
        <v>289</v>
      </c>
      <c r="C3893" s="631" t="str">
        <f t="shared" si="65"/>
        <v>Ô tô vận tải thùng 10 tấn289</v>
      </c>
      <c r="D3893" s="630"/>
      <c r="E3893" s="630"/>
      <c r="F3893" s="630"/>
      <c r="G3893" s="630"/>
    </row>
    <row r="3894" spans="1:7" ht="18.75" x14ac:dyDescent="0.25">
      <c r="A3894" s="629" t="s">
        <v>3065</v>
      </c>
      <c r="B3894" s="630">
        <v>290</v>
      </c>
      <c r="C3894" s="631" t="str">
        <f t="shared" si="65"/>
        <v>Ô tô vận tải thùng 10 tấn290</v>
      </c>
      <c r="D3894" s="630"/>
      <c r="E3894" s="630"/>
      <c r="F3894" s="630"/>
      <c r="G3894" s="630"/>
    </row>
    <row r="3895" spans="1:7" ht="18.75" x14ac:dyDescent="0.25">
      <c r="A3895" s="629" t="s">
        <v>3065</v>
      </c>
      <c r="B3895" s="630">
        <v>291</v>
      </c>
      <c r="C3895" s="631" t="str">
        <f t="shared" si="65"/>
        <v>Ô tô vận tải thùng 10 tấn291</v>
      </c>
      <c r="D3895" s="630"/>
      <c r="E3895" s="630"/>
      <c r="F3895" s="630"/>
      <c r="G3895" s="630"/>
    </row>
    <row r="3896" spans="1:7" ht="18.75" x14ac:dyDescent="0.25">
      <c r="A3896" s="629" t="s">
        <v>3065</v>
      </c>
      <c r="B3896" s="630">
        <v>292</v>
      </c>
      <c r="C3896" s="631" t="str">
        <f t="shared" si="65"/>
        <v>Ô tô vận tải thùng 10 tấn292</v>
      </c>
      <c r="D3896" s="630"/>
      <c r="E3896" s="630"/>
      <c r="F3896" s="630"/>
      <c r="G3896" s="630"/>
    </row>
    <row r="3897" spans="1:7" ht="18.75" x14ac:dyDescent="0.25">
      <c r="A3897" s="629" t="s">
        <v>3065</v>
      </c>
      <c r="B3897" s="630">
        <v>293</v>
      </c>
      <c r="C3897" s="631" t="str">
        <f t="shared" si="65"/>
        <v>Ô tô vận tải thùng 10 tấn293</v>
      </c>
      <c r="D3897" s="630"/>
      <c r="E3897" s="630"/>
      <c r="F3897" s="630"/>
      <c r="G3897" s="630"/>
    </row>
    <row r="3898" spans="1:7" ht="18.75" x14ac:dyDescent="0.25">
      <c r="A3898" s="629" t="s">
        <v>3065</v>
      </c>
      <c r="B3898" s="630">
        <v>294</v>
      </c>
      <c r="C3898" s="631" t="str">
        <f t="shared" si="65"/>
        <v>Ô tô vận tải thùng 10 tấn294</v>
      </c>
      <c r="D3898" s="630"/>
      <c r="E3898" s="630"/>
      <c r="F3898" s="630"/>
      <c r="G3898" s="630"/>
    </row>
    <row r="3899" spans="1:7" ht="18.75" x14ac:dyDescent="0.25">
      <c r="A3899" s="629" t="s">
        <v>3065</v>
      </c>
      <c r="B3899" s="630">
        <v>295</v>
      </c>
      <c r="C3899" s="631" t="str">
        <f t="shared" si="65"/>
        <v>Ô tô vận tải thùng 10 tấn295</v>
      </c>
      <c r="D3899" s="630"/>
      <c r="E3899" s="630"/>
      <c r="F3899" s="630"/>
      <c r="G3899" s="630"/>
    </row>
    <row r="3900" spans="1:7" ht="18.75" x14ac:dyDescent="0.25">
      <c r="A3900" s="629" t="s">
        <v>3065</v>
      </c>
      <c r="B3900" s="630">
        <v>296</v>
      </c>
      <c r="C3900" s="631" t="str">
        <f t="shared" si="65"/>
        <v>Ô tô vận tải thùng 10 tấn296</v>
      </c>
      <c r="D3900" s="630"/>
      <c r="E3900" s="630"/>
      <c r="F3900" s="630"/>
      <c r="G3900" s="630"/>
    </row>
    <row r="3901" spans="1:7" ht="18.75" x14ac:dyDescent="0.25">
      <c r="A3901" s="629" t="s">
        <v>3065</v>
      </c>
      <c r="B3901" s="630">
        <v>297</v>
      </c>
      <c r="C3901" s="631" t="str">
        <f t="shared" si="65"/>
        <v>Ô tô vận tải thùng 10 tấn297</v>
      </c>
      <c r="D3901" s="630"/>
      <c r="E3901" s="630"/>
      <c r="F3901" s="630"/>
      <c r="G3901" s="630"/>
    </row>
    <row r="3902" spans="1:7" ht="18.75" x14ac:dyDescent="0.25">
      <c r="A3902" s="629" t="s">
        <v>3065</v>
      </c>
      <c r="B3902" s="630">
        <v>298</v>
      </c>
      <c r="C3902" s="631" t="str">
        <f t="shared" si="65"/>
        <v>Ô tô vận tải thùng 10 tấn298</v>
      </c>
      <c r="D3902" s="630"/>
      <c r="E3902" s="630"/>
      <c r="F3902" s="630"/>
      <c r="G3902" s="630"/>
    </row>
    <row r="3903" spans="1:7" ht="18.75" x14ac:dyDescent="0.25">
      <c r="A3903" s="629" t="s">
        <v>3065</v>
      </c>
      <c r="B3903" s="630">
        <v>299</v>
      </c>
      <c r="C3903" s="631" t="str">
        <f t="shared" si="65"/>
        <v>Ô tô vận tải thùng 10 tấn299</v>
      </c>
      <c r="D3903" s="630"/>
      <c r="E3903" s="630"/>
      <c r="F3903" s="630"/>
      <c r="G3903" s="630"/>
    </row>
    <row r="3904" spans="1:7" ht="18.75" x14ac:dyDescent="0.25">
      <c r="A3904" s="629" t="s">
        <v>3065</v>
      </c>
      <c r="B3904" s="630">
        <v>300</v>
      </c>
      <c r="C3904" s="631" t="str">
        <f t="shared" si="65"/>
        <v>Ô tô vận tải thùng 10 tấn300</v>
      </c>
      <c r="D3904" s="630"/>
      <c r="E3904" s="630"/>
      <c r="F3904" s="630"/>
      <c r="G3904" s="630"/>
    </row>
    <row r="3905" spans="1:7" ht="18.75" x14ac:dyDescent="0.25">
      <c r="A3905" s="629" t="s">
        <v>3065</v>
      </c>
      <c r="B3905" s="630">
        <v>301</v>
      </c>
      <c r="C3905" s="631" t="str">
        <f t="shared" si="65"/>
        <v>Ô tô vận tải thùng 10 tấn301</v>
      </c>
      <c r="D3905" s="630"/>
      <c r="E3905" s="630"/>
      <c r="F3905" s="630"/>
      <c r="G3905" s="630"/>
    </row>
    <row r="3906" spans="1:7" ht="18.75" x14ac:dyDescent="0.25">
      <c r="A3906" s="629" t="s">
        <v>3065</v>
      </c>
      <c r="B3906" s="630">
        <v>302</v>
      </c>
      <c r="C3906" s="631" t="str">
        <f t="shared" si="65"/>
        <v>Ô tô vận tải thùng 10 tấn302</v>
      </c>
      <c r="D3906" s="630"/>
      <c r="E3906" s="630"/>
      <c r="F3906" s="630"/>
      <c r="G3906" s="630"/>
    </row>
    <row r="3907" spans="1:7" ht="18.75" x14ac:dyDescent="0.25">
      <c r="A3907" s="629" t="s">
        <v>3065</v>
      </c>
      <c r="B3907" s="630">
        <v>303</v>
      </c>
      <c r="C3907" s="631" t="str">
        <f t="shared" si="65"/>
        <v>Ô tô vận tải thùng 10 tấn303</v>
      </c>
      <c r="D3907" s="630"/>
      <c r="E3907" s="630"/>
      <c r="F3907" s="630"/>
      <c r="G3907" s="630"/>
    </row>
    <row r="3908" spans="1:7" ht="18.75" x14ac:dyDescent="0.25">
      <c r="A3908" s="629" t="s">
        <v>3065</v>
      </c>
      <c r="B3908" s="630">
        <v>304</v>
      </c>
      <c r="C3908" s="631" t="str">
        <f t="shared" si="65"/>
        <v>Ô tô vận tải thùng 10 tấn304</v>
      </c>
      <c r="D3908" s="630"/>
      <c r="E3908" s="630"/>
      <c r="F3908" s="630"/>
      <c r="G3908" s="630"/>
    </row>
    <row r="3909" spans="1:7" ht="18.75" x14ac:dyDescent="0.25">
      <c r="A3909" s="629" t="s">
        <v>3065</v>
      </c>
      <c r="B3909" s="630">
        <v>305</v>
      </c>
      <c r="C3909" s="631" t="str">
        <f t="shared" si="65"/>
        <v>Ô tô vận tải thùng 10 tấn305</v>
      </c>
      <c r="D3909" s="630"/>
      <c r="E3909" s="630"/>
      <c r="F3909" s="630"/>
      <c r="G3909" s="630"/>
    </row>
    <row r="3910" spans="1:7" ht="18.75" x14ac:dyDescent="0.25">
      <c r="A3910" s="629" t="s">
        <v>3065</v>
      </c>
      <c r="B3910" s="630">
        <v>306</v>
      </c>
      <c r="C3910" s="631" t="str">
        <f t="shared" si="65"/>
        <v>Ô tô vận tải thùng 10 tấn306</v>
      </c>
      <c r="D3910" s="630"/>
      <c r="E3910" s="630"/>
      <c r="F3910" s="630"/>
      <c r="G3910" s="630"/>
    </row>
    <row r="3911" spans="1:7" ht="18.75" x14ac:dyDescent="0.25">
      <c r="A3911" s="629" t="s">
        <v>3065</v>
      </c>
      <c r="B3911" s="630">
        <v>307</v>
      </c>
      <c r="C3911" s="631" t="str">
        <f t="shared" si="65"/>
        <v>Ô tô vận tải thùng 10 tấn307</v>
      </c>
      <c r="D3911" s="630"/>
      <c r="E3911" s="630"/>
      <c r="F3911" s="630"/>
      <c r="G3911" s="630"/>
    </row>
    <row r="3912" spans="1:7" ht="18.75" x14ac:dyDescent="0.25">
      <c r="A3912" s="629" t="s">
        <v>3065</v>
      </c>
      <c r="B3912" s="630">
        <v>308</v>
      </c>
      <c r="C3912" s="631" t="str">
        <f t="shared" si="65"/>
        <v>Ô tô vận tải thùng 10 tấn308</v>
      </c>
      <c r="D3912" s="630"/>
      <c r="E3912" s="630"/>
      <c r="F3912" s="630"/>
      <c r="G3912" s="630"/>
    </row>
    <row r="3913" spans="1:7" ht="18.75" x14ac:dyDescent="0.25">
      <c r="A3913" s="629" t="s">
        <v>3065</v>
      </c>
      <c r="B3913" s="630">
        <v>309</v>
      </c>
      <c r="C3913" s="631" t="str">
        <f t="shared" si="65"/>
        <v>Ô tô vận tải thùng 10 tấn309</v>
      </c>
      <c r="D3913" s="630"/>
      <c r="E3913" s="630"/>
      <c r="F3913" s="630"/>
      <c r="G3913" s="630"/>
    </row>
    <row r="3914" spans="1:7" ht="18.75" x14ac:dyDescent="0.25">
      <c r="A3914" s="629" t="s">
        <v>3065</v>
      </c>
      <c r="B3914" s="630">
        <v>310</v>
      </c>
      <c r="C3914" s="631" t="str">
        <f t="shared" si="65"/>
        <v>Ô tô vận tải thùng 10 tấn310</v>
      </c>
      <c r="D3914" s="630"/>
      <c r="E3914" s="630"/>
      <c r="F3914" s="630"/>
      <c r="G3914" s="630"/>
    </row>
    <row r="3915" spans="1:7" ht="18.75" x14ac:dyDescent="0.25">
      <c r="A3915" s="629" t="s">
        <v>3065</v>
      </c>
      <c r="B3915" s="630">
        <v>311</v>
      </c>
      <c r="C3915" s="631" t="str">
        <f t="shared" si="65"/>
        <v>Ô tô vận tải thùng 10 tấn311</v>
      </c>
      <c r="D3915" s="630"/>
      <c r="E3915" s="630"/>
      <c r="F3915" s="630"/>
      <c r="G3915" s="630"/>
    </row>
    <row r="3916" spans="1:7" ht="18.75" x14ac:dyDescent="0.25">
      <c r="A3916" s="629" t="s">
        <v>3065</v>
      </c>
      <c r="B3916" s="630">
        <v>312</v>
      </c>
      <c r="C3916" s="631" t="str">
        <f t="shared" si="65"/>
        <v>Ô tô vận tải thùng 10 tấn312</v>
      </c>
      <c r="D3916" s="630"/>
      <c r="E3916" s="630"/>
      <c r="F3916" s="630"/>
      <c r="G3916" s="630"/>
    </row>
    <row r="3917" spans="1:7" ht="18.75" x14ac:dyDescent="0.25">
      <c r="A3917" s="629" t="s">
        <v>3065</v>
      </c>
      <c r="B3917" s="630">
        <v>313</v>
      </c>
      <c r="C3917" s="631" t="str">
        <f t="shared" si="65"/>
        <v>Ô tô vận tải thùng 10 tấn313</v>
      </c>
      <c r="D3917" s="630"/>
      <c r="E3917" s="630"/>
      <c r="F3917" s="630"/>
      <c r="G3917" s="630"/>
    </row>
    <row r="3918" spans="1:7" ht="18.75" x14ac:dyDescent="0.25">
      <c r="A3918" s="629" t="s">
        <v>3065</v>
      </c>
      <c r="B3918" s="630">
        <v>314</v>
      </c>
      <c r="C3918" s="631" t="str">
        <f t="shared" si="65"/>
        <v>Ô tô vận tải thùng 10 tấn314</v>
      </c>
      <c r="D3918" s="630"/>
      <c r="E3918" s="630"/>
      <c r="F3918" s="630"/>
      <c r="G3918" s="630"/>
    </row>
    <row r="3919" spans="1:7" ht="18.75" x14ac:dyDescent="0.25">
      <c r="A3919" s="629" t="s">
        <v>3065</v>
      </c>
      <c r="B3919" s="630">
        <v>315</v>
      </c>
      <c r="C3919" s="631" t="str">
        <f t="shared" si="65"/>
        <v>Ô tô vận tải thùng 10 tấn315</v>
      </c>
      <c r="D3919" s="630"/>
      <c r="E3919" s="630"/>
      <c r="F3919" s="630"/>
      <c r="G3919" s="630"/>
    </row>
    <row r="3920" spans="1:7" ht="18.75" x14ac:dyDescent="0.25">
      <c r="A3920" s="629" t="s">
        <v>3065</v>
      </c>
      <c r="B3920" s="630">
        <v>316</v>
      </c>
      <c r="C3920" s="631" t="str">
        <f t="shared" si="65"/>
        <v>Ô tô vận tải thùng 10 tấn316</v>
      </c>
      <c r="D3920" s="630"/>
      <c r="E3920" s="630"/>
      <c r="F3920" s="630"/>
      <c r="G3920" s="630"/>
    </row>
    <row r="3921" spans="1:7" ht="18.75" x14ac:dyDescent="0.25">
      <c r="A3921" s="629" t="s">
        <v>3065</v>
      </c>
      <c r="B3921" s="630">
        <v>317</v>
      </c>
      <c r="C3921" s="631" t="str">
        <f t="shared" si="65"/>
        <v>Ô tô vận tải thùng 10 tấn317</v>
      </c>
      <c r="D3921" s="630"/>
      <c r="E3921" s="630"/>
      <c r="F3921" s="630"/>
      <c r="G3921" s="630"/>
    </row>
    <row r="3922" spans="1:7" ht="18.75" x14ac:dyDescent="0.25">
      <c r="A3922" s="629" t="s">
        <v>3065</v>
      </c>
      <c r="B3922" s="630">
        <v>318</v>
      </c>
      <c r="C3922" s="631" t="str">
        <f t="shared" si="65"/>
        <v>Ô tô vận tải thùng 10 tấn318</v>
      </c>
      <c r="D3922" s="630"/>
      <c r="E3922" s="630"/>
      <c r="F3922" s="630"/>
      <c r="G3922" s="630"/>
    </row>
    <row r="3923" spans="1:7" ht="18.75" x14ac:dyDescent="0.25">
      <c r="A3923" s="629" t="s">
        <v>3065</v>
      </c>
      <c r="B3923" s="630">
        <v>319</v>
      </c>
      <c r="C3923" s="631" t="str">
        <f t="shared" si="65"/>
        <v>Ô tô vận tải thùng 10 tấn319</v>
      </c>
      <c r="D3923" s="630"/>
      <c r="E3923" s="630"/>
      <c r="F3923" s="630"/>
      <c r="G3923" s="630"/>
    </row>
    <row r="3924" spans="1:7" ht="18.75" x14ac:dyDescent="0.25">
      <c r="A3924" s="629" t="s">
        <v>3065</v>
      </c>
      <c r="B3924" s="630">
        <v>320</v>
      </c>
      <c r="C3924" s="631" t="str">
        <f t="shared" si="65"/>
        <v>Ô tô vận tải thùng 10 tấn320</v>
      </c>
      <c r="D3924" s="630"/>
      <c r="E3924" s="630"/>
      <c r="F3924" s="630"/>
      <c r="G3924" s="630"/>
    </row>
    <row r="3925" spans="1:7" ht="18.75" x14ac:dyDescent="0.25">
      <c r="A3925" s="629" t="s">
        <v>3065</v>
      </c>
      <c r="B3925" s="630">
        <v>321</v>
      </c>
      <c r="C3925" s="631" t="str">
        <f t="shared" si="65"/>
        <v>Ô tô vận tải thùng 10 tấn321</v>
      </c>
      <c r="D3925" s="630"/>
      <c r="E3925" s="630"/>
      <c r="F3925" s="630"/>
      <c r="G3925" s="630"/>
    </row>
    <row r="3926" spans="1:7" ht="18.75" x14ac:dyDescent="0.25">
      <c r="A3926" s="629" t="s">
        <v>3065</v>
      </c>
      <c r="B3926" s="630">
        <v>322</v>
      </c>
      <c r="C3926" s="631" t="str">
        <f t="shared" ref="C3926:C3989" si="66">A3926&amp;B3926</f>
        <v>Ô tô vận tải thùng 10 tấn322</v>
      </c>
      <c r="D3926" s="630"/>
      <c r="E3926" s="630"/>
      <c r="F3926" s="630"/>
      <c r="G3926" s="630"/>
    </row>
    <row r="3927" spans="1:7" ht="18.75" x14ac:dyDescent="0.25">
      <c r="A3927" s="629" t="s">
        <v>3065</v>
      </c>
      <c r="B3927" s="630">
        <v>323</v>
      </c>
      <c r="C3927" s="631" t="str">
        <f t="shared" si="66"/>
        <v>Ô tô vận tải thùng 10 tấn323</v>
      </c>
      <c r="D3927" s="630"/>
      <c r="E3927" s="630"/>
      <c r="F3927" s="630"/>
      <c r="G3927" s="630"/>
    </row>
    <row r="3928" spans="1:7" ht="18.75" x14ac:dyDescent="0.25">
      <c r="A3928" s="629" t="s">
        <v>3065</v>
      </c>
      <c r="B3928" s="630">
        <v>324</v>
      </c>
      <c r="C3928" s="631" t="str">
        <f t="shared" si="66"/>
        <v>Ô tô vận tải thùng 10 tấn324</v>
      </c>
      <c r="D3928" s="630"/>
      <c r="E3928" s="630"/>
      <c r="F3928" s="630"/>
      <c r="G3928" s="630"/>
    </row>
    <row r="3929" spans="1:7" ht="18.75" x14ac:dyDescent="0.25">
      <c r="A3929" s="629" t="s">
        <v>3065</v>
      </c>
      <c r="B3929" s="630">
        <v>325</v>
      </c>
      <c r="C3929" s="631" t="str">
        <f t="shared" si="66"/>
        <v>Ô tô vận tải thùng 10 tấn325</v>
      </c>
      <c r="D3929" s="630"/>
      <c r="E3929" s="630"/>
      <c r="F3929" s="630"/>
      <c r="G3929" s="630"/>
    </row>
    <row r="3930" spans="1:7" ht="18.75" x14ac:dyDescent="0.25">
      <c r="A3930" s="629" t="s">
        <v>3065</v>
      </c>
      <c r="B3930" s="630">
        <v>326</v>
      </c>
      <c r="C3930" s="631" t="str">
        <f t="shared" si="66"/>
        <v>Ô tô vận tải thùng 10 tấn326</v>
      </c>
      <c r="D3930" s="630"/>
      <c r="E3930" s="630"/>
      <c r="F3930" s="630"/>
      <c r="G3930" s="630"/>
    </row>
    <row r="3931" spans="1:7" ht="18.75" x14ac:dyDescent="0.25">
      <c r="A3931" s="629" t="s">
        <v>3065</v>
      </c>
      <c r="B3931" s="630">
        <v>327</v>
      </c>
      <c r="C3931" s="631" t="str">
        <f t="shared" si="66"/>
        <v>Ô tô vận tải thùng 10 tấn327</v>
      </c>
      <c r="D3931" s="630"/>
      <c r="E3931" s="630"/>
      <c r="F3931" s="630"/>
      <c r="G3931" s="630"/>
    </row>
    <row r="3932" spans="1:7" ht="18.75" x14ac:dyDescent="0.25">
      <c r="A3932" s="629" t="s">
        <v>3065</v>
      </c>
      <c r="B3932" s="630">
        <v>328</v>
      </c>
      <c r="C3932" s="631" t="str">
        <f t="shared" si="66"/>
        <v>Ô tô vận tải thùng 10 tấn328</v>
      </c>
      <c r="D3932" s="630"/>
      <c r="E3932" s="630"/>
      <c r="F3932" s="630"/>
      <c r="G3932" s="630"/>
    </row>
    <row r="3933" spans="1:7" ht="18.75" x14ac:dyDescent="0.25">
      <c r="A3933" s="629" t="s">
        <v>3065</v>
      </c>
      <c r="B3933" s="630">
        <v>329</v>
      </c>
      <c r="C3933" s="631" t="str">
        <f t="shared" si="66"/>
        <v>Ô tô vận tải thùng 10 tấn329</v>
      </c>
      <c r="D3933" s="630"/>
      <c r="E3933" s="630"/>
      <c r="F3933" s="630"/>
      <c r="G3933" s="630"/>
    </row>
    <row r="3934" spans="1:7" ht="18.75" x14ac:dyDescent="0.25">
      <c r="A3934" s="629" t="s">
        <v>3065</v>
      </c>
      <c r="B3934" s="630">
        <v>330</v>
      </c>
      <c r="C3934" s="631" t="str">
        <f t="shared" si="66"/>
        <v>Ô tô vận tải thùng 10 tấn330</v>
      </c>
      <c r="D3934" s="630"/>
      <c r="E3934" s="630"/>
      <c r="F3934" s="630"/>
      <c r="G3934" s="630"/>
    </row>
    <row r="3935" spans="1:7" ht="18.75" x14ac:dyDescent="0.25">
      <c r="A3935" s="629" t="s">
        <v>3065</v>
      </c>
      <c r="B3935" s="630">
        <v>331</v>
      </c>
      <c r="C3935" s="631" t="str">
        <f t="shared" si="66"/>
        <v>Ô tô vận tải thùng 10 tấn331</v>
      </c>
      <c r="D3935" s="630"/>
      <c r="E3935" s="630"/>
      <c r="F3935" s="630"/>
      <c r="G3935" s="630"/>
    </row>
    <row r="3936" spans="1:7" ht="18.75" x14ac:dyDescent="0.25">
      <c r="A3936" s="629" t="s">
        <v>3065</v>
      </c>
      <c r="B3936" s="630">
        <v>332</v>
      </c>
      <c r="C3936" s="631" t="str">
        <f t="shared" si="66"/>
        <v>Ô tô vận tải thùng 10 tấn332</v>
      </c>
      <c r="D3936" s="630"/>
      <c r="E3936" s="630"/>
      <c r="F3936" s="630"/>
      <c r="G3936" s="630"/>
    </row>
    <row r="3937" spans="1:7" ht="18.75" x14ac:dyDescent="0.25">
      <c r="A3937" s="629" t="s">
        <v>3065</v>
      </c>
      <c r="B3937" s="630">
        <v>333</v>
      </c>
      <c r="C3937" s="631" t="str">
        <f t="shared" si="66"/>
        <v>Ô tô vận tải thùng 10 tấn333</v>
      </c>
      <c r="D3937" s="630"/>
      <c r="E3937" s="630"/>
      <c r="F3937" s="630"/>
      <c r="G3937" s="630"/>
    </row>
    <row r="3938" spans="1:7" ht="18.75" x14ac:dyDescent="0.25">
      <c r="A3938" s="629" t="s">
        <v>3065</v>
      </c>
      <c r="B3938" s="630">
        <v>334</v>
      </c>
      <c r="C3938" s="631" t="str">
        <f t="shared" si="66"/>
        <v>Ô tô vận tải thùng 10 tấn334</v>
      </c>
      <c r="D3938" s="630"/>
      <c r="E3938" s="630"/>
      <c r="F3938" s="630"/>
      <c r="G3938" s="630"/>
    </row>
    <row r="3939" spans="1:7" ht="18.75" x14ac:dyDescent="0.25">
      <c r="A3939" s="629" t="s">
        <v>3065</v>
      </c>
      <c r="B3939" s="630">
        <v>335</v>
      </c>
      <c r="C3939" s="631" t="str">
        <f t="shared" si="66"/>
        <v>Ô tô vận tải thùng 10 tấn335</v>
      </c>
      <c r="D3939" s="630"/>
      <c r="E3939" s="630"/>
      <c r="F3939" s="630"/>
      <c r="G3939" s="630"/>
    </row>
    <row r="3940" spans="1:7" ht="18.75" x14ac:dyDescent="0.25">
      <c r="A3940" s="629" t="s">
        <v>3065</v>
      </c>
      <c r="B3940" s="630">
        <v>336</v>
      </c>
      <c r="C3940" s="631" t="str">
        <f t="shared" si="66"/>
        <v>Ô tô vận tải thùng 10 tấn336</v>
      </c>
      <c r="D3940" s="630"/>
      <c r="E3940" s="630"/>
      <c r="F3940" s="630"/>
      <c r="G3940" s="630"/>
    </row>
    <row r="3941" spans="1:7" ht="18.75" x14ac:dyDescent="0.25">
      <c r="A3941" s="629" t="s">
        <v>3065</v>
      </c>
      <c r="B3941" s="630">
        <v>337</v>
      </c>
      <c r="C3941" s="631" t="str">
        <f t="shared" si="66"/>
        <v>Ô tô vận tải thùng 10 tấn337</v>
      </c>
      <c r="D3941" s="630"/>
      <c r="E3941" s="630"/>
      <c r="F3941" s="630"/>
      <c r="G3941" s="630"/>
    </row>
    <row r="3942" spans="1:7" ht="18.75" x14ac:dyDescent="0.25">
      <c r="A3942" s="629" t="s">
        <v>3065</v>
      </c>
      <c r="B3942" s="630">
        <v>338</v>
      </c>
      <c r="C3942" s="631" t="str">
        <f t="shared" si="66"/>
        <v>Ô tô vận tải thùng 10 tấn338</v>
      </c>
      <c r="D3942" s="630"/>
      <c r="E3942" s="630"/>
      <c r="F3942" s="630"/>
      <c r="G3942" s="630"/>
    </row>
    <row r="3943" spans="1:7" ht="18.75" x14ac:dyDescent="0.25">
      <c r="A3943" s="629" t="s">
        <v>3065</v>
      </c>
      <c r="B3943" s="630">
        <v>339</v>
      </c>
      <c r="C3943" s="631" t="str">
        <f t="shared" si="66"/>
        <v>Ô tô vận tải thùng 10 tấn339</v>
      </c>
      <c r="D3943" s="630"/>
      <c r="E3943" s="630"/>
      <c r="F3943" s="630"/>
      <c r="G3943" s="630"/>
    </row>
    <row r="3944" spans="1:7" ht="18.75" x14ac:dyDescent="0.25">
      <c r="A3944" s="629" t="s">
        <v>3065</v>
      </c>
      <c r="B3944" s="630">
        <v>340</v>
      </c>
      <c r="C3944" s="631" t="str">
        <f t="shared" si="66"/>
        <v>Ô tô vận tải thùng 10 tấn340</v>
      </c>
      <c r="D3944" s="630"/>
      <c r="E3944" s="630"/>
      <c r="F3944" s="630"/>
      <c r="G3944" s="630"/>
    </row>
    <row r="3945" spans="1:7" ht="18.75" x14ac:dyDescent="0.25">
      <c r="A3945" s="629" t="s">
        <v>3065</v>
      </c>
      <c r="B3945" s="630">
        <v>341</v>
      </c>
      <c r="C3945" s="631" t="str">
        <f t="shared" si="66"/>
        <v>Ô tô vận tải thùng 10 tấn341</v>
      </c>
      <c r="D3945" s="630"/>
      <c r="E3945" s="630"/>
      <c r="F3945" s="630"/>
      <c r="G3945" s="630"/>
    </row>
    <row r="3946" spans="1:7" ht="18.75" x14ac:dyDescent="0.25">
      <c r="A3946" s="629" t="s">
        <v>3065</v>
      </c>
      <c r="B3946" s="630">
        <v>342</v>
      </c>
      <c r="C3946" s="631" t="str">
        <f t="shared" si="66"/>
        <v>Ô tô vận tải thùng 10 tấn342</v>
      </c>
      <c r="D3946" s="630"/>
      <c r="E3946" s="630"/>
      <c r="F3946" s="630"/>
      <c r="G3946" s="630"/>
    </row>
    <row r="3947" spans="1:7" ht="18.75" x14ac:dyDescent="0.25">
      <c r="A3947" s="629" t="s">
        <v>3065</v>
      </c>
      <c r="B3947" s="630">
        <v>343</v>
      </c>
      <c r="C3947" s="631" t="str">
        <f t="shared" si="66"/>
        <v>Ô tô vận tải thùng 10 tấn343</v>
      </c>
      <c r="D3947" s="630"/>
      <c r="E3947" s="630"/>
      <c r="F3947" s="630"/>
      <c r="G3947" s="630"/>
    </row>
    <row r="3948" spans="1:7" ht="18.75" x14ac:dyDescent="0.25">
      <c r="A3948" s="629" t="s">
        <v>3065</v>
      </c>
      <c r="B3948" s="630">
        <v>344</v>
      </c>
      <c r="C3948" s="631" t="str">
        <f t="shared" si="66"/>
        <v>Ô tô vận tải thùng 10 tấn344</v>
      </c>
      <c r="D3948" s="630"/>
      <c r="E3948" s="630"/>
      <c r="F3948" s="630"/>
      <c r="G3948" s="630"/>
    </row>
    <row r="3949" spans="1:7" ht="18.75" x14ac:dyDescent="0.25">
      <c r="A3949" s="629" t="s">
        <v>3065</v>
      </c>
      <c r="B3949" s="630">
        <v>345</v>
      </c>
      <c r="C3949" s="631" t="str">
        <f t="shared" si="66"/>
        <v>Ô tô vận tải thùng 10 tấn345</v>
      </c>
      <c r="D3949" s="630"/>
      <c r="E3949" s="630"/>
      <c r="F3949" s="630"/>
      <c r="G3949" s="630"/>
    </row>
    <row r="3950" spans="1:7" ht="18.75" x14ac:dyDescent="0.25">
      <c r="A3950" s="629" t="s">
        <v>3065</v>
      </c>
      <c r="B3950" s="630">
        <v>346</v>
      </c>
      <c r="C3950" s="631" t="str">
        <f t="shared" si="66"/>
        <v>Ô tô vận tải thùng 10 tấn346</v>
      </c>
      <c r="D3950" s="630"/>
      <c r="E3950" s="630"/>
      <c r="F3950" s="630"/>
      <c r="G3950" s="630"/>
    </row>
    <row r="3951" spans="1:7" ht="18.75" x14ac:dyDescent="0.25">
      <c r="A3951" s="629" t="s">
        <v>3065</v>
      </c>
      <c r="B3951" s="630">
        <v>347</v>
      </c>
      <c r="C3951" s="631" t="str">
        <f t="shared" si="66"/>
        <v>Ô tô vận tải thùng 10 tấn347</v>
      </c>
      <c r="D3951" s="630"/>
      <c r="E3951" s="630"/>
      <c r="F3951" s="630"/>
      <c r="G3951" s="630"/>
    </row>
    <row r="3952" spans="1:7" ht="18.75" x14ac:dyDescent="0.25">
      <c r="A3952" s="629" t="s">
        <v>3065</v>
      </c>
      <c r="B3952" s="630">
        <v>348</v>
      </c>
      <c r="C3952" s="631" t="str">
        <f t="shared" si="66"/>
        <v>Ô tô vận tải thùng 10 tấn348</v>
      </c>
      <c r="D3952" s="630"/>
      <c r="E3952" s="630"/>
      <c r="F3952" s="630"/>
      <c r="G3952" s="630"/>
    </row>
    <row r="3953" spans="1:7" ht="18.75" x14ac:dyDescent="0.25">
      <c r="A3953" s="629" t="s">
        <v>3065</v>
      </c>
      <c r="B3953" s="630">
        <v>349</v>
      </c>
      <c r="C3953" s="631" t="str">
        <f t="shared" si="66"/>
        <v>Ô tô vận tải thùng 10 tấn349</v>
      </c>
      <c r="D3953" s="630"/>
      <c r="E3953" s="630"/>
      <c r="F3953" s="630"/>
      <c r="G3953" s="630"/>
    </row>
    <row r="3954" spans="1:7" ht="18.75" x14ac:dyDescent="0.25">
      <c r="A3954" s="629" t="s">
        <v>3065</v>
      </c>
      <c r="B3954" s="630">
        <v>350</v>
      </c>
      <c r="C3954" s="631" t="str">
        <f t="shared" si="66"/>
        <v>Ô tô vận tải thùng 10 tấn350</v>
      </c>
      <c r="D3954" s="630"/>
      <c r="E3954" s="630"/>
      <c r="F3954" s="630"/>
      <c r="G3954" s="630"/>
    </row>
    <row r="3955" spans="1:7" ht="18.75" x14ac:dyDescent="0.25">
      <c r="A3955" s="629" t="s">
        <v>3065</v>
      </c>
      <c r="B3955" s="630">
        <v>351</v>
      </c>
      <c r="C3955" s="631" t="str">
        <f t="shared" si="66"/>
        <v>Ô tô vận tải thùng 10 tấn351</v>
      </c>
      <c r="D3955" s="630"/>
      <c r="E3955" s="630"/>
      <c r="F3955" s="630"/>
      <c r="G3955" s="630"/>
    </row>
    <row r="3956" spans="1:7" ht="18.75" x14ac:dyDescent="0.25">
      <c r="A3956" s="629" t="s">
        <v>3065</v>
      </c>
      <c r="B3956" s="630">
        <v>352</v>
      </c>
      <c r="C3956" s="631" t="str">
        <f t="shared" si="66"/>
        <v>Ô tô vận tải thùng 10 tấn352</v>
      </c>
      <c r="D3956" s="630"/>
      <c r="E3956" s="630"/>
      <c r="F3956" s="630"/>
      <c r="G3956" s="630"/>
    </row>
    <row r="3957" spans="1:7" ht="18.75" x14ac:dyDescent="0.25">
      <c r="A3957" s="629" t="s">
        <v>3065</v>
      </c>
      <c r="B3957" s="630">
        <v>353</v>
      </c>
      <c r="C3957" s="631" t="str">
        <f t="shared" si="66"/>
        <v>Ô tô vận tải thùng 10 tấn353</v>
      </c>
      <c r="D3957" s="630"/>
      <c r="E3957" s="630"/>
      <c r="F3957" s="630"/>
      <c r="G3957" s="630"/>
    </row>
    <row r="3958" spans="1:7" ht="18.75" x14ac:dyDescent="0.25">
      <c r="A3958" s="629" t="s">
        <v>3065</v>
      </c>
      <c r="B3958" s="630">
        <v>354</v>
      </c>
      <c r="C3958" s="631" t="str">
        <f t="shared" si="66"/>
        <v>Ô tô vận tải thùng 10 tấn354</v>
      </c>
      <c r="D3958" s="630"/>
      <c r="E3958" s="630"/>
      <c r="F3958" s="630"/>
      <c r="G3958" s="630"/>
    </row>
    <row r="3959" spans="1:7" ht="18.75" x14ac:dyDescent="0.25">
      <c r="A3959" s="629" t="s">
        <v>3065</v>
      </c>
      <c r="B3959" s="630">
        <v>355</v>
      </c>
      <c r="C3959" s="631" t="str">
        <f t="shared" si="66"/>
        <v>Ô tô vận tải thùng 10 tấn355</v>
      </c>
      <c r="D3959" s="630"/>
      <c r="E3959" s="630"/>
      <c r="F3959" s="630"/>
      <c r="G3959" s="630"/>
    </row>
    <row r="3960" spans="1:7" ht="18.75" x14ac:dyDescent="0.25">
      <c r="A3960" s="629" t="s">
        <v>3065</v>
      </c>
      <c r="B3960" s="630">
        <v>356</v>
      </c>
      <c r="C3960" s="631" t="str">
        <f t="shared" si="66"/>
        <v>Ô tô vận tải thùng 10 tấn356</v>
      </c>
      <c r="D3960" s="630"/>
      <c r="E3960" s="630"/>
      <c r="F3960" s="630"/>
      <c r="G3960" s="630"/>
    </row>
    <row r="3961" spans="1:7" ht="18.75" x14ac:dyDescent="0.25">
      <c r="A3961" s="629" t="s">
        <v>3065</v>
      </c>
      <c r="B3961" s="630">
        <v>357</v>
      </c>
      <c r="C3961" s="631" t="str">
        <f t="shared" si="66"/>
        <v>Ô tô vận tải thùng 10 tấn357</v>
      </c>
      <c r="D3961" s="630"/>
      <c r="E3961" s="630"/>
      <c r="F3961" s="630"/>
      <c r="G3961" s="630"/>
    </row>
    <row r="3962" spans="1:7" ht="18.75" x14ac:dyDescent="0.25">
      <c r="A3962" s="629" t="s">
        <v>3065</v>
      </c>
      <c r="B3962" s="630">
        <v>358</v>
      </c>
      <c r="C3962" s="631" t="str">
        <f t="shared" si="66"/>
        <v>Ô tô vận tải thùng 10 tấn358</v>
      </c>
      <c r="D3962" s="630"/>
      <c r="E3962" s="630"/>
      <c r="F3962" s="630"/>
      <c r="G3962" s="630"/>
    </row>
    <row r="3963" spans="1:7" ht="18.75" x14ac:dyDescent="0.25">
      <c r="A3963" s="629" t="s">
        <v>3065</v>
      </c>
      <c r="B3963" s="630">
        <v>359</v>
      </c>
      <c r="C3963" s="631" t="str">
        <f t="shared" si="66"/>
        <v>Ô tô vận tải thùng 10 tấn359</v>
      </c>
      <c r="D3963" s="630"/>
      <c r="E3963" s="630"/>
      <c r="F3963" s="630"/>
      <c r="G3963" s="630"/>
    </row>
    <row r="3964" spans="1:7" ht="18.75" x14ac:dyDescent="0.25">
      <c r="A3964" s="629" t="s">
        <v>3065</v>
      </c>
      <c r="B3964" s="630">
        <v>360</v>
      </c>
      <c r="C3964" s="631" t="str">
        <f t="shared" si="66"/>
        <v>Ô tô vận tải thùng 10 tấn360</v>
      </c>
      <c r="D3964" s="630"/>
      <c r="E3964" s="630"/>
      <c r="F3964" s="630"/>
      <c r="G3964" s="630"/>
    </row>
    <row r="3965" spans="1:7" ht="18.75" x14ac:dyDescent="0.25">
      <c r="A3965" s="629" t="s">
        <v>3065</v>
      </c>
      <c r="B3965" s="630">
        <v>361</v>
      </c>
      <c r="C3965" s="631" t="str">
        <f t="shared" si="66"/>
        <v>Ô tô vận tải thùng 10 tấn361</v>
      </c>
      <c r="D3965" s="630"/>
      <c r="E3965" s="630"/>
      <c r="F3965" s="630"/>
      <c r="G3965" s="630"/>
    </row>
    <row r="3966" spans="1:7" ht="18.75" x14ac:dyDescent="0.25">
      <c r="A3966" s="629" t="s">
        <v>3065</v>
      </c>
      <c r="B3966" s="630">
        <v>362</v>
      </c>
      <c r="C3966" s="631" t="str">
        <f t="shared" si="66"/>
        <v>Ô tô vận tải thùng 10 tấn362</v>
      </c>
      <c r="D3966" s="630"/>
      <c r="E3966" s="630"/>
      <c r="F3966" s="630"/>
      <c r="G3966" s="630"/>
    </row>
    <row r="3967" spans="1:7" ht="18.75" x14ac:dyDescent="0.25">
      <c r="A3967" s="629" t="s">
        <v>3065</v>
      </c>
      <c r="B3967" s="630">
        <v>363</v>
      </c>
      <c r="C3967" s="631" t="str">
        <f t="shared" si="66"/>
        <v>Ô tô vận tải thùng 10 tấn363</v>
      </c>
      <c r="D3967" s="630"/>
      <c r="E3967" s="630"/>
      <c r="F3967" s="630"/>
      <c r="G3967" s="630"/>
    </row>
    <row r="3968" spans="1:7" ht="18.75" x14ac:dyDescent="0.25">
      <c r="A3968" s="629" t="s">
        <v>3065</v>
      </c>
      <c r="B3968" s="630">
        <v>364</v>
      </c>
      <c r="C3968" s="631" t="str">
        <f t="shared" si="66"/>
        <v>Ô tô vận tải thùng 10 tấn364</v>
      </c>
      <c r="D3968" s="630"/>
      <c r="E3968" s="630"/>
      <c r="F3968" s="630"/>
      <c r="G3968" s="630"/>
    </row>
    <row r="3969" spans="1:7" ht="18.75" x14ac:dyDescent="0.25">
      <c r="A3969" s="629" t="s">
        <v>3065</v>
      </c>
      <c r="B3969" s="630">
        <v>365</v>
      </c>
      <c r="C3969" s="631" t="str">
        <f t="shared" si="66"/>
        <v>Ô tô vận tải thùng 10 tấn365</v>
      </c>
      <c r="D3969" s="630"/>
      <c r="E3969" s="630"/>
      <c r="F3969" s="630"/>
      <c r="G3969" s="630"/>
    </row>
    <row r="3970" spans="1:7" ht="18.75" x14ac:dyDescent="0.25">
      <c r="A3970" s="629" t="s">
        <v>3065</v>
      </c>
      <c r="B3970" s="630">
        <v>366</v>
      </c>
      <c r="C3970" s="631" t="str">
        <f t="shared" si="66"/>
        <v>Ô tô vận tải thùng 10 tấn366</v>
      </c>
      <c r="D3970" s="630"/>
      <c r="E3970" s="630"/>
      <c r="F3970" s="630"/>
      <c r="G3970" s="630"/>
    </row>
    <row r="3971" spans="1:7" ht="18.75" x14ac:dyDescent="0.25">
      <c r="A3971" s="629" t="s">
        <v>3065</v>
      </c>
      <c r="B3971" s="630">
        <v>367</v>
      </c>
      <c r="C3971" s="631" t="str">
        <f t="shared" si="66"/>
        <v>Ô tô vận tải thùng 10 tấn367</v>
      </c>
      <c r="D3971" s="630"/>
      <c r="E3971" s="630"/>
      <c r="F3971" s="630"/>
      <c r="G3971" s="630"/>
    </row>
    <row r="3972" spans="1:7" ht="18.75" x14ac:dyDescent="0.25">
      <c r="A3972" s="629" t="s">
        <v>3065</v>
      </c>
      <c r="B3972" s="630">
        <v>368</v>
      </c>
      <c r="C3972" s="631" t="str">
        <f t="shared" si="66"/>
        <v>Ô tô vận tải thùng 10 tấn368</v>
      </c>
      <c r="D3972" s="630"/>
      <c r="E3972" s="630"/>
      <c r="F3972" s="630"/>
      <c r="G3972" s="630"/>
    </row>
    <row r="3973" spans="1:7" ht="18.75" x14ac:dyDescent="0.25">
      <c r="A3973" s="629" t="s">
        <v>3065</v>
      </c>
      <c r="B3973" s="630">
        <v>369</v>
      </c>
      <c r="C3973" s="631" t="str">
        <f t="shared" si="66"/>
        <v>Ô tô vận tải thùng 10 tấn369</v>
      </c>
      <c r="D3973" s="630"/>
      <c r="E3973" s="630"/>
      <c r="F3973" s="630"/>
      <c r="G3973" s="630"/>
    </row>
    <row r="3974" spans="1:7" ht="18.75" x14ac:dyDescent="0.25">
      <c r="A3974" s="629" t="s">
        <v>3065</v>
      </c>
      <c r="B3974" s="630">
        <v>370</v>
      </c>
      <c r="C3974" s="631" t="str">
        <f t="shared" si="66"/>
        <v>Ô tô vận tải thùng 10 tấn370</v>
      </c>
      <c r="D3974" s="630"/>
      <c r="E3974" s="630"/>
      <c r="F3974" s="630"/>
      <c r="G3974" s="630"/>
    </row>
    <row r="3975" spans="1:7" ht="18.75" x14ac:dyDescent="0.25">
      <c r="A3975" s="629" t="s">
        <v>3065</v>
      </c>
      <c r="B3975" s="630">
        <v>371</v>
      </c>
      <c r="C3975" s="631" t="str">
        <f t="shared" si="66"/>
        <v>Ô tô vận tải thùng 10 tấn371</v>
      </c>
      <c r="D3975" s="630"/>
      <c r="E3975" s="630"/>
      <c r="F3975" s="630"/>
      <c r="G3975" s="630"/>
    </row>
    <row r="3976" spans="1:7" ht="18.75" x14ac:dyDescent="0.25">
      <c r="A3976" s="629" t="s">
        <v>3065</v>
      </c>
      <c r="B3976" s="630">
        <v>372</v>
      </c>
      <c r="C3976" s="631" t="str">
        <f t="shared" si="66"/>
        <v>Ô tô vận tải thùng 10 tấn372</v>
      </c>
      <c r="D3976" s="630"/>
      <c r="E3976" s="630"/>
      <c r="F3976" s="630"/>
      <c r="G3976" s="630"/>
    </row>
    <row r="3977" spans="1:7" ht="18.75" x14ac:dyDescent="0.25">
      <c r="A3977" s="629" t="s">
        <v>3065</v>
      </c>
      <c r="B3977" s="630">
        <v>373</v>
      </c>
      <c r="C3977" s="631" t="str">
        <f t="shared" si="66"/>
        <v>Ô tô vận tải thùng 10 tấn373</v>
      </c>
      <c r="D3977" s="630"/>
      <c r="E3977" s="630"/>
      <c r="F3977" s="630"/>
      <c r="G3977" s="630"/>
    </row>
    <row r="3978" spans="1:7" ht="18.75" x14ac:dyDescent="0.25">
      <c r="A3978" s="629" t="s">
        <v>3065</v>
      </c>
      <c r="B3978" s="630">
        <v>374</v>
      </c>
      <c r="C3978" s="631" t="str">
        <f t="shared" si="66"/>
        <v>Ô tô vận tải thùng 10 tấn374</v>
      </c>
      <c r="D3978" s="630"/>
      <c r="E3978" s="630"/>
      <c r="F3978" s="630"/>
      <c r="G3978" s="630"/>
    </row>
    <row r="3979" spans="1:7" ht="18.75" x14ac:dyDescent="0.25">
      <c r="A3979" s="629" t="s">
        <v>3065</v>
      </c>
      <c r="B3979" s="630">
        <v>375</v>
      </c>
      <c r="C3979" s="631" t="str">
        <f t="shared" si="66"/>
        <v>Ô tô vận tải thùng 10 tấn375</v>
      </c>
      <c r="D3979" s="630"/>
      <c r="E3979" s="630"/>
      <c r="F3979" s="630"/>
      <c r="G3979" s="630"/>
    </row>
    <row r="3980" spans="1:7" ht="18.75" x14ac:dyDescent="0.25">
      <c r="A3980" s="629" t="s">
        <v>3065</v>
      </c>
      <c r="B3980" s="630">
        <v>376</v>
      </c>
      <c r="C3980" s="631" t="str">
        <f t="shared" si="66"/>
        <v>Ô tô vận tải thùng 10 tấn376</v>
      </c>
      <c r="D3980" s="630"/>
      <c r="E3980" s="630"/>
      <c r="F3980" s="630"/>
      <c r="G3980" s="630"/>
    </row>
    <row r="3981" spans="1:7" ht="18.75" x14ac:dyDescent="0.25">
      <c r="A3981" s="629" t="s">
        <v>3065</v>
      </c>
      <c r="B3981" s="630">
        <v>377</v>
      </c>
      <c r="C3981" s="631" t="str">
        <f t="shared" si="66"/>
        <v>Ô tô vận tải thùng 10 tấn377</v>
      </c>
      <c r="D3981" s="630"/>
      <c r="E3981" s="630"/>
      <c r="F3981" s="630"/>
      <c r="G3981" s="630"/>
    </row>
    <row r="3982" spans="1:7" ht="18.75" x14ac:dyDescent="0.25">
      <c r="A3982" s="629" t="s">
        <v>3065</v>
      </c>
      <c r="B3982" s="630">
        <v>378</v>
      </c>
      <c r="C3982" s="631" t="str">
        <f t="shared" si="66"/>
        <v>Ô tô vận tải thùng 10 tấn378</v>
      </c>
      <c r="D3982" s="630"/>
      <c r="E3982" s="630"/>
      <c r="F3982" s="630"/>
      <c r="G3982" s="630"/>
    </row>
    <row r="3983" spans="1:7" ht="18.75" x14ac:dyDescent="0.25">
      <c r="A3983" s="629" t="s">
        <v>3065</v>
      </c>
      <c r="B3983" s="630">
        <v>379</v>
      </c>
      <c r="C3983" s="631" t="str">
        <f t="shared" si="66"/>
        <v>Ô tô vận tải thùng 10 tấn379</v>
      </c>
      <c r="D3983" s="630"/>
      <c r="E3983" s="630"/>
      <c r="F3983" s="630"/>
      <c r="G3983" s="630"/>
    </row>
    <row r="3984" spans="1:7" ht="18.75" x14ac:dyDescent="0.25">
      <c r="A3984" s="629" t="s">
        <v>3065</v>
      </c>
      <c r="B3984" s="630">
        <v>380</v>
      </c>
      <c r="C3984" s="631" t="str">
        <f t="shared" si="66"/>
        <v>Ô tô vận tải thùng 10 tấn380</v>
      </c>
      <c r="D3984" s="630"/>
      <c r="E3984" s="630"/>
      <c r="F3984" s="630"/>
      <c r="G3984" s="630"/>
    </row>
    <row r="3985" spans="1:7" ht="18.75" x14ac:dyDescent="0.25">
      <c r="A3985" s="629" t="s">
        <v>3065</v>
      </c>
      <c r="B3985" s="630">
        <v>381</v>
      </c>
      <c r="C3985" s="631" t="str">
        <f t="shared" si="66"/>
        <v>Ô tô vận tải thùng 10 tấn381</v>
      </c>
      <c r="D3985" s="630"/>
      <c r="E3985" s="630"/>
      <c r="F3985" s="630"/>
      <c r="G3985" s="630"/>
    </row>
    <row r="3986" spans="1:7" ht="18.75" x14ac:dyDescent="0.25">
      <c r="A3986" s="629" t="s">
        <v>3065</v>
      </c>
      <c r="B3986" s="630">
        <v>382</v>
      </c>
      <c r="C3986" s="631" t="str">
        <f t="shared" si="66"/>
        <v>Ô tô vận tải thùng 10 tấn382</v>
      </c>
      <c r="D3986" s="630"/>
      <c r="E3986" s="630"/>
      <c r="F3986" s="630"/>
      <c r="G3986" s="630"/>
    </row>
    <row r="3987" spans="1:7" ht="18.75" x14ac:dyDescent="0.25">
      <c r="A3987" s="629" t="s">
        <v>3065</v>
      </c>
      <c r="B3987" s="630">
        <v>383</v>
      </c>
      <c r="C3987" s="631" t="str">
        <f t="shared" si="66"/>
        <v>Ô tô vận tải thùng 10 tấn383</v>
      </c>
      <c r="D3987" s="630"/>
      <c r="E3987" s="630"/>
      <c r="F3987" s="630"/>
      <c r="G3987" s="630"/>
    </row>
    <row r="3988" spans="1:7" ht="18.75" x14ac:dyDescent="0.25">
      <c r="A3988" s="629" t="s">
        <v>3065</v>
      </c>
      <c r="B3988" s="630">
        <v>384</v>
      </c>
      <c r="C3988" s="631" t="str">
        <f t="shared" si="66"/>
        <v>Ô tô vận tải thùng 10 tấn384</v>
      </c>
      <c r="D3988" s="630"/>
      <c r="E3988" s="630"/>
      <c r="F3988" s="630"/>
      <c r="G3988" s="630"/>
    </row>
    <row r="3989" spans="1:7" ht="18.75" x14ac:dyDescent="0.25">
      <c r="A3989" s="629" t="s">
        <v>3065</v>
      </c>
      <c r="B3989" s="630">
        <v>385</v>
      </c>
      <c r="C3989" s="631" t="str">
        <f t="shared" si="66"/>
        <v>Ô tô vận tải thùng 10 tấn385</v>
      </c>
      <c r="D3989" s="630"/>
      <c r="E3989" s="630"/>
      <c r="F3989" s="630"/>
      <c r="G3989" s="630"/>
    </row>
    <row r="3990" spans="1:7" ht="18.75" x14ac:dyDescent="0.25">
      <c r="A3990" s="629" t="s">
        <v>3065</v>
      </c>
      <c r="B3990" s="630">
        <v>386</v>
      </c>
      <c r="C3990" s="631" t="str">
        <f t="shared" ref="C3990:C4053" si="67">A3990&amp;B3990</f>
        <v>Ô tô vận tải thùng 10 tấn386</v>
      </c>
      <c r="D3990" s="630"/>
      <c r="E3990" s="630"/>
      <c r="F3990" s="630"/>
      <c r="G3990" s="630"/>
    </row>
    <row r="3991" spans="1:7" ht="18.75" x14ac:dyDescent="0.25">
      <c r="A3991" s="629" t="s">
        <v>3065</v>
      </c>
      <c r="B3991" s="630">
        <v>387</v>
      </c>
      <c r="C3991" s="631" t="str">
        <f t="shared" si="67"/>
        <v>Ô tô vận tải thùng 10 tấn387</v>
      </c>
      <c r="D3991" s="630"/>
      <c r="E3991" s="630"/>
      <c r="F3991" s="630"/>
      <c r="G3991" s="630"/>
    </row>
    <row r="3992" spans="1:7" ht="18.75" x14ac:dyDescent="0.25">
      <c r="A3992" s="629" t="s">
        <v>3065</v>
      </c>
      <c r="B3992" s="630">
        <v>388</v>
      </c>
      <c r="C3992" s="631" t="str">
        <f t="shared" si="67"/>
        <v>Ô tô vận tải thùng 10 tấn388</v>
      </c>
      <c r="D3992" s="630"/>
      <c r="E3992" s="630"/>
      <c r="F3992" s="630"/>
      <c r="G3992" s="630"/>
    </row>
    <row r="3993" spans="1:7" ht="18.75" x14ac:dyDescent="0.25">
      <c r="A3993" s="629" t="s">
        <v>3065</v>
      </c>
      <c r="B3993" s="630">
        <v>389</v>
      </c>
      <c r="C3993" s="631" t="str">
        <f t="shared" si="67"/>
        <v>Ô tô vận tải thùng 10 tấn389</v>
      </c>
      <c r="D3993" s="630"/>
      <c r="E3993" s="630"/>
      <c r="F3993" s="630"/>
      <c r="G3993" s="630"/>
    </row>
    <row r="3994" spans="1:7" ht="18.75" x14ac:dyDescent="0.25">
      <c r="A3994" s="629" t="s">
        <v>3065</v>
      </c>
      <c r="B3994" s="630">
        <v>390</v>
      </c>
      <c r="C3994" s="631" t="str">
        <f t="shared" si="67"/>
        <v>Ô tô vận tải thùng 10 tấn390</v>
      </c>
      <c r="D3994" s="630"/>
      <c r="E3994" s="630"/>
      <c r="F3994" s="630"/>
      <c r="G3994" s="630"/>
    </row>
    <row r="3995" spans="1:7" ht="18.75" x14ac:dyDescent="0.25">
      <c r="A3995" s="629" t="s">
        <v>3065</v>
      </c>
      <c r="B3995" s="630">
        <v>391</v>
      </c>
      <c r="C3995" s="631" t="str">
        <f t="shared" si="67"/>
        <v>Ô tô vận tải thùng 10 tấn391</v>
      </c>
      <c r="D3995" s="630"/>
      <c r="E3995" s="630"/>
      <c r="F3995" s="630"/>
      <c r="G3995" s="630"/>
    </row>
    <row r="3996" spans="1:7" ht="18.75" x14ac:dyDescent="0.25">
      <c r="A3996" s="629" t="s">
        <v>3065</v>
      </c>
      <c r="B3996" s="630">
        <v>392</v>
      </c>
      <c r="C3996" s="631" t="str">
        <f t="shared" si="67"/>
        <v>Ô tô vận tải thùng 10 tấn392</v>
      </c>
      <c r="D3996" s="630"/>
      <c r="E3996" s="630"/>
      <c r="F3996" s="630"/>
      <c r="G3996" s="630"/>
    </row>
    <row r="3997" spans="1:7" ht="18.75" x14ac:dyDescent="0.25">
      <c r="A3997" s="629" t="s">
        <v>3065</v>
      </c>
      <c r="B3997" s="630">
        <v>393</v>
      </c>
      <c r="C3997" s="631" t="str">
        <f t="shared" si="67"/>
        <v>Ô tô vận tải thùng 10 tấn393</v>
      </c>
      <c r="D3997" s="630"/>
      <c r="E3997" s="630"/>
      <c r="F3997" s="630"/>
      <c r="G3997" s="630"/>
    </row>
    <row r="3998" spans="1:7" ht="18.75" x14ac:dyDescent="0.25">
      <c r="A3998" s="629" t="s">
        <v>3065</v>
      </c>
      <c r="B3998" s="630">
        <v>394</v>
      </c>
      <c r="C3998" s="631" t="str">
        <f t="shared" si="67"/>
        <v>Ô tô vận tải thùng 10 tấn394</v>
      </c>
      <c r="D3998" s="630"/>
      <c r="E3998" s="630"/>
      <c r="F3998" s="630"/>
      <c r="G3998" s="630"/>
    </row>
    <row r="3999" spans="1:7" ht="18.75" x14ac:dyDescent="0.25">
      <c r="A3999" s="629" t="s">
        <v>3065</v>
      </c>
      <c r="B3999" s="630">
        <v>395</v>
      </c>
      <c r="C3999" s="631" t="str">
        <f t="shared" si="67"/>
        <v>Ô tô vận tải thùng 10 tấn395</v>
      </c>
      <c r="D3999" s="630"/>
      <c r="E3999" s="630"/>
      <c r="F3999" s="630"/>
      <c r="G3999" s="630"/>
    </row>
    <row r="4000" spans="1:7" ht="18.75" x14ac:dyDescent="0.25">
      <c r="A4000" s="629" t="s">
        <v>3065</v>
      </c>
      <c r="B4000" s="630">
        <v>396</v>
      </c>
      <c r="C4000" s="631" t="str">
        <f t="shared" si="67"/>
        <v>Ô tô vận tải thùng 10 tấn396</v>
      </c>
      <c r="D4000" s="630"/>
      <c r="E4000" s="630"/>
      <c r="F4000" s="630"/>
      <c r="G4000" s="630"/>
    </row>
    <row r="4001" spans="1:7" ht="18.75" x14ac:dyDescent="0.25">
      <c r="A4001" s="629" t="s">
        <v>3065</v>
      </c>
      <c r="B4001" s="630">
        <v>397</v>
      </c>
      <c r="C4001" s="631" t="str">
        <f t="shared" si="67"/>
        <v>Ô tô vận tải thùng 10 tấn397</v>
      </c>
      <c r="D4001" s="630"/>
      <c r="E4001" s="630"/>
      <c r="F4001" s="630"/>
      <c r="G4001" s="630"/>
    </row>
    <row r="4002" spans="1:7" ht="18.75" x14ac:dyDescent="0.25">
      <c r="A4002" s="629" t="s">
        <v>3065</v>
      </c>
      <c r="B4002" s="630">
        <v>398</v>
      </c>
      <c r="C4002" s="631" t="str">
        <f t="shared" si="67"/>
        <v>Ô tô vận tải thùng 10 tấn398</v>
      </c>
      <c r="D4002" s="630"/>
      <c r="E4002" s="630"/>
      <c r="F4002" s="630"/>
      <c r="G4002" s="630"/>
    </row>
    <row r="4003" spans="1:7" ht="18.75" x14ac:dyDescent="0.25">
      <c r="A4003" s="629" t="s">
        <v>3065</v>
      </c>
      <c r="B4003" s="630">
        <v>399</v>
      </c>
      <c r="C4003" s="631" t="str">
        <f t="shared" si="67"/>
        <v>Ô tô vận tải thùng 10 tấn399</v>
      </c>
      <c r="D4003" s="630"/>
      <c r="E4003" s="630"/>
      <c r="F4003" s="630"/>
      <c r="G4003" s="630"/>
    </row>
    <row r="4004" spans="1:7" ht="18.75" x14ac:dyDescent="0.25">
      <c r="A4004" s="629" t="s">
        <v>3065</v>
      </c>
      <c r="B4004" s="630">
        <v>400</v>
      </c>
      <c r="C4004" s="631" t="str">
        <f t="shared" si="67"/>
        <v>Ô tô vận tải thùng 10 tấn400</v>
      </c>
      <c r="D4004" s="630"/>
      <c r="E4004" s="630"/>
      <c r="F4004" s="630"/>
      <c r="G4004" s="630"/>
    </row>
    <row r="4005" spans="1:7" ht="18.75" x14ac:dyDescent="0.25">
      <c r="A4005" s="629" t="s">
        <v>3065</v>
      </c>
      <c r="B4005" s="630">
        <v>401</v>
      </c>
      <c r="C4005" s="631" t="str">
        <f t="shared" si="67"/>
        <v>Ô tô vận tải thùng 10 tấn401</v>
      </c>
      <c r="D4005" s="630"/>
      <c r="E4005" s="630"/>
      <c r="F4005" s="630"/>
      <c r="G4005" s="630"/>
    </row>
    <row r="4006" spans="1:7" ht="18.75" x14ac:dyDescent="0.25">
      <c r="A4006" s="629" t="s">
        <v>3065</v>
      </c>
      <c r="B4006" s="630">
        <v>402</v>
      </c>
      <c r="C4006" s="631" t="str">
        <f t="shared" si="67"/>
        <v>Ô tô vận tải thùng 10 tấn402</v>
      </c>
      <c r="D4006" s="630"/>
      <c r="E4006" s="630"/>
      <c r="F4006" s="630"/>
      <c r="G4006" s="630"/>
    </row>
    <row r="4007" spans="1:7" ht="18.75" x14ac:dyDescent="0.25">
      <c r="A4007" s="629" t="s">
        <v>3065</v>
      </c>
      <c r="B4007" s="630">
        <v>403</v>
      </c>
      <c r="C4007" s="631" t="str">
        <f t="shared" si="67"/>
        <v>Ô tô vận tải thùng 10 tấn403</v>
      </c>
      <c r="D4007" s="630"/>
      <c r="E4007" s="630"/>
      <c r="F4007" s="630"/>
      <c r="G4007" s="630"/>
    </row>
    <row r="4008" spans="1:7" ht="18.75" x14ac:dyDescent="0.25">
      <c r="A4008" s="629" t="s">
        <v>3065</v>
      </c>
      <c r="B4008" s="630">
        <v>404</v>
      </c>
      <c r="C4008" s="631" t="str">
        <f t="shared" si="67"/>
        <v>Ô tô vận tải thùng 10 tấn404</v>
      </c>
      <c r="D4008" s="630"/>
      <c r="E4008" s="630"/>
      <c r="F4008" s="630"/>
      <c r="G4008" s="630"/>
    </row>
    <row r="4009" spans="1:7" ht="18.75" x14ac:dyDescent="0.25">
      <c r="A4009" s="629" t="s">
        <v>3065</v>
      </c>
      <c r="B4009" s="630">
        <v>405</v>
      </c>
      <c r="C4009" s="631" t="str">
        <f t="shared" si="67"/>
        <v>Ô tô vận tải thùng 10 tấn405</v>
      </c>
      <c r="D4009" s="630"/>
      <c r="E4009" s="630"/>
      <c r="F4009" s="630"/>
      <c r="G4009" s="630"/>
    </row>
    <row r="4010" spans="1:7" ht="18.75" x14ac:dyDescent="0.25">
      <c r="A4010" s="629" t="s">
        <v>3065</v>
      </c>
      <c r="B4010" s="630">
        <v>406</v>
      </c>
      <c r="C4010" s="631" t="str">
        <f t="shared" si="67"/>
        <v>Ô tô vận tải thùng 10 tấn406</v>
      </c>
      <c r="D4010" s="630"/>
      <c r="E4010" s="630"/>
      <c r="F4010" s="630"/>
      <c r="G4010" s="630"/>
    </row>
    <row r="4011" spans="1:7" ht="18.75" x14ac:dyDescent="0.25">
      <c r="A4011" s="629" t="s">
        <v>3065</v>
      </c>
      <c r="B4011" s="630">
        <v>407</v>
      </c>
      <c r="C4011" s="631" t="str">
        <f t="shared" si="67"/>
        <v>Ô tô vận tải thùng 10 tấn407</v>
      </c>
      <c r="D4011" s="630"/>
      <c r="E4011" s="630"/>
      <c r="F4011" s="630"/>
      <c r="G4011" s="630"/>
    </row>
    <row r="4012" spans="1:7" ht="18.75" x14ac:dyDescent="0.25">
      <c r="A4012" s="629" t="s">
        <v>3065</v>
      </c>
      <c r="B4012" s="630">
        <v>408</v>
      </c>
      <c r="C4012" s="631" t="str">
        <f t="shared" si="67"/>
        <v>Ô tô vận tải thùng 10 tấn408</v>
      </c>
      <c r="D4012" s="630"/>
      <c r="E4012" s="630"/>
      <c r="F4012" s="630"/>
      <c r="G4012" s="630"/>
    </row>
    <row r="4013" spans="1:7" ht="18.75" x14ac:dyDescent="0.25">
      <c r="A4013" s="629" t="s">
        <v>3065</v>
      </c>
      <c r="B4013" s="630">
        <v>409</v>
      </c>
      <c r="C4013" s="631" t="str">
        <f t="shared" si="67"/>
        <v>Ô tô vận tải thùng 10 tấn409</v>
      </c>
      <c r="D4013" s="630"/>
      <c r="E4013" s="630"/>
      <c r="F4013" s="630"/>
      <c r="G4013" s="630"/>
    </row>
    <row r="4014" spans="1:7" ht="18.75" x14ac:dyDescent="0.25">
      <c r="A4014" s="629" t="s">
        <v>3065</v>
      </c>
      <c r="B4014" s="630">
        <v>410</v>
      </c>
      <c r="C4014" s="631" t="str">
        <f t="shared" si="67"/>
        <v>Ô tô vận tải thùng 10 tấn410</v>
      </c>
      <c r="D4014" s="630"/>
      <c r="E4014" s="630"/>
      <c r="F4014" s="630"/>
      <c r="G4014" s="630"/>
    </row>
    <row r="4015" spans="1:7" ht="18.75" x14ac:dyDescent="0.25">
      <c r="A4015" s="629" t="s">
        <v>3065</v>
      </c>
      <c r="B4015" s="630">
        <v>411</v>
      </c>
      <c r="C4015" s="631" t="str">
        <f t="shared" si="67"/>
        <v>Ô tô vận tải thùng 10 tấn411</v>
      </c>
      <c r="D4015" s="630"/>
      <c r="E4015" s="630"/>
      <c r="F4015" s="630"/>
      <c r="G4015" s="630"/>
    </row>
    <row r="4016" spans="1:7" ht="18.75" x14ac:dyDescent="0.25">
      <c r="A4016" s="629" t="s">
        <v>3065</v>
      </c>
      <c r="B4016" s="630">
        <v>412</v>
      </c>
      <c r="C4016" s="631" t="str">
        <f t="shared" si="67"/>
        <v>Ô tô vận tải thùng 10 tấn412</v>
      </c>
      <c r="D4016" s="630"/>
      <c r="E4016" s="630"/>
      <c r="F4016" s="630"/>
      <c r="G4016" s="630"/>
    </row>
    <row r="4017" spans="1:7" ht="18.75" x14ac:dyDescent="0.25">
      <c r="A4017" s="629" t="s">
        <v>3065</v>
      </c>
      <c r="B4017" s="630">
        <v>413</v>
      </c>
      <c r="C4017" s="631" t="str">
        <f t="shared" si="67"/>
        <v>Ô tô vận tải thùng 10 tấn413</v>
      </c>
      <c r="D4017" s="630"/>
      <c r="E4017" s="630"/>
      <c r="F4017" s="630"/>
      <c r="G4017" s="630"/>
    </row>
    <row r="4018" spans="1:7" ht="18.75" x14ac:dyDescent="0.25">
      <c r="A4018" s="629" t="s">
        <v>3065</v>
      </c>
      <c r="B4018" s="630">
        <v>414</v>
      </c>
      <c r="C4018" s="631" t="str">
        <f t="shared" si="67"/>
        <v>Ô tô vận tải thùng 10 tấn414</v>
      </c>
      <c r="D4018" s="630"/>
      <c r="E4018" s="630"/>
      <c r="F4018" s="630"/>
      <c r="G4018" s="630"/>
    </row>
    <row r="4019" spans="1:7" ht="18.75" x14ac:dyDescent="0.25">
      <c r="A4019" s="629" t="s">
        <v>3065</v>
      </c>
      <c r="B4019" s="630">
        <v>415</v>
      </c>
      <c r="C4019" s="631" t="str">
        <f t="shared" si="67"/>
        <v>Ô tô vận tải thùng 10 tấn415</v>
      </c>
      <c r="D4019" s="630"/>
      <c r="E4019" s="630"/>
      <c r="F4019" s="630"/>
      <c r="G4019" s="630"/>
    </row>
    <row r="4020" spans="1:7" ht="18.75" x14ac:dyDescent="0.25">
      <c r="A4020" s="629" t="s">
        <v>3065</v>
      </c>
      <c r="B4020" s="630">
        <v>416</v>
      </c>
      <c r="C4020" s="631" t="str">
        <f t="shared" si="67"/>
        <v>Ô tô vận tải thùng 10 tấn416</v>
      </c>
      <c r="D4020" s="630"/>
      <c r="E4020" s="630"/>
      <c r="F4020" s="630"/>
      <c r="G4020" s="630"/>
    </row>
    <row r="4021" spans="1:7" ht="18.75" x14ac:dyDescent="0.25">
      <c r="A4021" s="629" t="s">
        <v>3065</v>
      </c>
      <c r="B4021" s="630">
        <v>417</v>
      </c>
      <c r="C4021" s="631" t="str">
        <f t="shared" si="67"/>
        <v>Ô tô vận tải thùng 10 tấn417</v>
      </c>
      <c r="D4021" s="630"/>
      <c r="E4021" s="630"/>
      <c r="F4021" s="630"/>
      <c r="G4021" s="630"/>
    </row>
    <row r="4022" spans="1:7" ht="18.75" x14ac:dyDescent="0.25">
      <c r="A4022" s="629" t="s">
        <v>3065</v>
      </c>
      <c r="B4022" s="630">
        <v>418</v>
      </c>
      <c r="C4022" s="631" t="str">
        <f t="shared" si="67"/>
        <v>Ô tô vận tải thùng 10 tấn418</v>
      </c>
      <c r="D4022" s="630"/>
      <c r="E4022" s="630"/>
      <c r="F4022" s="630"/>
      <c r="G4022" s="630"/>
    </row>
    <row r="4023" spans="1:7" ht="18.75" x14ac:dyDescent="0.25">
      <c r="A4023" s="629" t="s">
        <v>3065</v>
      </c>
      <c r="B4023" s="630">
        <v>419</v>
      </c>
      <c r="C4023" s="631" t="str">
        <f t="shared" si="67"/>
        <v>Ô tô vận tải thùng 10 tấn419</v>
      </c>
      <c r="D4023" s="630"/>
      <c r="E4023" s="630"/>
      <c r="F4023" s="630"/>
      <c r="G4023" s="630"/>
    </row>
    <row r="4024" spans="1:7" ht="18.75" x14ac:dyDescent="0.25">
      <c r="A4024" s="629" t="s">
        <v>3065</v>
      </c>
      <c r="B4024" s="630">
        <v>420</v>
      </c>
      <c r="C4024" s="631" t="str">
        <f t="shared" si="67"/>
        <v>Ô tô vận tải thùng 10 tấn420</v>
      </c>
      <c r="D4024" s="630"/>
      <c r="E4024" s="630"/>
      <c r="F4024" s="630"/>
      <c r="G4024" s="630"/>
    </row>
    <row r="4025" spans="1:7" ht="18.75" x14ac:dyDescent="0.25">
      <c r="A4025" s="629" t="s">
        <v>3065</v>
      </c>
      <c r="B4025" s="630">
        <v>421</v>
      </c>
      <c r="C4025" s="631" t="str">
        <f t="shared" si="67"/>
        <v>Ô tô vận tải thùng 10 tấn421</v>
      </c>
      <c r="D4025" s="630"/>
      <c r="E4025" s="630"/>
      <c r="F4025" s="630"/>
      <c r="G4025" s="630"/>
    </row>
    <row r="4026" spans="1:7" ht="18.75" x14ac:dyDescent="0.25">
      <c r="A4026" s="629" t="s">
        <v>3065</v>
      </c>
      <c r="B4026" s="630">
        <v>422</v>
      </c>
      <c r="C4026" s="631" t="str">
        <f t="shared" si="67"/>
        <v>Ô tô vận tải thùng 10 tấn422</v>
      </c>
      <c r="D4026" s="630"/>
      <c r="E4026" s="630"/>
      <c r="F4026" s="630"/>
      <c r="G4026" s="630"/>
    </row>
    <row r="4027" spans="1:7" ht="18.75" x14ac:dyDescent="0.25">
      <c r="A4027" s="629" t="s">
        <v>3065</v>
      </c>
      <c r="B4027" s="630">
        <v>423</v>
      </c>
      <c r="C4027" s="631" t="str">
        <f t="shared" si="67"/>
        <v>Ô tô vận tải thùng 10 tấn423</v>
      </c>
      <c r="D4027" s="630"/>
      <c r="E4027" s="630"/>
      <c r="F4027" s="630"/>
      <c r="G4027" s="630"/>
    </row>
    <row r="4028" spans="1:7" ht="18.75" x14ac:dyDescent="0.25">
      <c r="A4028" s="629" t="s">
        <v>3065</v>
      </c>
      <c r="B4028" s="630">
        <v>424</v>
      </c>
      <c r="C4028" s="631" t="str">
        <f t="shared" si="67"/>
        <v>Ô tô vận tải thùng 10 tấn424</v>
      </c>
      <c r="D4028" s="630"/>
      <c r="E4028" s="630"/>
      <c r="F4028" s="630"/>
      <c r="G4028" s="630"/>
    </row>
    <row r="4029" spans="1:7" ht="18.75" x14ac:dyDescent="0.25">
      <c r="A4029" s="629" t="s">
        <v>3065</v>
      </c>
      <c r="B4029" s="630">
        <v>425</v>
      </c>
      <c r="C4029" s="631" t="str">
        <f t="shared" si="67"/>
        <v>Ô tô vận tải thùng 10 tấn425</v>
      </c>
      <c r="D4029" s="630"/>
      <c r="E4029" s="630"/>
      <c r="F4029" s="630"/>
      <c r="G4029" s="630"/>
    </row>
    <row r="4030" spans="1:7" ht="18.75" x14ac:dyDescent="0.25">
      <c r="A4030" s="629" t="s">
        <v>3065</v>
      </c>
      <c r="B4030" s="630">
        <v>426</v>
      </c>
      <c r="C4030" s="631" t="str">
        <f t="shared" si="67"/>
        <v>Ô tô vận tải thùng 10 tấn426</v>
      </c>
      <c r="D4030" s="630"/>
      <c r="E4030" s="630"/>
      <c r="F4030" s="630"/>
      <c r="G4030" s="630"/>
    </row>
    <row r="4031" spans="1:7" ht="18.75" x14ac:dyDescent="0.25">
      <c r="A4031" s="629" t="s">
        <v>3065</v>
      </c>
      <c r="B4031" s="630">
        <v>427</v>
      </c>
      <c r="C4031" s="631" t="str">
        <f t="shared" si="67"/>
        <v>Ô tô vận tải thùng 10 tấn427</v>
      </c>
      <c r="D4031" s="630"/>
      <c r="E4031" s="630"/>
      <c r="F4031" s="630"/>
      <c r="G4031" s="630"/>
    </row>
    <row r="4032" spans="1:7" ht="18.75" x14ac:dyDescent="0.25">
      <c r="A4032" s="629" t="s">
        <v>3065</v>
      </c>
      <c r="B4032" s="630">
        <v>428</v>
      </c>
      <c r="C4032" s="631" t="str">
        <f t="shared" si="67"/>
        <v>Ô tô vận tải thùng 10 tấn428</v>
      </c>
      <c r="D4032" s="630"/>
      <c r="E4032" s="630"/>
      <c r="F4032" s="630"/>
      <c r="G4032" s="630"/>
    </row>
    <row r="4033" spans="1:7" ht="18.75" x14ac:dyDescent="0.25">
      <c r="A4033" s="629" t="s">
        <v>3065</v>
      </c>
      <c r="B4033" s="630">
        <v>429</v>
      </c>
      <c r="C4033" s="631" t="str">
        <f t="shared" si="67"/>
        <v>Ô tô vận tải thùng 10 tấn429</v>
      </c>
      <c r="D4033" s="630"/>
      <c r="E4033" s="630"/>
      <c r="F4033" s="630"/>
      <c r="G4033" s="630"/>
    </row>
    <row r="4034" spans="1:7" ht="18.75" x14ac:dyDescent="0.25">
      <c r="A4034" s="629" t="s">
        <v>3065</v>
      </c>
      <c r="B4034" s="630">
        <v>430</v>
      </c>
      <c r="C4034" s="631" t="str">
        <f t="shared" si="67"/>
        <v>Ô tô vận tải thùng 10 tấn430</v>
      </c>
      <c r="D4034" s="630"/>
      <c r="E4034" s="630"/>
      <c r="F4034" s="630"/>
      <c r="G4034" s="630"/>
    </row>
    <row r="4035" spans="1:7" ht="18.75" x14ac:dyDescent="0.25">
      <c r="A4035" s="629" t="s">
        <v>3065</v>
      </c>
      <c r="B4035" s="630">
        <v>431</v>
      </c>
      <c r="C4035" s="631" t="str">
        <f t="shared" si="67"/>
        <v>Ô tô vận tải thùng 10 tấn431</v>
      </c>
      <c r="D4035" s="630"/>
      <c r="E4035" s="630"/>
      <c r="F4035" s="630"/>
      <c r="G4035" s="630"/>
    </row>
    <row r="4036" spans="1:7" ht="18.75" x14ac:dyDescent="0.25">
      <c r="A4036" s="629" t="s">
        <v>3065</v>
      </c>
      <c r="B4036" s="630">
        <v>432</v>
      </c>
      <c r="C4036" s="631" t="str">
        <f t="shared" si="67"/>
        <v>Ô tô vận tải thùng 10 tấn432</v>
      </c>
      <c r="D4036" s="630"/>
      <c r="E4036" s="630"/>
      <c r="F4036" s="630"/>
      <c r="G4036" s="630"/>
    </row>
    <row r="4037" spans="1:7" ht="18.75" x14ac:dyDescent="0.25">
      <c r="A4037" s="629" t="s">
        <v>3065</v>
      </c>
      <c r="B4037" s="630">
        <v>433</v>
      </c>
      <c r="C4037" s="631" t="str">
        <f t="shared" si="67"/>
        <v>Ô tô vận tải thùng 10 tấn433</v>
      </c>
      <c r="D4037" s="630"/>
      <c r="E4037" s="630"/>
      <c r="F4037" s="630"/>
      <c r="G4037" s="630"/>
    </row>
    <row r="4038" spans="1:7" ht="18.75" x14ac:dyDescent="0.25">
      <c r="A4038" s="629" t="s">
        <v>3065</v>
      </c>
      <c r="B4038" s="630">
        <v>434</v>
      </c>
      <c r="C4038" s="631" t="str">
        <f t="shared" si="67"/>
        <v>Ô tô vận tải thùng 10 tấn434</v>
      </c>
      <c r="D4038" s="630"/>
      <c r="E4038" s="630"/>
      <c r="F4038" s="630"/>
      <c r="G4038" s="630"/>
    </row>
    <row r="4039" spans="1:7" ht="18.75" x14ac:dyDescent="0.25">
      <c r="A4039" s="629" t="s">
        <v>3065</v>
      </c>
      <c r="B4039" s="630">
        <v>435</v>
      </c>
      <c r="C4039" s="631" t="str">
        <f t="shared" si="67"/>
        <v>Ô tô vận tải thùng 10 tấn435</v>
      </c>
      <c r="D4039" s="630"/>
      <c r="E4039" s="630"/>
      <c r="F4039" s="630"/>
      <c r="G4039" s="630"/>
    </row>
    <row r="4040" spans="1:7" ht="18.75" x14ac:dyDescent="0.25">
      <c r="A4040" s="629" t="s">
        <v>3065</v>
      </c>
      <c r="B4040" s="630">
        <v>436</v>
      </c>
      <c r="C4040" s="631" t="str">
        <f t="shared" si="67"/>
        <v>Ô tô vận tải thùng 10 tấn436</v>
      </c>
      <c r="D4040" s="630"/>
      <c r="E4040" s="630"/>
      <c r="F4040" s="630"/>
      <c r="G4040" s="630"/>
    </row>
    <row r="4041" spans="1:7" ht="18.75" x14ac:dyDescent="0.25">
      <c r="A4041" s="629" t="s">
        <v>3065</v>
      </c>
      <c r="B4041" s="630">
        <v>437</v>
      </c>
      <c r="C4041" s="631" t="str">
        <f t="shared" si="67"/>
        <v>Ô tô vận tải thùng 10 tấn437</v>
      </c>
      <c r="D4041" s="630"/>
      <c r="E4041" s="630"/>
      <c r="F4041" s="630"/>
      <c r="G4041" s="630"/>
    </row>
    <row r="4042" spans="1:7" ht="18.75" x14ac:dyDescent="0.25">
      <c r="A4042" s="629" t="s">
        <v>3065</v>
      </c>
      <c r="B4042" s="630">
        <v>438</v>
      </c>
      <c r="C4042" s="631" t="str">
        <f t="shared" si="67"/>
        <v>Ô tô vận tải thùng 10 tấn438</v>
      </c>
      <c r="D4042" s="630"/>
      <c r="E4042" s="630"/>
      <c r="F4042" s="630"/>
      <c r="G4042" s="630"/>
    </row>
    <row r="4043" spans="1:7" ht="18.75" x14ac:dyDescent="0.25">
      <c r="A4043" s="629" t="s">
        <v>3065</v>
      </c>
      <c r="B4043" s="630">
        <v>439</v>
      </c>
      <c r="C4043" s="631" t="str">
        <f t="shared" si="67"/>
        <v>Ô tô vận tải thùng 10 tấn439</v>
      </c>
      <c r="D4043" s="630"/>
      <c r="E4043" s="630"/>
      <c r="F4043" s="630"/>
      <c r="G4043" s="630"/>
    </row>
    <row r="4044" spans="1:7" ht="18.75" x14ac:dyDescent="0.25">
      <c r="A4044" s="629" t="s">
        <v>3065</v>
      </c>
      <c r="B4044" s="630">
        <v>440</v>
      </c>
      <c r="C4044" s="631" t="str">
        <f t="shared" si="67"/>
        <v>Ô tô vận tải thùng 10 tấn440</v>
      </c>
      <c r="D4044" s="630"/>
      <c r="E4044" s="630"/>
      <c r="F4044" s="630"/>
      <c r="G4044" s="630"/>
    </row>
    <row r="4045" spans="1:7" ht="18.75" x14ac:dyDescent="0.25">
      <c r="A4045" s="629" t="s">
        <v>3065</v>
      </c>
      <c r="B4045" s="630">
        <v>441</v>
      </c>
      <c r="C4045" s="631" t="str">
        <f t="shared" si="67"/>
        <v>Ô tô vận tải thùng 10 tấn441</v>
      </c>
      <c r="D4045" s="630"/>
      <c r="E4045" s="630"/>
      <c r="F4045" s="630"/>
      <c r="G4045" s="630"/>
    </row>
    <row r="4046" spans="1:7" ht="18.75" x14ac:dyDescent="0.25">
      <c r="A4046" s="629" t="s">
        <v>3065</v>
      </c>
      <c r="B4046" s="630">
        <v>442</v>
      </c>
      <c r="C4046" s="631" t="str">
        <f t="shared" si="67"/>
        <v>Ô tô vận tải thùng 10 tấn442</v>
      </c>
      <c r="D4046" s="630"/>
      <c r="E4046" s="630"/>
      <c r="F4046" s="630"/>
      <c r="G4046" s="630"/>
    </row>
    <row r="4047" spans="1:7" ht="18.75" x14ac:dyDescent="0.25">
      <c r="A4047" s="629" t="s">
        <v>3065</v>
      </c>
      <c r="B4047" s="630">
        <v>443</v>
      </c>
      <c r="C4047" s="631" t="str">
        <f t="shared" si="67"/>
        <v>Ô tô vận tải thùng 10 tấn443</v>
      </c>
      <c r="D4047" s="630"/>
      <c r="E4047" s="630"/>
      <c r="F4047" s="630"/>
      <c r="G4047" s="630"/>
    </row>
    <row r="4048" spans="1:7" ht="18.75" x14ac:dyDescent="0.25">
      <c r="A4048" s="629" t="s">
        <v>3065</v>
      </c>
      <c r="B4048" s="630">
        <v>444</v>
      </c>
      <c r="C4048" s="631" t="str">
        <f t="shared" si="67"/>
        <v>Ô tô vận tải thùng 10 tấn444</v>
      </c>
      <c r="D4048" s="630"/>
      <c r="E4048" s="630"/>
      <c r="F4048" s="630"/>
      <c r="G4048" s="630"/>
    </row>
    <row r="4049" spans="1:7" ht="18.75" x14ac:dyDescent="0.25">
      <c r="A4049" s="629" t="s">
        <v>3065</v>
      </c>
      <c r="B4049" s="630">
        <v>445</v>
      </c>
      <c r="C4049" s="631" t="str">
        <f t="shared" si="67"/>
        <v>Ô tô vận tải thùng 10 tấn445</v>
      </c>
      <c r="D4049" s="630"/>
      <c r="E4049" s="630"/>
      <c r="F4049" s="630"/>
      <c r="G4049" s="630"/>
    </row>
    <row r="4050" spans="1:7" ht="18.75" x14ac:dyDescent="0.25">
      <c r="A4050" s="629" t="s">
        <v>3065</v>
      </c>
      <c r="B4050" s="630">
        <v>446</v>
      </c>
      <c r="C4050" s="631" t="str">
        <f t="shared" si="67"/>
        <v>Ô tô vận tải thùng 10 tấn446</v>
      </c>
      <c r="D4050" s="630"/>
      <c r="E4050" s="630"/>
      <c r="F4050" s="630"/>
      <c r="G4050" s="630"/>
    </row>
    <row r="4051" spans="1:7" ht="18.75" x14ac:dyDescent="0.25">
      <c r="A4051" s="629" t="s">
        <v>3065</v>
      </c>
      <c r="B4051" s="630">
        <v>447</v>
      </c>
      <c r="C4051" s="631" t="str">
        <f t="shared" si="67"/>
        <v>Ô tô vận tải thùng 10 tấn447</v>
      </c>
      <c r="D4051" s="630"/>
      <c r="E4051" s="630"/>
      <c r="F4051" s="630"/>
      <c r="G4051" s="630"/>
    </row>
    <row r="4052" spans="1:7" ht="18.75" x14ac:dyDescent="0.25">
      <c r="A4052" s="629" t="s">
        <v>3065</v>
      </c>
      <c r="B4052" s="630">
        <v>448</v>
      </c>
      <c r="C4052" s="631" t="str">
        <f t="shared" si="67"/>
        <v>Ô tô vận tải thùng 10 tấn448</v>
      </c>
      <c r="D4052" s="630"/>
      <c r="E4052" s="630"/>
      <c r="F4052" s="630"/>
      <c r="G4052" s="630"/>
    </row>
    <row r="4053" spans="1:7" ht="18.75" x14ac:dyDescent="0.25">
      <c r="A4053" s="629" t="s">
        <v>3065</v>
      </c>
      <c r="B4053" s="630">
        <v>449</v>
      </c>
      <c r="C4053" s="631" t="str">
        <f t="shared" si="67"/>
        <v>Ô tô vận tải thùng 10 tấn449</v>
      </c>
      <c r="D4053" s="630"/>
      <c r="E4053" s="630"/>
      <c r="F4053" s="630"/>
      <c r="G4053" s="630"/>
    </row>
    <row r="4054" spans="1:7" ht="18.75" x14ac:dyDescent="0.25">
      <c r="A4054" s="629" t="s">
        <v>3065</v>
      </c>
      <c r="B4054" s="630">
        <v>450</v>
      </c>
      <c r="C4054" s="631" t="str">
        <f t="shared" ref="C4054:C4104" si="68">A4054&amp;B4054</f>
        <v>Ô tô vận tải thùng 10 tấn450</v>
      </c>
      <c r="D4054" s="630"/>
      <c r="E4054" s="630"/>
      <c r="F4054" s="630"/>
      <c r="G4054" s="630"/>
    </row>
    <row r="4055" spans="1:7" ht="18.75" x14ac:dyDescent="0.25">
      <c r="A4055" s="629" t="s">
        <v>3065</v>
      </c>
      <c r="B4055" s="630">
        <v>451</v>
      </c>
      <c r="C4055" s="631" t="str">
        <f t="shared" si="68"/>
        <v>Ô tô vận tải thùng 10 tấn451</v>
      </c>
      <c r="D4055" s="630"/>
      <c r="E4055" s="630"/>
      <c r="F4055" s="630"/>
      <c r="G4055" s="630"/>
    </row>
    <row r="4056" spans="1:7" ht="18.75" x14ac:dyDescent="0.25">
      <c r="A4056" s="629" t="s">
        <v>3065</v>
      </c>
      <c r="B4056" s="630">
        <v>452</v>
      </c>
      <c r="C4056" s="631" t="str">
        <f t="shared" si="68"/>
        <v>Ô tô vận tải thùng 10 tấn452</v>
      </c>
      <c r="D4056" s="630"/>
      <c r="E4056" s="630"/>
      <c r="F4056" s="630"/>
      <c r="G4056" s="630"/>
    </row>
    <row r="4057" spans="1:7" ht="18.75" x14ac:dyDescent="0.25">
      <c r="A4057" s="629" t="s">
        <v>3065</v>
      </c>
      <c r="B4057" s="630">
        <v>453</v>
      </c>
      <c r="C4057" s="631" t="str">
        <f t="shared" si="68"/>
        <v>Ô tô vận tải thùng 10 tấn453</v>
      </c>
      <c r="D4057" s="630"/>
      <c r="E4057" s="630"/>
      <c r="F4057" s="630"/>
      <c r="G4057" s="630"/>
    </row>
    <row r="4058" spans="1:7" ht="18.75" x14ac:dyDescent="0.25">
      <c r="A4058" s="629" t="s">
        <v>3065</v>
      </c>
      <c r="B4058" s="630">
        <v>454</v>
      </c>
      <c r="C4058" s="631" t="str">
        <f t="shared" si="68"/>
        <v>Ô tô vận tải thùng 10 tấn454</v>
      </c>
      <c r="D4058" s="630"/>
      <c r="E4058" s="630"/>
      <c r="F4058" s="630"/>
      <c r="G4058" s="630"/>
    </row>
    <row r="4059" spans="1:7" ht="18.75" x14ac:dyDescent="0.25">
      <c r="A4059" s="629" t="s">
        <v>3065</v>
      </c>
      <c r="B4059" s="630">
        <v>455</v>
      </c>
      <c r="C4059" s="631" t="str">
        <f t="shared" si="68"/>
        <v>Ô tô vận tải thùng 10 tấn455</v>
      </c>
      <c r="D4059" s="630"/>
      <c r="E4059" s="630"/>
      <c r="F4059" s="630"/>
      <c r="G4059" s="630"/>
    </row>
    <row r="4060" spans="1:7" ht="18.75" x14ac:dyDescent="0.25">
      <c r="A4060" s="629" t="s">
        <v>3065</v>
      </c>
      <c r="B4060" s="630">
        <v>456</v>
      </c>
      <c r="C4060" s="631" t="str">
        <f t="shared" si="68"/>
        <v>Ô tô vận tải thùng 10 tấn456</v>
      </c>
      <c r="D4060" s="630"/>
      <c r="E4060" s="630"/>
      <c r="F4060" s="630"/>
      <c r="G4060" s="630"/>
    </row>
    <row r="4061" spans="1:7" ht="18.75" x14ac:dyDescent="0.25">
      <c r="A4061" s="629" t="s">
        <v>3065</v>
      </c>
      <c r="B4061" s="630">
        <v>457</v>
      </c>
      <c r="C4061" s="631" t="str">
        <f t="shared" si="68"/>
        <v>Ô tô vận tải thùng 10 tấn457</v>
      </c>
      <c r="D4061" s="630"/>
      <c r="E4061" s="630"/>
      <c r="F4061" s="630"/>
      <c r="G4061" s="630"/>
    </row>
    <row r="4062" spans="1:7" ht="18.75" x14ac:dyDescent="0.25">
      <c r="A4062" s="629" t="s">
        <v>3065</v>
      </c>
      <c r="B4062" s="630">
        <v>458</v>
      </c>
      <c r="C4062" s="631" t="str">
        <f t="shared" si="68"/>
        <v>Ô tô vận tải thùng 10 tấn458</v>
      </c>
      <c r="D4062" s="630"/>
      <c r="E4062" s="630"/>
      <c r="F4062" s="630"/>
      <c r="G4062" s="630"/>
    </row>
    <row r="4063" spans="1:7" ht="18.75" x14ac:dyDescent="0.25">
      <c r="A4063" s="629" t="s">
        <v>3065</v>
      </c>
      <c r="B4063" s="630">
        <v>459</v>
      </c>
      <c r="C4063" s="631" t="str">
        <f t="shared" si="68"/>
        <v>Ô tô vận tải thùng 10 tấn459</v>
      </c>
      <c r="D4063" s="630"/>
      <c r="E4063" s="630"/>
      <c r="F4063" s="630"/>
      <c r="G4063" s="630"/>
    </row>
    <row r="4064" spans="1:7" ht="18.75" x14ac:dyDescent="0.25">
      <c r="A4064" s="629" t="s">
        <v>3065</v>
      </c>
      <c r="B4064" s="630">
        <v>460</v>
      </c>
      <c r="C4064" s="631" t="str">
        <f t="shared" si="68"/>
        <v>Ô tô vận tải thùng 10 tấn460</v>
      </c>
      <c r="D4064" s="630"/>
      <c r="E4064" s="630"/>
      <c r="F4064" s="630"/>
      <c r="G4064" s="630"/>
    </row>
    <row r="4065" spans="1:7" ht="18.75" x14ac:dyDescent="0.25">
      <c r="A4065" s="629" t="s">
        <v>3065</v>
      </c>
      <c r="B4065" s="630">
        <v>461</v>
      </c>
      <c r="C4065" s="631" t="str">
        <f t="shared" si="68"/>
        <v>Ô tô vận tải thùng 10 tấn461</v>
      </c>
      <c r="D4065" s="630"/>
      <c r="E4065" s="630"/>
      <c r="F4065" s="630"/>
      <c r="G4065" s="630"/>
    </row>
    <row r="4066" spans="1:7" ht="18.75" x14ac:dyDescent="0.25">
      <c r="A4066" s="629" t="s">
        <v>3065</v>
      </c>
      <c r="B4066" s="630">
        <v>462</v>
      </c>
      <c r="C4066" s="631" t="str">
        <f t="shared" si="68"/>
        <v>Ô tô vận tải thùng 10 tấn462</v>
      </c>
      <c r="D4066" s="630"/>
      <c r="E4066" s="630"/>
      <c r="F4066" s="630"/>
      <c r="G4066" s="630"/>
    </row>
    <row r="4067" spans="1:7" ht="18.75" x14ac:dyDescent="0.25">
      <c r="A4067" s="629" t="s">
        <v>3065</v>
      </c>
      <c r="B4067" s="630">
        <v>463</v>
      </c>
      <c r="C4067" s="631" t="str">
        <f t="shared" si="68"/>
        <v>Ô tô vận tải thùng 10 tấn463</v>
      </c>
      <c r="D4067" s="630"/>
      <c r="E4067" s="630"/>
      <c r="F4067" s="630"/>
      <c r="G4067" s="630"/>
    </row>
    <row r="4068" spans="1:7" ht="18.75" x14ac:dyDescent="0.25">
      <c r="A4068" s="629" t="s">
        <v>3065</v>
      </c>
      <c r="B4068" s="630">
        <v>464</v>
      </c>
      <c r="C4068" s="631" t="str">
        <f t="shared" si="68"/>
        <v>Ô tô vận tải thùng 10 tấn464</v>
      </c>
      <c r="D4068" s="630"/>
      <c r="E4068" s="630"/>
      <c r="F4068" s="630"/>
      <c r="G4068" s="630"/>
    </row>
    <row r="4069" spans="1:7" ht="18.75" x14ac:dyDescent="0.25">
      <c r="A4069" s="629" t="s">
        <v>3065</v>
      </c>
      <c r="B4069" s="630">
        <v>465</v>
      </c>
      <c r="C4069" s="631" t="str">
        <f t="shared" si="68"/>
        <v>Ô tô vận tải thùng 10 tấn465</v>
      </c>
      <c r="D4069" s="630"/>
      <c r="E4069" s="630"/>
      <c r="F4069" s="630"/>
      <c r="G4069" s="630"/>
    </row>
    <row r="4070" spans="1:7" ht="18.75" x14ac:dyDescent="0.25">
      <c r="A4070" s="629" t="s">
        <v>3065</v>
      </c>
      <c r="B4070" s="630">
        <v>466</v>
      </c>
      <c r="C4070" s="631" t="str">
        <f t="shared" si="68"/>
        <v>Ô tô vận tải thùng 10 tấn466</v>
      </c>
      <c r="D4070" s="630"/>
      <c r="E4070" s="630"/>
      <c r="F4070" s="630"/>
      <c r="G4070" s="630"/>
    </row>
    <row r="4071" spans="1:7" ht="18.75" x14ac:dyDescent="0.25">
      <c r="A4071" s="629" t="s">
        <v>3065</v>
      </c>
      <c r="B4071" s="630">
        <v>467</v>
      </c>
      <c r="C4071" s="631" t="str">
        <f t="shared" si="68"/>
        <v>Ô tô vận tải thùng 10 tấn467</v>
      </c>
      <c r="D4071" s="630"/>
      <c r="E4071" s="630"/>
      <c r="F4071" s="630"/>
      <c r="G4071" s="630"/>
    </row>
    <row r="4072" spans="1:7" ht="18.75" x14ac:dyDescent="0.25">
      <c r="A4072" s="629" t="s">
        <v>3065</v>
      </c>
      <c r="B4072" s="630">
        <v>468</v>
      </c>
      <c r="C4072" s="631" t="str">
        <f t="shared" si="68"/>
        <v>Ô tô vận tải thùng 10 tấn468</v>
      </c>
      <c r="D4072" s="630"/>
      <c r="E4072" s="630"/>
      <c r="F4072" s="630"/>
      <c r="G4072" s="630"/>
    </row>
    <row r="4073" spans="1:7" ht="18.75" x14ac:dyDescent="0.25">
      <c r="A4073" s="629" t="s">
        <v>3065</v>
      </c>
      <c r="B4073" s="630">
        <v>469</v>
      </c>
      <c r="C4073" s="631" t="str">
        <f t="shared" si="68"/>
        <v>Ô tô vận tải thùng 10 tấn469</v>
      </c>
      <c r="D4073" s="630"/>
      <c r="E4073" s="630"/>
      <c r="F4073" s="630"/>
      <c r="G4073" s="630"/>
    </row>
    <row r="4074" spans="1:7" ht="18.75" x14ac:dyDescent="0.25">
      <c r="A4074" s="629" t="s">
        <v>3065</v>
      </c>
      <c r="B4074" s="630">
        <v>470</v>
      </c>
      <c r="C4074" s="631" t="str">
        <f t="shared" si="68"/>
        <v>Ô tô vận tải thùng 10 tấn470</v>
      </c>
      <c r="D4074" s="630"/>
      <c r="E4074" s="630"/>
      <c r="F4074" s="630"/>
      <c r="G4074" s="630"/>
    </row>
    <row r="4075" spans="1:7" ht="18.75" x14ac:dyDescent="0.25">
      <c r="A4075" s="629" t="s">
        <v>3065</v>
      </c>
      <c r="B4075" s="630">
        <v>471</v>
      </c>
      <c r="C4075" s="631" t="str">
        <f t="shared" si="68"/>
        <v>Ô tô vận tải thùng 10 tấn471</v>
      </c>
      <c r="D4075" s="630"/>
      <c r="E4075" s="630"/>
      <c r="F4075" s="630"/>
      <c r="G4075" s="630"/>
    </row>
    <row r="4076" spans="1:7" ht="18.75" x14ac:dyDescent="0.25">
      <c r="A4076" s="629" t="s">
        <v>3065</v>
      </c>
      <c r="B4076" s="630">
        <v>472</v>
      </c>
      <c r="C4076" s="631" t="str">
        <f t="shared" si="68"/>
        <v>Ô tô vận tải thùng 10 tấn472</v>
      </c>
      <c r="D4076" s="630"/>
      <c r="E4076" s="630"/>
      <c r="F4076" s="630"/>
      <c r="G4076" s="630"/>
    </row>
    <row r="4077" spans="1:7" ht="18.75" x14ac:dyDescent="0.25">
      <c r="A4077" s="629" t="s">
        <v>3065</v>
      </c>
      <c r="B4077" s="630">
        <v>473</v>
      </c>
      <c r="C4077" s="631" t="str">
        <f t="shared" si="68"/>
        <v>Ô tô vận tải thùng 10 tấn473</v>
      </c>
      <c r="D4077" s="630"/>
      <c r="E4077" s="630"/>
      <c r="F4077" s="630"/>
      <c r="G4077" s="630"/>
    </row>
    <row r="4078" spans="1:7" ht="18.75" x14ac:dyDescent="0.25">
      <c r="A4078" s="629" t="s">
        <v>3065</v>
      </c>
      <c r="B4078" s="630">
        <v>474</v>
      </c>
      <c r="C4078" s="631" t="str">
        <f t="shared" si="68"/>
        <v>Ô tô vận tải thùng 10 tấn474</v>
      </c>
      <c r="D4078" s="630"/>
      <c r="E4078" s="630"/>
      <c r="F4078" s="630"/>
      <c r="G4078" s="630"/>
    </row>
    <row r="4079" spans="1:7" ht="18.75" x14ac:dyDescent="0.25">
      <c r="A4079" s="629" t="s">
        <v>3065</v>
      </c>
      <c r="B4079" s="630">
        <v>475</v>
      </c>
      <c r="C4079" s="631" t="str">
        <f t="shared" si="68"/>
        <v>Ô tô vận tải thùng 10 tấn475</v>
      </c>
      <c r="D4079" s="630"/>
      <c r="E4079" s="630"/>
      <c r="F4079" s="630"/>
      <c r="G4079" s="630"/>
    </row>
    <row r="4080" spans="1:7" ht="18.75" x14ac:dyDescent="0.25">
      <c r="A4080" s="629" t="s">
        <v>3065</v>
      </c>
      <c r="B4080" s="630">
        <v>476</v>
      </c>
      <c r="C4080" s="631" t="str">
        <f t="shared" si="68"/>
        <v>Ô tô vận tải thùng 10 tấn476</v>
      </c>
      <c r="D4080" s="630"/>
      <c r="E4080" s="630"/>
      <c r="F4080" s="630"/>
      <c r="G4080" s="630"/>
    </row>
    <row r="4081" spans="1:7" ht="18.75" x14ac:dyDescent="0.25">
      <c r="A4081" s="629" t="s">
        <v>3065</v>
      </c>
      <c r="B4081" s="630">
        <v>477</v>
      </c>
      <c r="C4081" s="631" t="str">
        <f t="shared" si="68"/>
        <v>Ô tô vận tải thùng 10 tấn477</v>
      </c>
      <c r="D4081" s="630"/>
      <c r="E4081" s="630"/>
      <c r="F4081" s="630"/>
      <c r="G4081" s="630"/>
    </row>
    <row r="4082" spans="1:7" ht="18.75" x14ac:dyDescent="0.25">
      <c r="A4082" s="629" t="s">
        <v>3065</v>
      </c>
      <c r="B4082" s="630">
        <v>478</v>
      </c>
      <c r="C4082" s="631" t="str">
        <f t="shared" si="68"/>
        <v>Ô tô vận tải thùng 10 tấn478</v>
      </c>
      <c r="D4082" s="630"/>
      <c r="E4082" s="630"/>
      <c r="F4082" s="630"/>
      <c r="G4082" s="630"/>
    </row>
    <row r="4083" spans="1:7" ht="18.75" x14ac:dyDescent="0.25">
      <c r="A4083" s="629" t="s">
        <v>3065</v>
      </c>
      <c r="B4083" s="630">
        <v>479</v>
      </c>
      <c r="C4083" s="631" t="str">
        <f t="shared" si="68"/>
        <v>Ô tô vận tải thùng 10 tấn479</v>
      </c>
      <c r="D4083" s="630"/>
      <c r="E4083" s="630"/>
      <c r="F4083" s="630"/>
      <c r="G4083" s="630"/>
    </row>
    <row r="4084" spans="1:7" ht="18.75" x14ac:dyDescent="0.25">
      <c r="A4084" s="629" t="s">
        <v>3065</v>
      </c>
      <c r="B4084" s="630">
        <v>480</v>
      </c>
      <c r="C4084" s="631" t="str">
        <f t="shared" si="68"/>
        <v>Ô tô vận tải thùng 10 tấn480</v>
      </c>
      <c r="D4084" s="630"/>
      <c r="E4084" s="630"/>
      <c r="F4084" s="630"/>
      <c r="G4084" s="630"/>
    </row>
    <row r="4085" spans="1:7" ht="18.75" x14ac:dyDescent="0.25">
      <c r="A4085" s="629" t="s">
        <v>3065</v>
      </c>
      <c r="B4085" s="630">
        <v>481</v>
      </c>
      <c r="C4085" s="631" t="str">
        <f t="shared" si="68"/>
        <v>Ô tô vận tải thùng 10 tấn481</v>
      </c>
      <c r="D4085" s="630"/>
      <c r="E4085" s="630"/>
      <c r="F4085" s="630"/>
      <c r="G4085" s="630"/>
    </row>
    <row r="4086" spans="1:7" ht="18.75" x14ac:dyDescent="0.25">
      <c r="A4086" s="629" t="s">
        <v>3065</v>
      </c>
      <c r="B4086" s="630">
        <v>482</v>
      </c>
      <c r="C4086" s="631" t="str">
        <f t="shared" si="68"/>
        <v>Ô tô vận tải thùng 10 tấn482</v>
      </c>
      <c r="D4086" s="630"/>
      <c r="E4086" s="630"/>
      <c r="F4086" s="630"/>
      <c r="G4086" s="630"/>
    </row>
    <row r="4087" spans="1:7" ht="18.75" x14ac:dyDescent="0.25">
      <c r="A4087" s="629" t="s">
        <v>3065</v>
      </c>
      <c r="B4087" s="630">
        <v>483</v>
      </c>
      <c r="C4087" s="631" t="str">
        <f t="shared" si="68"/>
        <v>Ô tô vận tải thùng 10 tấn483</v>
      </c>
      <c r="D4087" s="630"/>
      <c r="E4087" s="630"/>
      <c r="F4087" s="630"/>
      <c r="G4087" s="630"/>
    </row>
    <row r="4088" spans="1:7" ht="18.75" x14ac:dyDescent="0.25">
      <c r="A4088" s="629" t="s">
        <v>3065</v>
      </c>
      <c r="B4088" s="630">
        <v>484</v>
      </c>
      <c r="C4088" s="631" t="str">
        <f t="shared" si="68"/>
        <v>Ô tô vận tải thùng 10 tấn484</v>
      </c>
      <c r="D4088" s="630"/>
      <c r="E4088" s="630"/>
      <c r="F4088" s="630"/>
      <c r="G4088" s="630"/>
    </row>
    <row r="4089" spans="1:7" ht="18.75" x14ac:dyDescent="0.25">
      <c r="A4089" s="629" t="s">
        <v>3065</v>
      </c>
      <c r="B4089" s="630">
        <v>485</v>
      </c>
      <c r="C4089" s="631" t="str">
        <f t="shared" si="68"/>
        <v>Ô tô vận tải thùng 10 tấn485</v>
      </c>
      <c r="D4089" s="630"/>
      <c r="E4089" s="630"/>
      <c r="F4089" s="630"/>
      <c r="G4089" s="630"/>
    </row>
    <row r="4090" spans="1:7" ht="18.75" x14ac:dyDescent="0.25">
      <c r="A4090" s="629" t="s">
        <v>3065</v>
      </c>
      <c r="B4090" s="630">
        <v>486</v>
      </c>
      <c r="C4090" s="631" t="str">
        <f t="shared" si="68"/>
        <v>Ô tô vận tải thùng 10 tấn486</v>
      </c>
      <c r="D4090" s="630"/>
      <c r="E4090" s="630"/>
      <c r="F4090" s="630"/>
      <c r="G4090" s="630"/>
    </row>
    <row r="4091" spans="1:7" ht="18.75" x14ac:dyDescent="0.25">
      <c r="A4091" s="629" t="s">
        <v>3065</v>
      </c>
      <c r="B4091" s="630">
        <v>487</v>
      </c>
      <c r="C4091" s="631" t="str">
        <f t="shared" si="68"/>
        <v>Ô tô vận tải thùng 10 tấn487</v>
      </c>
      <c r="D4091" s="630"/>
      <c r="E4091" s="630"/>
      <c r="F4091" s="630"/>
      <c r="G4091" s="630"/>
    </row>
    <row r="4092" spans="1:7" ht="18.75" x14ac:dyDescent="0.25">
      <c r="A4092" s="629" t="s">
        <v>3065</v>
      </c>
      <c r="B4092" s="630">
        <v>488</v>
      </c>
      <c r="C4092" s="631" t="str">
        <f t="shared" si="68"/>
        <v>Ô tô vận tải thùng 10 tấn488</v>
      </c>
      <c r="D4092" s="630"/>
      <c r="E4092" s="630"/>
      <c r="F4092" s="630"/>
      <c r="G4092" s="630"/>
    </row>
    <row r="4093" spans="1:7" ht="18.75" x14ac:dyDescent="0.25">
      <c r="A4093" s="629" t="s">
        <v>3065</v>
      </c>
      <c r="B4093" s="630">
        <v>489</v>
      </c>
      <c r="C4093" s="631" t="str">
        <f t="shared" si="68"/>
        <v>Ô tô vận tải thùng 10 tấn489</v>
      </c>
      <c r="D4093" s="630"/>
      <c r="E4093" s="630"/>
      <c r="F4093" s="630"/>
      <c r="G4093" s="630"/>
    </row>
    <row r="4094" spans="1:7" ht="18.75" x14ac:dyDescent="0.25">
      <c r="A4094" s="629" t="s">
        <v>3065</v>
      </c>
      <c r="B4094" s="630">
        <v>490</v>
      </c>
      <c r="C4094" s="631" t="str">
        <f t="shared" si="68"/>
        <v>Ô tô vận tải thùng 10 tấn490</v>
      </c>
      <c r="D4094" s="630"/>
      <c r="E4094" s="630"/>
      <c r="F4094" s="630"/>
      <c r="G4094" s="630"/>
    </row>
    <row r="4095" spans="1:7" ht="18.75" x14ac:dyDescent="0.25">
      <c r="A4095" s="629" t="s">
        <v>3065</v>
      </c>
      <c r="B4095" s="630">
        <v>491</v>
      </c>
      <c r="C4095" s="631" t="str">
        <f t="shared" si="68"/>
        <v>Ô tô vận tải thùng 10 tấn491</v>
      </c>
      <c r="D4095" s="630"/>
      <c r="E4095" s="630"/>
      <c r="F4095" s="630"/>
      <c r="G4095" s="630"/>
    </row>
    <row r="4096" spans="1:7" ht="18.75" x14ac:dyDescent="0.25">
      <c r="A4096" s="629" t="s">
        <v>3065</v>
      </c>
      <c r="B4096" s="630">
        <v>492</v>
      </c>
      <c r="C4096" s="631" t="str">
        <f t="shared" si="68"/>
        <v>Ô tô vận tải thùng 10 tấn492</v>
      </c>
      <c r="D4096" s="630"/>
      <c r="E4096" s="630"/>
      <c r="F4096" s="630"/>
      <c r="G4096" s="630"/>
    </row>
    <row r="4097" spans="1:7" ht="18.75" x14ac:dyDescent="0.25">
      <c r="A4097" s="629" t="s">
        <v>3065</v>
      </c>
      <c r="B4097" s="630">
        <v>493</v>
      </c>
      <c r="C4097" s="631" t="str">
        <f t="shared" si="68"/>
        <v>Ô tô vận tải thùng 10 tấn493</v>
      </c>
      <c r="D4097" s="630"/>
      <c r="E4097" s="630"/>
      <c r="F4097" s="630"/>
      <c r="G4097" s="630"/>
    </row>
    <row r="4098" spans="1:7" ht="18.75" x14ac:dyDescent="0.25">
      <c r="A4098" s="629" t="s">
        <v>3065</v>
      </c>
      <c r="B4098" s="630">
        <v>494</v>
      </c>
      <c r="C4098" s="631" t="str">
        <f t="shared" si="68"/>
        <v>Ô tô vận tải thùng 10 tấn494</v>
      </c>
      <c r="D4098" s="630"/>
      <c r="E4098" s="630"/>
      <c r="F4098" s="630"/>
      <c r="G4098" s="630"/>
    </row>
    <row r="4099" spans="1:7" ht="18.75" x14ac:dyDescent="0.25">
      <c r="A4099" s="629" t="s">
        <v>3065</v>
      </c>
      <c r="B4099" s="630">
        <v>495</v>
      </c>
      <c r="C4099" s="631" t="str">
        <f t="shared" si="68"/>
        <v>Ô tô vận tải thùng 10 tấn495</v>
      </c>
      <c r="D4099" s="630"/>
      <c r="E4099" s="630"/>
      <c r="F4099" s="630"/>
      <c r="G4099" s="630"/>
    </row>
    <row r="4100" spans="1:7" ht="18.75" x14ac:dyDescent="0.25">
      <c r="A4100" s="629" t="s">
        <v>3065</v>
      </c>
      <c r="B4100" s="630">
        <v>496</v>
      </c>
      <c r="C4100" s="631" t="str">
        <f t="shared" si="68"/>
        <v>Ô tô vận tải thùng 10 tấn496</v>
      </c>
      <c r="D4100" s="630"/>
      <c r="E4100" s="630"/>
      <c r="F4100" s="630"/>
      <c r="G4100" s="630"/>
    </row>
    <row r="4101" spans="1:7" ht="18.75" x14ac:dyDescent="0.25">
      <c r="A4101" s="629" t="s">
        <v>3065</v>
      </c>
      <c r="B4101" s="630">
        <v>497</v>
      </c>
      <c r="C4101" s="631" t="str">
        <f t="shared" si="68"/>
        <v>Ô tô vận tải thùng 10 tấn497</v>
      </c>
      <c r="D4101" s="630"/>
      <c r="E4101" s="630"/>
      <c r="F4101" s="630"/>
      <c r="G4101" s="630"/>
    </row>
    <row r="4102" spans="1:7" ht="18.75" x14ac:dyDescent="0.25">
      <c r="A4102" s="629" t="s">
        <v>3065</v>
      </c>
      <c r="B4102" s="630">
        <v>498</v>
      </c>
      <c r="C4102" s="631" t="str">
        <f t="shared" si="68"/>
        <v>Ô tô vận tải thùng 10 tấn498</v>
      </c>
      <c r="D4102" s="630"/>
      <c r="E4102" s="630"/>
      <c r="F4102" s="630"/>
      <c r="G4102" s="630"/>
    </row>
    <row r="4103" spans="1:7" ht="18.75" x14ac:dyDescent="0.25">
      <c r="A4103" s="629" t="s">
        <v>3065</v>
      </c>
      <c r="B4103" s="630">
        <v>499</v>
      </c>
      <c r="C4103" s="631" t="str">
        <f t="shared" si="68"/>
        <v>Ô tô vận tải thùng 10 tấn499</v>
      </c>
      <c r="D4103" s="630"/>
      <c r="E4103" s="630"/>
      <c r="F4103" s="630"/>
      <c r="G4103" s="630"/>
    </row>
    <row r="4104" spans="1:7" ht="18.75" x14ac:dyDescent="0.25">
      <c r="A4104" s="629" t="s">
        <v>3065</v>
      </c>
      <c r="B4104" s="630">
        <v>500</v>
      </c>
      <c r="C4104" s="631" t="str">
        <f t="shared" si="68"/>
        <v>Ô tô vận tải thùng 10 tấn500</v>
      </c>
      <c r="D4104" s="630"/>
      <c r="E4104" s="630"/>
      <c r="F4104" s="630"/>
      <c r="G4104" s="630"/>
    </row>
    <row r="4105" spans="1:7" ht="18.75" x14ac:dyDescent="0.25">
      <c r="A4105" s="629" t="s">
        <v>3063</v>
      </c>
      <c r="B4105" s="630">
        <v>1</v>
      </c>
      <c r="C4105" s="631" t="str">
        <f>A4105&amp;B4105</f>
        <v>Ô tô vận tải thùng 12 tấn1</v>
      </c>
      <c r="D4105" s="633"/>
      <c r="E4105" s="633"/>
      <c r="F4105" s="633">
        <v>0.32</v>
      </c>
      <c r="G4105" s="633">
        <v>0.3</v>
      </c>
    </row>
    <row r="4106" spans="1:7" ht="18.75" x14ac:dyDescent="0.25">
      <c r="A4106" s="629" t="s">
        <v>3063</v>
      </c>
      <c r="B4106" s="630">
        <v>2</v>
      </c>
      <c r="C4106" s="631" t="str">
        <f t="shared" ref="C4106:C4169" si="69">A4106&amp;B4106</f>
        <v>Ô tô vận tải thùng 12 tấn2</v>
      </c>
      <c r="D4106" s="633"/>
      <c r="E4106" s="633"/>
      <c r="F4106" s="633">
        <v>0.15</v>
      </c>
      <c r="G4106" s="633">
        <v>0.14000000000000001</v>
      </c>
    </row>
    <row r="4107" spans="1:7" ht="18.75" x14ac:dyDescent="0.25">
      <c r="A4107" s="629" t="s">
        <v>3063</v>
      </c>
      <c r="B4107" s="630">
        <v>3</v>
      </c>
      <c r="C4107" s="631" t="str">
        <f t="shared" si="69"/>
        <v>Ô tô vận tải thùng 12 tấn3</v>
      </c>
      <c r="D4107" s="633"/>
      <c r="E4107" s="633"/>
      <c r="F4107" s="633">
        <v>0.15</v>
      </c>
      <c r="G4107" s="633">
        <v>0.14000000000000001</v>
      </c>
    </row>
    <row r="4108" spans="1:7" ht="18.75" x14ac:dyDescent="0.25">
      <c r="A4108" s="629" t="s">
        <v>3063</v>
      </c>
      <c r="B4108" s="630">
        <v>4</v>
      </c>
      <c r="C4108" s="631" t="str">
        <f t="shared" si="69"/>
        <v>Ô tô vận tải thùng 12 tấn4</v>
      </c>
      <c r="D4108" s="633"/>
      <c r="E4108" s="633"/>
      <c r="F4108" s="633">
        <v>0.15</v>
      </c>
      <c r="G4108" s="633">
        <v>0.14000000000000001</v>
      </c>
    </row>
    <row r="4109" spans="1:7" ht="18.75" x14ac:dyDescent="0.25">
      <c r="A4109" s="629" t="s">
        <v>3063</v>
      </c>
      <c r="B4109" s="630">
        <v>5</v>
      </c>
      <c r="C4109" s="631" t="str">
        <f t="shared" si="69"/>
        <v>Ô tô vận tải thùng 12 tấn5</v>
      </c>
      <c r="D4109" s="633"/>
      <c r="E4109" s="633"/>
      <c r="F4109" s="633">
        <v>0.15</v>
      </c>
      <c r="G4109" s="633">
        <v>0.14000000000000001</v>
      </c>
    </row>
    <row r="4110" spans="1:7" ht="18.75" x14ac:dyDescent="0.25">
      <c r="A4110" s="629" t="s">
        <v>3063</v>
      </c>
      <c r="B4110" s="630">
        <v>6</v>
      </c>
      <c r="C4110" s="631" t="str">
        <f t="shared" si="69"/>
        <v>Ô tô vận tải thùng 12 tấn6</v>
      </c>
      <c r="D4110" s="633"/>
      <c r="E4110" s="633"/>
      <c r="F4110" s="633">
        <v>0.12</v>
      </c>
      <c r="G4110" s="633">
        <v>0.11</v>
      </c>
    </row>
    <row r="4111" spans="1:7" ht="18.75" x14ac:dyDescent="0.25">
      <c r="A4111" s="629" t="s">
        <v>3063</v>
      </c>
      <c r="B4111" s="630">
        <v>7</v>
      </c>
      <c r="C4111" s="631" t="str">
        <f t="shared" si="69"/>
        <v>Ô tô vận tải thùng 12 tấn7</v>
      </c>
      <c r="D4111" s="633"/>
      <c r="E4111" s="633"/>
      <c r="F4111" s="633">
        <v>0.12</v>
      </c>
      <c r="G4111" s="633">
        <v>0.11</v>
      </c>
    </row>
    <row r="4112" spans="1:7" ht="18.75" x14ac:dyDescent="0.25">
      <c r="A4112" s="629" t="s">
        <v>3063</v>
      </c>
      <c r="B4112" s="630">
        <v>8</v>
      </c>
      <c r="C4112" s="631" t="str">
        <f t="shared" si="69"/>
        <v>Ô tô vận tải thùng 12 tấn8</v>
      </c>
      <c r="D4112" s="633"/>
      <c r="E4112" s="633"/>
      <c r="F4112" s="633">
        <v>0.12</v>
      </c>
      <c r="G4112" s="633">
        <v>0.11</v>
      </c>
    </row>
    <row r="4113" spans="1:7" ht="18.75" x14ac:dyDescent="0.25">
      <c r="A4113" s="629" t="s">
        <v>3063</v>
      </c>
      <c r="B4113" s="630">
        <v>9</v>
      </c>
      <c r="C4113" s="631" t="str">
        <f t="shared" si="69"/>
        <v>Ô tô vận tải thùng 12 tấn9</v>
      </c>
      <c r="D4113" s="633"/>
      <c r="E4113" s="633"/>
      <c r="F4113" s="633">
        <v>0.12</v>
      </c>
      <c r="G4113" s="633">
        <v>0.11</v>
      </c>
    </row>
    <row r="4114" spans="1:7" ht="18.75" x14ac:dyDescent="0.25">
      <c r="A4114" s="629" t="s">
        <v>3063</v>
      </c>
      <c r="B4114" s="630">
        <v>10</v>
      </c>
      <c r="C4114" s="631" t="str">
        <f t="shared" si="69"/>
        <v>Ô tô vận tải thùng 12 tấn10</v>
      </c>
      <c r="D4114" s="633"/>
      <c r="E4114" s="633"/>
      <c r="F4114" s="633">
        <v>0.12</v>
      </c>
      <c r="G4114" s="633">
        <v>0.11</v>
      </c>
    </row>
    <row r="4115" spans="1:7" ht="18.75" x14ac:dyDescent="0.25">
      <c r="A4115" s="629" t="s">
        <v>3063</v>
      </c>
      <c r="B4115" s="630">
        <v>11</v>
      </c>
      <c r="C4115" s="631" t="str">
        <f t="shared" si="69"/>
        <v>Ô tô vận tải thùng 12 tấn11</v>
      </c>
      <c r="D4115" s="633"/>
      <c r="E4115" s="633"/>
      <c r="F4115" s="633">
        <v>0.1</v>
      </c>
      <c r="G4115" s="633">
        <v>0.09</v>
      </c>
    </row>
    <row r="4116" spans="1:7" ht="18.75" x14ac:dyDescent="0.25">
      <c r="A4116" s="629" t="s">
        <v>3063</v>
      </c>
      <c r="B4116" s="630">
        <v>12</v>
      </c>
      <c r="C4116" s="631" t="str">
        <f t="shared" si="69"/>
        <v>Ô tô vận tải thùng 12 tấn12</v>
      </c>
      <c r="D4116" s="633"/>
      <c r="E4116" s="633"/>
      <c r="F4116" s="633">
        <v>0.1</v>
      </c>
      <c r="G4116" s="633">
        <v>0.09</v>
      </c>
    </row>
    <row r="4117" spans="1:7" ht="18.75" x14ac:dyDescent="0.25">
      <c r="A4117" s="629" t="s">
        <v>3063</v>
      </c>
      <c r="B4117" s="630">
        <v>13</v>
      </c>
      <c r="C4117" s="631" t="str">
        <f t="shared" si="69"/>
        <v>Ô tô vận tải thùng 12 tấn13</v>
      </c>
      <c r="D4117" s="633"/>
      <c r="E4117" s="633"/>
      <c r="F4117" s="633">
        <v>0.1</v>
      </c>
      <c r="G4117" s="633">
        <v>0.09</v>
      </c>
    </row>
    <row r="4118" spans="1:7" ht="18.75" x14ac:dyDescent="0.25">
      <c r="A4118" s="629" t="s">
        <v>3063</v>
      </c>
      <c r="B4118" s="630">
        <v>14</v>
      </c>
      <c r="C4118" s="631" t="str">
        <f t="shared" si="69"/>
        <v>Ô tô vận tải thùng 12 tấn14</v>
      </c>
      <c r="D4118" s="633"/>
      <c r="E4118" s="633"/>
      <c r="F4118" s="633">
        <v>0.1</v>
      </c>
      <c r="G4118" s="633">
        <v>0.09</v>
      </c>
    </row>
    <row r="4119" spans="1:7" ht="18.75" x14ac:dyDescent="0.25">
      <c r="A4119" s="629" t="s">
        <v>3063</v>
      </c>
      <c r="B4119" s="630">
        <v>15</v>
      </c>
      <c r="C4119" s="631" t="str">
        <f t="shared" si="69"/>
        <v>Ô tô vận tải thùng 12 tấn15</v>
      </c>
      <c r="D4119" s="633"/>
      <c r="E4119" s="633"/>
      <c r="F4119" s="633">
        <v>0.1</v>
      </c>
      <c r="G4119" s="633">
        <v>0.09</v>
      </c>
    </row>
    <row r="4120" spans="1:7" ht="18.75" x14ac:dyDescent="0.25">
      <c r="A4120" s="629" t="s">
        <v>3063</v>
      </c>
      <c r="B4120" s="630">
        <v>16</v>
      </c>
      <c r="C4120" s="631" t="str">
        <f t="shared" si="69"/>
        <v>Ô tô vận tải thùng 12 tấn16</v>
      </c>
      <c r="D4120" s="633"/>
      <c r="E4120" s="633"/>
      <c r="F4120" s="633">
        <v>0.09</v>
      </c>
      <c r="G4120" s="633">
        <v>0.08</v>
      </c>
    </row>
    <row r="4121" spans="1:7" ht="18.75" x14ac:dyDescent="0.25">
      <c r="A4121" s="629" t="s">
        <v>3063</v>
      </c>
      <c r="B4121" s="630">
        <v>17</v>
      </c>
      <c r="C4121" s="631" t="str">
        <f t="shared" si="69"/>
        <v>Ô tô vận tải thùng 12 tấn17</v>
      </c>
      <c r="D4121" s="633"/>
      <c r="E4121" s="633"/>
      <c r="F4121" s="633">
        <v>0.09</v>
      </c>
      <c r="G4121" s="633">
        <v>0.08</v>
      </c>
    </row>
    <row r="4122" spans="1:7" ht="18.75" x14ac:dyDescent="0.25">
      <c r="A4122" s="629" t="s">
        <v>3063</v>
      </c>
      <c r="B4122" s="630">
        <v>18</v>
      </c>
      <c r="C4122" s="631" t="str">
        <f t="shared" si="69"/>
        <v>Ô tô vận tải thùng 12 tấn18</v>
      </c>
      <c r="D4122" s="633"/>
      <c r="E4122" s="633"/>
      <c r="F4122" s="633">
        <v>0.09</v>
      </c>
      <c r="G4122" s="633">
        <v>0.08</v>
      </c>
    </row>
    <row r="4123" spans="1:7" ht="18.75" x14ac:dyDescent="0.25">
      <c r="A4123" s="629" t="s">
        <v>3063</v>
      </c>
      <c r="B4123" s="630">
        <v>19</v>
      </c>
      <c r="C4123" s="631" t="str">
        <f t="shared" si="69"/>
        <v>Ô tô vận tải thùng 12 tấn19</v>
      </c>
      <c r="D4123" s="633"/>
      <c r="E4123" s="633"/>
      <c r="F4123" s="633">
        <v>0.09</v>
      </c>
      <c r="G4123" s="633">
        <v>0.08</v>
      </c>
    </row>
    <row r="4124" spans="1:7" ht="18.75" x14ac:dyDescent="0.25">
      <c r="A4124" s="629" t="s">
        <v>3063</v>
      </c>
      <c r="B4124" s="630">
        <v>20</v>
      </c>
      <c r="C4124" s="631" t="str">
        <f t="shared" si="69"/>
        <v>Ô tô vận tải thùng 12 tấn20</v>
      </c>
      <c r="D4124" s="633"/>
      <c r="E4124" s="633"/>
      <c r="F4124" s="633">
        <v>0.09</v>
      </c>
      <c r="G4124" s="633">
        <v>0.08</v>
      </c>
    </row>
    <row r="4125" spans="1:7" ht="18.75" x14ac:dyDescent="0.25">
      <c r="A4125" s="629" t="s">
        <v>3063</v>
      </c>
      <c r="B4125" s="630">
        <v>21</v>
      </c>
      <c r="C4125" s="631" t="str">
        <f t="shared" si="69"/>
        <v>Ô tô vận tải thùng 12 tấn21</v>
      </c>
      <c r="D4125" s="630"/>
      <c r="E4125" s="630"/>
      <c r="F4125" s="630"/>
      <c r="G4125" s="630"/>
    </row>
    <row r="4126" spans="1:7" ht="18.75" x14ac:dyDescent="0.25">
      <c r="A4126" s="629" t="s">
        <v>3063</v>
      </c>
      <c r="B4126" s="630">
        <v>22</v>
      </c>
      <c r="C4126" s="631" t="str">
        <f t="shared" si="69"/>
        <v>Ô tô vận tải thùng 12 tấn22</v>
      </c>
      <c r="D4126" s="630"/>
      <c r="E4126" s="630"/>
      <c r="F4126" s="630"/>
      <c r="G4126" s="630"/>
    </row>
    <row r="4127" spans="1:7" ht="18.75" x14ac:dyDescent="0.25">
      <c r="A4127" s="629" t="s">
        <v>3063</v>
      </c>
      <c r="B4127" s="630">
        <v>23</v>
      </c>
      <c r="C4127" s="631" t="str">
        <f t="shared" si="69"/>
        <v>Ô tô vận tải thùng 12 tấn23</v>
      </c>
      <c r="D4127" s="630"/>
      <c r="E4127" s="630"/>
      <c r="F4127" s="630"/>
      <c r="G4127" s="630"/>
    </row>
    <row r="4128" spans="1:7" ht="18.75" x14ac:dyDescent="0.25">
      <c r="A4128" s="629" t="s">
        <v>3063</v>
      </c>
      <c r="B4128" s="630">
        <v>24</v>
      </c>
      <c r="C4128" s="631" t="str">
        <f t="shared" si="69"/>
        <v>Ô tô vận tải thùng 12 tấn24</v>
      </c>
      <c r="D4128" s="630"/>
      <c r="E4128" s="630"/>
      <c r="F4128" s="630"/>
      <c r="G4128" s="630"/>
    </row>
    <row r="4129" spans="1:7" ht="18.75" x14ac:dyDescent="0.25">
      <c r="A4129" s="629" t="s">
        <v>3063</v>
      </c>
      <c r="B4129" s="630">
        <v>25</v>
      </c>
      <c r="C4129" s="631" t="str">
        <f t="shared" si="69"/>
        <v>Ô tô vận tải thùng 12 tấn25</v>
      </c>
      <c r="D4129" s="630"/>
      <c r="E4129" s="630"/>
      <c r="F4129" s="630"/>
      <c r="G4129" s="630"/>
    </row>
    <row r="4130" spans="1:7" ht="18.75" x14ac:dyDescent="0.25">
      <c r="A4130" s="629" t="s">
        <v>3063</v>
      </c>
      <c r="B4130" s="630">
        <v>26</v>
      </c>
      <c r="C4130" s="631" t="str">
        <f t="shared" si="69"/>
        <v>Ô tô vận tải thùng 12 tấn26</v>
      </c>
      <c r="D4130" s="630"/>
      <c r="E4130" s="630"/>
      <c r="F4130" s="630"/>
      <c r="G4130" s="630"/>
    </row>
    <row r="4131" spans="1:7" ht="18.75" x14ac:dyDescent="0.25">
      <c r="A4131" s="629" t="s">
        <v>3063</v>
      </c>
      <c r="B4131" s="630">
        <v>27</v>
      </c>
      <c r="C4131" s="631" t="str">
        <f t="shared" si="69"/>
        <v>Ô tô vận tải thùng 12 tấn27</v>
      </c>
      <c r="D4131" s="630"/>
      <c r="E4131" s="630"/>
      <c r="F4131" s="630"/>
      <c r="G4131" s="630"/>
    </row>
    <row r="4132" spans="1:7" ht="18.75" x14ac:dyDescent="0.25">
      <c r="A4132" s="629" t="s">
        <v>3063</v>
      </c>
      <c r="B4132" s="630">
        <v>28</v>
      </c>
      <c r="C4132" s="631" t="str">
        <f t="shared" si="69"/>
        <v>Ô tô vận tải thùng 12 tấn28</v>
      </c>
      <c r="D4132" s="630"/>
      <c r="E4132" s="630"/>
      <c r="F4132" s="630"/>
      <c r="G4132" s="630"/>
    </row>
    <row r="4133" spans="1:7" ht="18.75" x14ac:dyDescent="0.25">
      <c r="A4133" s="629" t="s">
        <v>3063</v>
      </c>
      <c r="B4133" s="630">
        <v>29</v>
      </c>
      <c r="C4133" s="631" t="str">
        <f t="shared" si="69"/>
        <v>Ô tô vận tải thùng 12 tấn29</v>
      </c>
      <c r="D4133" s="630"/>
      <c r="E4133" s="630"/>
      <c r="F4133" s="630"/>
      <c r="G4133" s="630"/>
    </row>
    <row r="4134" spans="1:7" ht="18.75" x14ac:dyDescent="0.25">
      <c r="A4134" s="629" t="s">
        <v>3063</v>
      </c>
      <c r="B4134" s="630">
        <v>30</v>
      </c>
      <c r="C4134" s="631" t="str">
        <f t="shared" si="69"/>
        <v>Ô tô vận tải thùng 12 tấn30</v>
      </c>
      <c r="D4134" s="630"/>
      <c r="E4134" s="630"/>
      <c r="F4134" s="630"/>
      <c r="G4134" s="630"/>
    </row>
    <row r="4135" spans="1:7" ht="18.75" x14ac:dyDescent="0.25">
      <c r="A4135" s="629" t="s">
        <v>3063</v>
      </c>
      <c r="B4135" s="630">
        <v>31</v>
      </c>
      <c r="C4135" s="631" t="str">
        <f t="shared" si="69"/>
        <v>Ô tô vận tải thùng 12 tấn31</v>
      </c>
      <c r="D4135" s="630"/>
      <c r="E4135" s="630"/>
      <c r="F4135" s="630"/>
      <c r="G4135" s="630"/>
    </row>
    <row r="4136" spans="1:7" ht="18.75" x14ac:dyDescent="0.25">
      <c r="A4136" s="629" t="s">
        <v>3063</v>
      </c>
      <c r="B4136" s="630">
        <v>32</v>
      </c>
      <c r="C4136" s="631" t="str">
        <f t="shared" si="69"/>
        <v>Ô tô vận tải thùng 12 tấn32</v>
      </c>
      <c r="D4136" s="630"/>
      <c r="E4136" s="630"/>
      <c r="F4136" s="630"/>
      <c r="G4136" s="630"/>
    </row>
    <row r="4137" spans="1:7" ht="18.75" x14ac:dyDescent="0.25">
      <c r="A4137" s="629" t="s">
        <v>3063</v>
      </c>
      <c r="B4137" s="630">
        <v>33</v>
      </c>
      <c r="C4137" s="631" t="str">
        <f t="shared" si="69"/>
        <v>Ô tô vận tải thùng 12 tấn33</v>
      </c>
      <c r="D4137" s="630"/>
      <c r="E4137" s="630"/>
      <c r="F4137" s="630"/>
      <c r="G4137" s="630"/>
    </row>
    <row r="4138" spans="1:7" ht="18.75" x14ac:dyDescent="0.25">
      <c r="A4138" s="629" t="s">
        <v>3063</v>
      </c>
      <c r="B4138" s="630">
        <v>34</v>
      </c>
      <c r="C4138" s="631" t="str">
        <f t="shared" si="69"/>
        <v>Ô tô vận tải thùng 12 tấn34</v>
      </c>
      <c r="D4138" s="630"/>
      <c r="E4138" s="630"/>
      <c r="F4138" s="630"/>
      <c r="G4138" s="630"/>
    </row>
    <row r="4139" spans="1:7" ht="18.75" x14ac:dyDescent="0.25">
      <c r="A4139" s="629" t="s">
        <v>3063</v>
      </c>
      <c r="B4139" s="630">
        <v>35</v>
      </c>
      <c r="C4139" s="631" t="str">
        <f t="shared" si="69"/>
        <v>Ô tô vận tải thùng 12 tấn35</v>
      </c>
      <c r="D4139" s="630"/>
      <c r="E4139" s="630"/>
      <c r="F4139" s="630"/>
      <c r="G4139" s="630"/>
    </row>
    <row r="4140" spans="1:7" ht="18.75" x14ac:dyDescent="0.25">
      <c r="A4140" s="629" t="s">
        <v>3063</v>
      </c>
      <c r="B4140" s="630">
        <v>36</v>
      </c>
      <c r="C4140" s="631" t="str">
        <f t="shared" si="69"/>
        <v>Ô tô vận tải thùng 12 tấn36</v>
      </c>
      <c r="D4140" s="630"/>
      <c r="E4140" s="630"/>
      <c r="F4140" s="630"/>
      <c r="G4140" s="630"/>
    </row>
    <row r="4141" spans="1:7" ht="18.75" x14ac:dyDescent="0.25">
      <c r="A4141" s="629" t="s">
        <v>3063</v>
      </c>
      <c r="B4141" s="630">
        <v>37</v>
      </c>
      <c r="C4141" s="631" t="str">
        <f t="shared" si="69"/>
        <v>Ô tô vận tải thùng 12 tấn37</v>
      </c>
      <c r="D4141" s="630"/>
      <c r="E4141" s="630"/>
      <c r="F4141" s="630"/>
      <c r="G4141" s="630"/>
    </row>
    <row r="4142" spans="1:7" ht="18.75" x14ac:dyDescent="0.25">
      <c r="A4142" s="629" t="s">
        <v>3063</v>
      </c>
      <c r="B4142" s="630">
        <v>38</v>
      </c>
      <c r="C4142" s="631" t="str">
        <f t="shared" si="69"/>
        <v>Ô tô vận tải thùng 12 tấn38</v>
      </c>
      <c r="D4142" s="630"/>
      <c r="E4142" s="630"/>
      <c r="F4142" s="630"/>
      <c r="G4142" s="630"/>
    </row>
    <row r="4143" spans="1:7" ht="18.75" x14ac:dyDescent="0.25">
      <c r="A4143" s="629" t="s">
        <v>3063</v>
      </c>
      <c r="B4143" s="630">
        <v>39</v>
      </c>
      <c r="C4143" s="631" t="str">
        <f t="shared" si="69"/>
        <v>Ô tô vận tải thùng 12 tấn39</v>
      </c>
      <c r="D4143" s="630"/>
      <c r="E4143" s="630"/>
      <c r="F4143" s="630"/>
      <c r="G4143" s="630"/>
    </row>
    <row r="4144" spans="1:7" ht="18.75" x14ac:dyDescent="0.25">
      <c r="A4144" s="629" t="s">
        <v>3063</v>
      </c>
      <c r="B4144" s="630">
        <v>40</v>
      </c>
      <c r="C4144" s="631" t="str">
        <f t="shared" si="69"/>
        <v>Ô tô vận tải thùng 12 tấn40</v>
      </c>
      <c r="D4144" s="630"/>
      <c r="E4144" s="630"/>
      <c r="F4144" s="630"/>
      <c r="G4144" s="630"/>
    </row>
    <row r="4145" spans="1:7" ht="18.75" x14ac:dyDescent="0.25">
      <c r="A4145" s="629" t="s">
        <v>3063</v>
      </c>
      <c r="B4145" s="630">
        <v>41</v>
      </c>
      <c r="C4145" s="631" t="str">
        <f t="shared" si="69"/>
        <v>Ô tô vận tải thùng 12 tấn41</v>
      </c>
      <c r="D4145" s="630"/>
      <c r="E4145" s="630"/>
      <c r="F4145" s="630"/>
      <c r="G4145" s="630"/>
    </row>
    <row r="4146" spans="1:7" ht="18.75" x14ac:dyDescent="0.25">
      <c r="A4146" s="629" t="s">
        <v>3063</v>
      </c>
      <c r="B4146" s="630">
        <v>42</v>
      </c>
      <c r="C4146" s="631" t="str">
        <f t="shared" si="69"/>
        <v>Ô tô vận tải thùng 12 tấn42</v>
      </c>
      <c r="D4146" s="630"/>
      <c r="E4146" s="630"/>
      <c r="F4146" s="630"/>
      <c r="G4146" s="630"/>
    </row>
    <row r="4147" spans="1:7" ht="18.75" x14ac:dyDescent="0.25">
      <c r="A4147" s="629" t="s">
        <v>3063</v>
      </c>
      <c r="B4147" s="630">
        <v>43</v>
      </c>
      <c r="C4147" s="631" t="str">
        <f t="shared" si="69"/>
        <v>Ô tô vận tải thùng 12 tấn43</v>
      </c>
      <c r="D4147" s="630"/>
      <c r="E4147" s="630"/>
      <c r="F4147" s="630"/>
      <c r="G4147" s="630"/>
    </row>
    <row r="4148" spans="1:7" ht="18.75" x14ac:dyDescent="0.25">
      <c r="A4148" s="629" t="s">
        <v>3063</v>
      </c>
      <c r="B4148" s="630">
        <v>44</v>
      </c>
      <c r="C4148" s="631" t="str">
        <f t="shared" si="69"/>
        <v>Ô tô vận tải thùng 12 tấn44</v>
      </c>
      <c r="D4148" s="630"/>
      <c r="E4148" s="630"/>
      <c r="F4148" s="630"/>
      <c r="G4148" s="630"/>
    </row>
    <row r="4149" spans="1:7" ht="18.75" x14ac:dyDescent="0.25">
      <c r="A4149" s="629" t="s">
        <v>3063</v>
      </c>
      <c r="B4149" s="630">
        <v>45</v>
      </c>
      <c r="C4149" s="631" t="str">
        <f t="shared" si="69"/>
        <v>Ô tô vận tải thùng 12 tấn45</v>
      </c>
      <c r="D4149" s="630"/>
      <c r="E4149" s="630"/>
      <c r="F4149" s="630"/>
      <c r="G4149" s="630"/>
    </row>
    <row r="4150" spans="1:7" ht="18.75" x14ac:dyDescent="0.25">
      <c r="A4150" s="629" t="s">
        <v>3063</v>
      </c>
      <c r="B4150" s="630">
        <v>46</v>
      </c>
      <c r="C4150" s="631" t="str">
        <f t="shared" si="69"/>
        <v>Ô tô vận tải thùng 12 tấn46</v>
      </c>
      <c r="D4150" s="630"/>
      <c r="E4150" s="630"/>
      <c r="F4150" s="630"/>
      <c r="G4150" s="630"/>
    </row>
    <row r="4151" spans="1:7" ht="18.75" x14ac:dyDescent="0.25">
      <c r="A4151" s="629" t="s">
        <v>3063</v>
      </c>
      <c r="B4151" s="630">
        <v>47</v>
      </c>
      <c r="C4151" s="631" t="str">
        <f t="shared" si="69"/>
        <v>Ô tô vận tải thùng 12 tấn47</v>
      </c>
      <c r="D4151" s="630"/>
      <c r="E4151" s="630"/>
      <c r="F4151" s="630"/>
      <c r="G4151" s="630"/>
    </row>
    <row r="4152" spans="1:7" ht="18.75" x14ac:dyDescent="0.25">
      <c r="A4152" s="629" t="s">
        <v>3063</v>
      </c>
      <c r="B4152" s="630">
        <v>48</v>
      </c>
      <c r="C4152" s="631" t="str">
        <f t="shared" si="69"/>
        <v>Ô tô vận tải thùng 12 tấn48</v>
      </c>
      <c r="D4152" s="630"/>
      <c r="E4152" s="630"/>
      <c r="F4152" s="630"/>
      <c r="G4152" s="630"/>
    </row>
    <row r="4153" spans="1:7" ht="18.75" x14ac:dyDescent="0.25">
      <c r="A4153" s="629" t="s">
        <v>3063</v>
      </c>
      <c r="B4153" s="630">
        <v>49</v>
      </c>
      <c r="C4153" s="631" t="str">
        <f t="shared" si="69"/>
        <v>Ô tô vận tải thùng 12 tấn49</v>
      </c>
      <c r="D4153" s="630"/>
      <c r="E4153" s="630"/>
      <c r="F4153" s="630"/>
      <c r="G4153" s="630"/>
    </row>
    <row r="4154" spans="1:7" ht="18.75" x14ac:dyDescent="0.25">
      <c r="A4154" s="629" t="s">
        <v>3063</v>
      </c>
      <c r="B4154" s="630">
        <v>50</v>
      </c>
      <c r="C4154" s="631" t="str">
        <f t="shared" si="69"/>
        <v>Ô tô vận tải thùng 12 tấn50</v>
      </c>
      <c r="D4154" s="630"/>
      <c r="E4154" s="630"/>
      <c r="F4154" s="630"/>
      <c r="G4154" s="630"/>
    </row>
    <row r="4155" spans="1:7" ht="18.75" x14ac:dyDescent="0.25">
      <c r="A4155" s="629" t="s">
        <v>3063</v>
      </c>
      <c r="B4155" s="630">
        <v>51</v>
      </c>
      <c r="C4155" s="631" t="str">
        <f t="shared" si="69"/>
        <v>Ô tô vận tải thùng 12 tấn51</v>
      </c>
      <c r="D4155" s="630"/>
      <c r="E4155" s="630"/>
      <c r="F4155" s="630"/>
      <c r="G4155" s="630"/>
    </row>
    <row r="4156" spans="1:7" ht="18.75" x14ac:dyDescent="0.25">
      <c r="A4156" s="629" t="s">
        <v>3063</v>
      </c>
      <c r="B4156" s="630">
        <v>52</v>
      </c>
      <c r="C4156" s="631" t="str">
        <f t="shared" si="69"/>
        <v>Ô tô vận tải thùng 12 tấn52</v>
      </c>
      <c r="D4156" s="630"/>
      <c r="E4156" s="630"/>
      <c r="F4156" s="630"/>
      <c r="G4156" s="630"/>
    </row>
    <row r="4157" spans="1:7" ht="18.75" x14ac:dyDescent="0.25">
      <c r="A4157" s="629" t="s">
        <v>3063</v>
      </c>
      <c r="B4157" s="630">
        <v>53</v>
      </c>
      <c r="C4157" s="631" t="str">
        <f t="shared" si="69"/>
        <v>Ô tô vận tải thùng 12 tấn53</v>
      </c>
      <c r="D4157" s="630"/>
      <c r="E4157" s="630"/>
      <c r="F4157" s="630"/>
      <c r="G4157" s="630"/>
    </row>
    <row r="4158" spans="1:7" ht="18.75" x14ac:dyDescent="0.25">
      <c r="A4158" s="629" t="s">
        <v>3063</v>
      </c>
      <c r="B4158" s="630">
        <v>54</v>
      </c>
      <c r="C4158" s="631" t="str">
        <f t="shared" si="69"/>
        <v>Ô tô vận tải thùng 12 tấn54</v>
      </c>
      <c r="D4158" s="630"/>
      <c r="E4158" s="630"/>
      <c r="F4158" s="630"/>
      <c r="G4158" s="630"/>
    </row>
    <row r="4159" spans="1:7" ht="18.75" x14ac:dyDescent="0.25">
      <c r="A4159" s="629" t="s">
        <v>3063</v>
      </c>
      <c r="B4159" s="630">
        <v>55</v>
      </c>
      <c r="C4159" s="631" t="str">
        <f t="shared" si="69"/>
        <v>Ô tô vận tải thùng 12 tấn55</v>
      </c>
      <c r="D4159" s="630"/>
      <c r="E4159" s="630"/>
      <c r="F4159" s="630"/>
      <c r="G4159" s="630"/>
    </row>
    <row r="4160" spans="1:7" ht="18.75" x14ac:dyDescent="0.25">
      <c r="A4160" s="629" t="s">
        <v>3063</v>
      </c>
      <c r="B4160" s="630">
        <v>56</v>
      </c>
      <c r="C4160" s="631" t="str">
        <f t="shared" si="69"/>
        <v>Ô tô vận tải thùng 12 tấn56</v>
      </c>
      <c r="D4160" s="630"/>
      <c r="E4160" s="630"/>
      <c r="F4160" s="630"/>
      <c r="G4160" s="630"/>
    </row>
    <row r="4161" spans="1:7" ht="18.75" x14ac:dyDescent="0.25">
      <c r="A4161" s="629" t="s">
        <v>3063</v>
      </c>
      <c r="B4161" s="630">
        <v>57</v>
      </c>
      <c r="C4161" s="631" t="str">
        <f t="shared" si="69"/>
        <v>Ô tô vận tải thùng 12 tấn57</v>
      </c>
      <c r="D4161" s="630"/>
      <c r="E4161" s="630"/>
      <c r="F4161" s="630"/>
      <c r="G4161" s="630"/>
    </row>
    <row r="4162" spans="1:7" ht="18.75" x14ac:dyDescent="0.25">
      <c r="A4162" s="629" t="s">
        <v>3063</v>
      </c>
      <c r="B4162" s="630">
        <v>58</v>
      </c>
      <c r="C4162" s="631" t="str">
        <f t="shared" si="69"/>
        <v>Ô tô vận tải thùng 12 tấn58</v>
      </c>
      <c r="D4162" s="630"/>
      <c r="E4162" s="630"/>
      <c r="F4162" s="630"/>
      <c r="G4162" s="630"/>
    </row>
    <row r="4163" spans="1:7" ht="18.75" x14ac:dyDescent="0.25">
      <c r="A4163" s="629" t="s">
        <v>3063</v>
      </c>
      <c r="B4163" s="630">
        <v>59</v>
      </c>
      <c r="C4163" s="631" t="str">
        <f t="shared" si="69"/>
        <v>Ô tô vận tải thùng 12 tấn59</v>
      </c>
      <c r="D4163" s="630"/>
      <c r="E4163" s="630"/>
      <c r="F4163" s="630"/>
      <c r="G4163" s="630"/>
    </row>
    <row r="4164" spans="1:7" ht="18.75" x14ac:dyDescent="0.25">
      <c r="A4164" s="629" t="s">
        <v>3063</v>
      </c>
      <c r="B4164" s="630">
        <v>60</v>
      </c>
      <c r="C4164" s="631" t="str">
        <f t="shared" si="69"/>
        <v>Ô tô vận tải thùng 12 tấn60</v>
      </c>
      <c r="D4164" s="630"/>
      <c r="E4164" s="630"/>
      <c r="F4164" s="630"/>
      <c r="G4164" s="630"/>
    </row>
    <row r="4165" spans="1:7" ht="18.75" x14ac:dyDescent="0.25">
      <c r="A4165" s="629" t="s">
        <v>3063</v>
      </c>
      <c r="B4165" s="630">
        <v>61</v>
      </c>
      <c r="C4165" s="631" t="str">
        <f t="shared" si="69"/>
        <v>Ô tô vận tải thùng 12 tấn61</v>
      </c>
      <c r="D4165" s="630"/>
      <c r="E4165" s="630"/>
      <c r="F4165" s="630"/>
      <c r="G4165" s="630"/>
    </row>
    <row r="4166" spans="1:7" ht="18.75" x14ac:dyDescent="0.25">
      <c r="A4166" s="629" t="s">
        <v>3063</v>
      </c>
      <c r="B4166" s="630">
        <v>62</v>
      </c>
      <c r="C4166" s="631" t="str">
        <f t="shared" si="69"/>
        <v>Ô tô vận tải thùng 12 tấn62</v>
      </c>
      <c r="D4166" s="630"/>
      <c r="E4166" s="630"/>
      <c r="F4166" s="630"/>
      <c r="G4166" s="630"/>
    </row>
    <row r="4167" spans="1:7" ht="18.75" x14ac:dyDescent="0.25">
      <c r="A4167" s="629" t="s">
        <v>3063</v>
      </c>
      <c r="B4167" s="630">
        <v>63</v>
      </c>
      <c r="C4167" s="631" t="str">
        <f t="shared" si="69"/>
        <v>Ô tô vận tải thùng 12 tấn63</v>
      </c>
      <c r="D4167" s="630"/>
      <c r="E4167" s="630"/>
      <c r="F4167" s="630"/>
      <c r="G4167" s="630"/>
    </row>
    <row r="4168" spans="1:7" ht="18.75" x14ac:dyDescent="0.25">
      <c r="A4168" s="629" t="s">
        <v>3063</v>
      </c>
      <c r="B4168" s="630">
        <v>64</v>
      </c>
      <c r="C4168" s="631" t="str">
        <f t="shared" si="69"/>
        <v>Ô tô vận tải thùng 12 tấn64</v>
      </c>
      <c r="D4168" s="630"/>
      <c r="E4168" s="630"/>
      <c r="F4168" s="630"/>
      <c r="G4168" s="630"/>
    </row>
    <row r="4169" spans="1:7" ht="18.75" x14ac:dyDescent="0.25">
      <c r="A4169" s="629" t="s">
        <v>3063</v>
      </c>
      <c r="B4169" s="630">
        <v>65</v>
      </c>
      <c r="C4169" s="631" t="str">
        <f t="shared" si="69"/>
        <v>Ô tô vận tải thùng 12 tấn65</v>
      </c>
      <c r="D4169" s="630"/>
      <c r="E4169" s="630"/>
      <c r="F4169" s="630"/>
      <c r="G4169" s="630"/>
    </row>
    <row r="4170" spans="1:7" ht="18.75" x14ac:dyDescent="0.25">
      <c r="A4170" s="629" t="s">
        <v>3063</v>
      </c>
      <c r="B4170" s="630">
        <v>66</v>
      </c>
      <c r="C4170" s="631" t="str">
        <f t="shared" ref="C4170:C4233" si="70">A4170&amp;B4170</f>
        <v>Ô tô vận tải thùng 12 tấn66</v>
      </c>
      <c r="D4170" s="630"/>
      <c r="E4170" s="630"/>
      <c r="F4170" s="630"/>
      <c r="G4170" s="630"/>
    </row>
    <row r="4171" spans="1:7" ht="18.75" x14ac:dyDescent="0.25">
      <c r="A4171" s="629" t="s">
        <v>3063</v>
      </c>
      <c r="B4171" s="630">
        <v>67</v>
      </c>
      <c r="C4171" s="631" t="str">
        <f t="shared" si="70"/>
        <v>Ô tô vận tải thùng 12 tấn67</v>
      </c>
      <c r="D4171" s="630"/>
      <c r="E4171" s="630"/>
      <c r="F4171" s="630"/>
      <c r="G4171" s="630"/>
    </row>
    <row r="4172" spans="1:7" ht="18.75" x14ac:dyDescent="0.25">
      <c r="A4172" s="629" t="s">
        <v>3063</v>
      </c>
      <c r="B4172" s="630">
        <v>68</v>
      </c>
      <c r="C4172" s="631" t="str">
        <f t="shared" si="70"/>
        <v>Ô tô vận tải thùng 12 tấn68</v>
      </c>
      <c r="D4172" s="630"/>
      <c r="E4172" s="630"/>
      <c r="F4172" s="630"/>
      <c r="G4172" s="630"/>
    </row>
    <row r="4173" spans="1:7" ht="18.75" x14ac:dyDescent="0.25">
      <c r="A4173" s="629" t="s">
        <v>3063</v>
      </c>
      <c r="B4173" s="630">
        <v>69</v>
      </c>
      <c r="C4173" s="631" t="str">
        <f t="shared" si="70"/>
        <v>Ô tô vận tải thùng 12 tấn69</v>
      </c>
      <c r="D4173" s="630"/>
      <c r="E4173" s="630"/>
      <c r="F4173" s="630"/>
      <c r="G4173" s="630"/>
    </row>
    <row r="4174" spans="1:7" ht="18.75" x14ac:dyDescent="0.25">
      <c r="A4174" s="629" t="s">
        <v>3063</v>
      </c>
      <c r="B4174" s="630">
        <v>70</v>
      </c>
      <c r="C4174" s="631" t="str">
        <f t="shared" si="70"/>
        <v>Ô tô vận tải thùng 12 tấn70</v>
      </c>
      <c r="D4174" s="630"/>
      <c r="E4174" s="630"/>
      <c r="F4174" s="630"/>
      <c r="G4174" s="630"/>
    </row>
    <row r="4175" spans="1:7" ht="18.75" x14ac:dyDescent="0.25">
      <c r="A4175" s="629" t="s">
        <v>3063</v>
      </c>
      <c r="B4175" s="630">
        <v>71</v>
      </c>
      <c r="C4175" s="631" t="str">
        <f t="shared" si="70"/>
        <v>Ô tô vận tải thùng 12 tấn71</v>
      </c>
      <c r="D4175" s="630"/>
      <c r="E4175" s="630"/>
      <c r="F4175" s="630"/>
      <c r="G4175" s="630"/>
    </row>
    <row r="4176" spans="1:7" ht="18.75" x14ac:dyDescent="0.25">
      <c r="A4176" s="629" t="s">
        <v>3063</v>
      </c>
      <c r="B4176" s="630">
        <v>72</v>
      </c>
      <c r="C4176" s="631" t="str">
        <f t="shared" si="70"/>
        <v>Ô tô vận tải thùng 12 tấn72</v>
      </c>
      <c r="D4176" s="630"/>
      <c r="E4176" s="630"/>
      <c r="F4176" s="630"/>
      <c r="G4176" s="630"/>
    </row>
    <row r="4177" spans="1:7" ht="18.75" x14ac:dyDescent="0.25">
      <c r="A4177" s="629" t="s">
        <v>3063</v>
      </c>
      <c r="B4177" s="630">
        <v>73</v>
      </c>
      <c r="C4177" s="631" t="str">
        <f t="shared" si="70"/>
        <v>Ô tô vận tải thùng 12 tấn73</v>
      </c>
      <c r="D4177" s="630"/>
      <c r="E4177" s="630"/>
      <c r="F4177" s="630"/>
      <c r="G4177" s="630"/>
    </row>
    <row r="4178" spans="1:7" ht="18.75" x14ac:dyDescent="0.25">
      <c r="A4178" s="629" t="s">
        <v>3063</v>
      </c>
      <c r="B4178" s="630">
        <v>74</v>
      </c>
      <c r="C4178" s="631" t="str">
        <f t="shared" si="70"/>
        <v>Ô tô vận tải thùng 12 tấn74</v>
      </c>
      <c r="D4178" s="630"/>
      <c r="E4178" s="630"/>
      <c r="F4178" s="630"/>
      <c r="G4178" s="630"/>
    </row>
    <row r="4179" spans="1:7" ht="18.75" x14ac:dyDescent="0.25">
      <c r="A4179" s="629" t="s">
        <v>3063</v>
      </c>
      <c r="B4179" s="630">
        <v>75</v>
      </c>
      <c r="C4179" s="631" t="str">
        <f t="shared" si="70"/>
        <v>Ô tô vận tải thùng 12 tấn75</v>
      </c>
      <c r="D4179" s="630"/>
      <c r="E4179" s="630"/>
      <c r="F4179" s="630"/>
      <c r="G4179" s="630"/>
    </row>
    <row r="4180" spans="1:7" ht="18.75" x14ac:dyDescent="0.25">
      <c r="A4180" s="629" t="s">
        <v>3063</v>
      </c>
      <c r="B4180" s="630">
        <v>76</v>
      </c>
      <c r="C4180" s="631" t="str">
        <f t="shared" si="70"/>
        <v>Ô tô vận tải thùng 12 tấn76</v>
      </c>
      <c r="D4180" s="630"/>
      <c r="E4180" s="630"/>
      <c r="F4180" s="630"/>
      <c r="G4180" s="630"/>
    </row>
    <row r="4181" spans="1:7" ht="18.75" x14ac:dyDescent="0.25">
      <c r="A4181" s="629" t="s">
        <v>3063</v>
      </c>
      <c r="B4181" s="630">
        <v>77</v>
      </c>
      <c r="C4181" s="631" t="str">
        <f t="shared" si="70"/>
        <v>Ô tô vận tải thùng 12 tấn77</v>
      </c>
      <c r="D4181" s="630"/>
      <c r="E4181" s="630"/>
      <c r="F4181" s="630"/>
      <c r="G4181" s="630"/>
    </row>
    <row r="4182" spans="1:7" ht="18.75" x14ac:dyDescent="0.25">
      <c r="A4182" s="629" t="s">
        <v>3063</v>
      </c>
      <c r="B4182" s="630">
        <v>78</v>
      </c>
      <c r="C4182" s="631" t="str">
        <f t="shared" si="70"/>
        <v>Ô tô vận tải thùng 12 tấn78</v>
      </c>
      <c r="D4182" s="630"/>
      <c r="E4182" s="630"/>
      <c r="F4182" s="630"/>
      <c r="G4182" s="630"/>
    </row>
    <row r="4183" spans="1:7" ht="18.75" x14ac:dyDescent="0.25">
      <c r="A4183" s="629" t="s">
        <v>3063</v>
      </c>
      <c r="B4183" s="630">
        <v>79</v>
      </c>
      <c r="C4183" s="631" t="str">
        <f t="shared" si="70"/>
        <v>Ô tô vận tải thùng 12 tấn79</v>
      </c>
      <c r="D4183" s="630"/>
      <c r="E4183" s="630"/>
      <c r="F4183" s="630"/>
      <c r="G4183" s="630"/>
    </row>
    <row r="4184" spans="1:7" ht="18.75" x14ac:dyDescent="0.25">
      <c r="A4184" s="629" t="s">
        <v>3063</v>
      </c>
      <c r="B4184" s="630">
        <v>80</v>
      </c>
      <c r="C4184" s="631" t="str">
        <f t="shared" si="70"/>
        <v>Ô tô vận tải thùng 12 tấn80</v>
      </c>
      <c r="D4184" s="630"/>
      <c r="E4184" s="630"/>
      <c r="F4184" s="630"/>
      <c r="G4184" s="630"/>
    </row>
    <row r="4185" spans="1:7" ht="18.75" x14ac:dyDescent="0.25">
      <c r="A4185" s="629" t="s">
        <v>3063</v>
      </c>
      <c r="B4185" s="630">
        <v>81</v>
      </c>
      <c r="C4185" s="631" t="str">
        <f t="shared" si="70"/>
        <v>Ô tô vận tải thùng 12 tấn81</v>
      </c>
      <c r="D4185" s="630"/>
      <c r="E4185" s="630"/>
      <c r="F4185" s="630"/>
      <c r="G4185" s="630"/>
    </row>
    <row r="4186" spans="1:7" ht="18.75" x14ac:dyDescent="0.25">
      <c r="A4186" s="629" t="s">
        <v>3063</v>
      </c>
      <c r="B4186" s="630">
        <v>82</v>
      </c>
      <c r="C4186" s="631" t="str">
        <f t="shared" si="70"/>
        <v>Ô tô vận tải thùng 12 tấn82</v>
      </c>
      <c r="D4186" s="630"/>
      <c r="E4186" s="630"/>
      <c r="F4186" s="630"/>
      <c r="G4186" s="630"/>
    </row>
    <row r="4187" spans="1:7" ht="18.75" x14ac:dyDescent="0.25">
      <c r="A4187" s="629" t="s">
        <v>3063</v>
      </c>
      <c r="B4187" s="630">
        <v>83</v>
      </c>
      <c r="C4187" s="631" t="str">
        <f t="shared" si="70"/>
        <v>Ô tô vận tải thùng 12 tấn83</v>
      </c>
      <c r="D4187" s="630"/>
      <c r="E4187" s="630"/>
      <c r="F4187" s="630"/>
      <c r="G4187" s="630"/>
    </row>
    <row r="4188" spans="1:7" ht="18.75" x14ac:dyDescent="0.25">
      <c r="A4188" s="629" t="s">
        <v>3063</v>
      </c>
      <c r="B4188" s="630">
        <v>84</v>
      </c>
      <c r="C4188" s="631" t="str">
        <f t="shared" si="70"/>
        <v>Ô tô vận tải thùng 12 tấn84</v>
      </c>
      <c r="D4188" s="630"/>
      <c r="E4188" s="630"/>
      <c r="F4188" s="630"/>
      <c r="G4188" s="630"/>
    </row>
    <row r="4189" spans="1:7" ht="18.75" x14ac:dyDescent="0.25">
      <c r="A4189" s="629" t="s">
        <v>3063</v>
      </c>
      <c r="B4189" s="630">
        <v>85</v>
      </c>
      <c r="C4189" s="631" t="str">
        <f t="shared" si="70"/>
        <v>Ô tô vận tải thùng 12 tấn85</v>
      </c>
      <c r="D4189" s="630"/>
      <c r="E4189" s="630"/>
      <c r="F4189" s="630"/>
      <c r="G4189" s="630"/>
    </row>
    <row r="4190" spans="1:7" ht="18.75" x14ac:dyDescent="0.25">
      <c r="A4190" s="629" t="s">
        <v>3063</v>
      </c>
      <c r="B4190" s="630">
        <v>86</v>
      </c>
      <c r="C4190" s="631" t="str">
        <f t="shared" si="70"/>
        <v>Ô tô vận tải thùng 12 tấn86</v>
      </c>
      <c r="D4190" s="630"/>
      <c r="E4190" s="630"/>
      <c r="F4190" s="630"/>
      <c r="G4190" s="630"/>
    </row>
    <row r="4191" spans="1:7" ht="18.75" x14ac:dyDescent="0.25">
      <c r="A4191" s="629" t="s">
        <v>3063</v>
      </c>
      <c r="B4191" s="630">
        <v>87</v>
      </c>
      <c r="C4191" s="631" t="str">
        <f t="shared" si="70"/>
        <v>Ô tô vận tải thùng 12 tấn87</v>
      </c>
      <c r="D4191" s="630"/>
      <c r="E4191" s="630"/>
      <c r="F4191" s="630"/>
      <c r="G4191" s="630"/>
    </row>
    <row r="4192" spans="1:7" ht="18.75" x14ac:dyDescent="0.25">
      <c r="A4192" s="629" t="s">
        <v>3063</v>
      </c>
      <c r="B4192" s="630">
        <v>88</v>
      </c>
      <c r="C4192" s="631" t="str">
        <f t="shared" si="70"/>
        <v>Ô tô vận tải thùng 12 tấn88</v>
      </c>
      <c r="D4192" s="630"/>
      <c r="E4192" s="630"/>
      <c r="F4192" s="630"/>
      <c r="G4192" s="630"/>
    </row>
    <row r="4193" spans="1:7" ht="18.75" x14ac:dyDescent="0.25">
      <c r="A4193" s="629" t="s">
        <v>3063</v>
      </c>
      <c r="B4193" s="630">
        <v>89</v>
      </c>
      <c r="C4193" s="631" t="str">
        <f t="shared" si="70"/>
        <v>Ô tô vận tải thùng 12 tấn89</v>
      </c>
      <c r="D4193" s="630"/>
      <c r="E4193" s="630"/>
      <c r="F4193" s="630"/>
      <c r="G4193" s="630"/>
    </row>
    <row r="4194" spans="1:7" ht="18.75" x14ac:dyDescent="0.25">
      <c r="A4194" s="629" t="s">
        <v>3063</v>
      </c>
      <c r="B4194" s="630">
        <v>90</v>
      </c>
      <c r="C4194" s="631" t="str">
        <f t="shared" si="70"/>
        <v>Ô tô vận tải thùng 12 tấn90</v>
      </c>
      <c r="D4194" s="630"/>
      <c r="E4194" s="630"/>
      <c r="F4194" s="630"/>
      <c r="G4194" s="630"/>
    </row>
    <row r="4195" spans="1:7" ht="18.75" x14ac:dyDescent="0.25">
      <c r="A4195" s="629" t="s">
        <v>3063</v>
      </c>
      <c r="B4195" s="630">
        <v>91</v>
      </c>
      <c r="C4195" s="631" t="str">
        <f t="shared" si="70"/>
        <v>Ô tô vận tải thùng 12 tấn91</v>
      </c>
      <c r="D4195" s="630"/>
      <c r="E4195" s="630"/>
      <c r="F4195" s="630"/>
      <c r="G4195" s="630"/>
    </row>
    <row r="4196" spans="1:7" ht="18.75" x14ac:dyDescent="0.25">
      <c r="A4196" s="629" t="s">
        <v>3063</v>
      </c>
      <c r="B4196" s="630">
        <v>92</v>
      </c>
      <c r="C4196" s="631" t="str">
        <f t="shared" si="70"/>
        <v>Ô tô vận tải thùng 12 tấn92</v>
      </c>
      <c r="D4196" s="630"/>
      <c r="E4196" s="630"/>
      <c r="F4196" s="630"/>
      <c r="G4196" s="630"/>
    </row>
    <row r="4197" spans="1:7" ht="18.75" x14ac:dyDescent="0.25">
      <c r="A4197" s="629" t="s">
        <v>3063</v>
      </c>
      <c r="B4197" s="630">
        <v>93</v>
      </c>
      <c r="C4197" s="631" t="str">
        <f t="shared" si="70"/>
        <v>Ô tô vận tải thùng 12 tấn93</v>
      </c>
      <c r="D4197" s="630"/>
      <c r="E4197" s="630"/>
      <c r="F4197" s="630"/>
      <c r="G4197" s="630"/>
    </row>
    <row r="4198" spans="1:7" ht="18.75" x14ac:dyDescent="0.25">
      <c r="A4198" s="629" t="s">
        <v>3063</v>
      </c>
      <c r="B4198" s="630">
        <v>94</v>
      </c>
      <c r="C4198" s="631" t="str">
        <f t="shared" si="70"/>
        <v>Ô tô vận tải thùng 12 tấn94</v>
      </c>
      <c r="D4198" s="630"/>
      <c r="E4198" s="630"/>
      <c r="F4198" s="630"/>
      <c r="G4198" s="630"/>
    </row>
    <row r="4199" spans="1:7" ht="18.75" x14ac:dyDescent="0.25">
      <c r="A4199" s="629" t="s">
        <v>3063</v>
      </c>
      <c r="B4199" s="630">
        <v>95</v>
      </c>
      <c r="C4199" s="631" t="str">
        <f t="shared" si="70"/>
        <v>Ô tô vận tải thùng 12 tấn95</v>
      </c>
      <c r="D4199" s="630"/>
      <c r="E4199" s="630"/>
      <c r="F4199" s="630"/>
      <c r="G4199" s="630"/>
    </row>
    <row r="4200" spans="1:7" ht="18.75" x14ac:dyDescent="0.25">
      <c r="A4200" s="629" t="s">
        <v>3063</v>
      </c>
      <c r="B4200" s="630">
        <v>96</v>
      </c>
      <c r="C4200" s="631" t="str">
        <f t="shared" si="70"/>
        <v>Ô tô vận tải thùng 12 tấn96</v>
      </c>
      <c r="D4200" s="630"/>
      <c r="E4200" s="630"/>
      <c r="F4200" s="630"/>
      <c r="G4200" s="630"/>
    </row>
    <row r="4201" spans="1:7" ht="18.75" x14ac:dyDescent="0.25">
      <c r="A4201" s="629" t="s">
        <v>3063</v>
      </c>
      <c r="B4201" s="630">
        <v>97</v>
      </c>
      <c r="C4201" s="631" t="str">
        <f t="shared" si="70"/>
        <v>Ô tô vận tải thùng 12 tấn97</v>
      </c>
      <c r="D4201" s="630"/>
      <c r="E4201" s="630"/>
      <c r="F4201" s="630"/>
      <c r="G4201" s="630"/>
    </row>
    <row r="4202" spans="1:7" ht="18.75" x14ac:dyDescent="0.25">
      <c r="A4202" s="629" t="s">
        <v>3063</v>
      </c>
      <c r="B4202" s="630">
        <v>98</v>
      </c>
      <c r="C4202" s="631" t="str">
        <f t="shared" si="70"/>
        <v>Ô tô vận tải thùng 12 tấn98</v>
      </c>
      <c r="D4202" s="630"/>
      <c r="E4202" s="630"/>
      <c r="F4202" s="630"/>
      <c r="G4202" s="630"/>
    </row>
    <row r="4203" spans="1:7" ht="18.75" x14ac:dyDescent="0.25">
      <c r="A4203" s="629" t="s">
        <v>3063</v>
      </c>
      <c r="B4203" s="630">
        <v>99</v>
      </c>
      <c r="C4203" s="631" t="str">
        <f t="shared" si="70"/>
        <v>Ô tô vận tải thùng 12 tấn99</v>
      </c>
      <c r="D4203" s="630"/>
      <c r="E4203" s="630"/>
      <c r="F4203" s="630"/>
      <c r="G4203" s="630"/>
    </row>
    <row r="4204" spans="1:7" ht="18.75" x14ac:dyDescent="0.25">
      <c r="A4204" s="629" t="s">
        <v>3063</v>
      </c>
      <c r="B4204" s="630">
        <v>100</v>
      </c>
      <c r="C4204" s="631" t="str">
        <f t="shared" si="70"/>
        <v>Ô tô vận tải thùng 12 tấn100</v>
      </c>
      <c r="D4204" s="630"/>
      <c r="E4204" s="630"/>
      <c r="F4204" s="630"/>
      <c r="G4204" s="630"/>
    </row>
    <row r="4205" spans="1:7" ht="18.75" x14ac:dyDescent="0.25">
      <c r="A4205" s="629" t="s">
        <v>3063</v>
      </c>
      <c r="B4205" s="630">
        <v>101</v>
      </c>
      <c r="C4205" s="631" t="str">
        <f t="shared" si="70"/>
        <v>Ô tô vận tải thùng 12 tấn101</v>
      </c>
      <c r="D4205" s="630"/>
      <c r="E4205" s="630"/>
      <c r="F4205" s="630"/>
      <c r="G4205" s="630"/>
    </row>
    <row r="4206" spans="1:7" ht="18.75" x14ac:dyDescent="0.25">
      <c r="A4206" s="629" t="s">
        <v>3063</v>
      </c>
      <c r="B4206" s="630">
        <v>102</v>
      </c>
      <c r="C4206" s="631" t="str">
        <f t="shared" si="70"/>
        <v>Ô tô vận tải thùng 12 tấn102</v>
      </c>
      <c r="D4206" s="630"/>
      <c r="E4206" s="630"/>
      <c r="F4206" s="630"/>
      <c r="G4206" s="630"/>
    </row>
    <row r="4207" spans="1:7" ht="18.75" x14ac:dyDescent="0.25">
      <c r="A4207" s="629" t="s">
        <v>3063</v>
      </c>
      <c r="B4207" s="630">
        <v>103</v>
      </c>
      <c r="C4207" s="631" t="str">
        <f t="shared" si="70"/>
        <v>Ô tô vận tải thùng 12 tấn103</v>
      </c>
      <c r="D4207" s="630"/>
      <c r="E4207" s="630"/>
      <c r="F4207" s="630"/>
      <c r="G4207" s="630"/>
    </row>
    <row r="4208" spans="1:7" ht="18.75" x14ac:dyDescent="0.25">
      <c r="A4208" s="629" t="s">
        <v>3063</v>
      </c>
      <c r="B4208" s="630">
        <v>104</v>
      </c>
      <c r="C4208" s="631" t="str">
        <f t="shared" si="70"/>
        <v>Ô tô vận tải thùng 12 tấn104</v>
      </c>
      <c r="D4208" s="630"/>
      <c r="E4208" s="630"/>
      <c r="F4208" s="630"/>
      <c r="G4208" s="630"/>
    </row>
    <row r="4209" spans="1:7" ht="18.75" x14ac:dyDescent="0.25">
      <c r="A4209" s="629" t="s">
        <v>3063</v>
      </c>
      <c r="B4209" s="630">
        <v>105</v>
      </c>
      <c r="C4209" s="631" t="str">
        <f t="shared" si="70"/>
        <v>Ô tô vận tải thùng 12 tấn105</v>
      </c>
      <c r="D4209" s="630"/>
      <c r="E4209" s="630"/>
      <c r="F4209" s="630"/>
      <c r="G4209" s="630"/>
    </row>
    <row r="4210" spans="1:7" ht="18.75" x14ac:dyDescent="0.25">
      <c r="A4210" s="629" t="s">
        <v>3063</v>
      </c>
      <c r="B4210" s="630">
        <v>106</v>
      </c>
      <c r="C4210" s="631" t="str">
        <f t="shared" si="70"/>
        <v>Ô tô vận tải thùng 12 tấn106</v>
      </c>
      <c r="D4210" s="630"/>
      <c r="E4210" s="630"/>
      <c r="F4210" s="630"/>
      <c r="G4210" s="630"/>
    </row>
    <row r="4211" spans="1:7" ht="18.75" x14ac:dyDescent="0.25">
      <c r="A4211" s="629" t="s">
        <v>3063</v>
      </c>
      <c r="B4211" s="630">
        <v>107</v>
      </c>
      <c r="C4211" s="631" t="str">
        <f t="shared" si="70"/>
        <v>Ô tô vận tải thùng 12 tấn107</v>
      </c>
      <c r="D4211" s="630"/>
      <c r="E4211" s="630"/>
      <c r="F4211" s="630"/>
      <c r="G4211" s="630"/>
    </row>
    <row r="4212" spans="1:7" ht="18.75" x14ac:dyDescent="0.25">
      <c r="A4212" s="629" t="s">
        <v>3063</v>
      </c>
      <c r="B4212" s="630">
        <v>108</v>
      </c>
      <c r="C4212" s="631" t="str">
        <f t="shared" si="70"/>
        <v>Ô tô vận tải thùng 12 tấn108</v>
      </c>
      <c r="D4212" s="630"/>
      <c r="E4212" s="630"/>
      <c r="F4212" s="630"/>
      <c r="G4212" s="630"/>
    </row>
    <row r="4213" spans="1:7" ht="18.75" x14ac:dyDescent="0.25">
      <c r="A4213" s="629" t="s">
        <v>3063</v>
      </c>
      <c r="B4213" s="630">
        <v>109</v>
      </c>
      <c r="C4213" s="631" t="str">
        <f t="shared" si="70"/>
        <v>Ô tô vận tải thùng 12 tấn109</v>
      </c>
      <c r="D4213" s="630"/>
      <c r="E4213" s="630"/>
      <c r="F4213" s="630"/>
      <c r="G4213" s="630"/>
    </row>
    <row r="4214" spans="1:7" ht="18.75" x14ac:dyDescent="0.25">
      <c r="A4214" s="629" t="s">
        <v>3063</v>
      </c>
      <c r="B4214" s="630">
        <v>110</v>
      </c>
      <c r="C4214" s="631" t="str">
        <f t="shared" si="70"/>
        <v>Ô tô vận tải thùng 12 tấn110</v>
      </c>
      <c r="D4214" s="630"/>
      <c r="E4214" s="630"/>
      <c r="F4214" s="630"/>
      <c r="G4214" s="630"/>
    </row>
    <row r="4215" spans="1:7" ht="18.75" x14ac:dyDescent="0.25">
      <c r="A4215" s="629" t="s">
        <v>3063</v>
      </c>
      <c r="B4215" s="630">
        <v>111</v>
      </c>
      <c r="C4215" s="631" t="str">
        <f t="shared" si="70"/>
        <v>Ô tô vận tải thùng 12 tấn111</v>
      </c>
      <c r="D4215" s="630"/>
      <c r="E4215" s="630"/>
      <c r="F4215" s="630"/>
      <c r="G4215" s="630"/>
    </row>
    <row r="4216" spans="1:7" ht="18.75" x14ac:dyDescent="0.25">
      <c r="A4216" s="629" t="s">
        <v>3063</v>
      </c>
      <c r="B4216" s="630">
        <v>112</v>
      </c>
      <c r="C4216" s="631" t="str">
        <f t="shared" si="70"/>
        <v>Ô tô vận tải thùng 12 tấn112</v>
      </c>
      <c r="D4216" s="630"/>
      <c r="E4216" s="630"/>
      <c r="F4216" s="630"/>
      <c r="G4216" s="630"/>
    </row>
    <row r="4217" spans="1:7" ht="18.75" x14ac:dyDescent="0.25">
      <c r="A4217" s="629" t="s">
        <v>3063</v>
      </c>
      <c r="B4217" s="630">
        <v>113</v>
      </c>
      <c r="C4217" s="631" t="str">
        <f t="shared" si="70"/>
        <v>Ô tô vận tải thùng 12 tấn113</v>
      </c>
      <c r="D4217" s="630"/>
      <c r="E4217" s="630"/>
      <c r="F4217" s="630"/>
      <c r="G4217" s="630"/>
    </row>
    <row r="4218" spans="1:7" ht="18.75" x14ac:dyDescent="0.25">
      <c r="A4218" s="629" t="s">
        <v>3063</v>
      </c>
      <c r="B4218" s="630">
        <v>114</v>
      </c>
      <c r="C4218" s="631" t="str">
        <f t="shared" si="70"/>
        <v>Ô tô vận tải thùng 12 tấn114</v>
      </c>
      <c r="D4218" s="630"/>
      <c r="E4218" s="630"/>
      <c r="F4218" s="630"/>
      <c r="G4218" s="630"/>
    </row>
    <row r="4219" spans="1:7" ht="18.75" x14ac:dyDescent="0.25">
      <c r="A4219" s="629" t="s">
        <v>3063</v>
      </c>
      <c r="B4219" s="630">
        <v>115</v>
      </c>
      <c r="C4219" s="631" t="str">
        <f t="shared" si="70"/>
        <v>Ô tô vận tải thùng 12 tấn115</v>
      </c>
      <c r="D4219" s="630"/>
      <c r="E4219" s="630"/>
      <c r="F4219" s="630"/>
      <c r="G4219" s="630"/>
    </row>
    <row r="4220" spans="1:7" ht="18.75" x14ac:dyDescent="0.25">
      <c r="A4220" s="629" t="s">
        <v>3063</v>
      </c>
      <c r="B4220" s="630">
        <v>116</v>
      </c>
      <c r="C4220" s="631" t="str">
        <f t="shared" si="70"/>
        <v>Ô tô vận tải thùng 12 tấn116</v>
      </c>
      <c r="D4220" s="630"/>
      <c r="E4220" s="630"/>
      <c r="F4220" s="630"/>
      <c r="G4220" s="630"/>
    </row>
    <row r="4221" spans="1:7" ht="18.75" x14ac:dyDescent="0.25">
      <c r="A4221" s="629" t="s">
        <v>3063</v>
      </c>
      <c r="B4221" s="630">
        <v>117</v>
      </c>
      <c r="C4221" s="631" t="str">
        <f t="shared" si="70"/>
        <v>Ô tô vận tải thùng 12 tấn117</v>
      </c>
      <c r="D4221" s="630"/>
      <c r="E4221" s="630"/>
      <c r="F4221" s="630"/>
      <c r="G4221" s="630"/>
    </row>
    <row r="4222" spans="1:7" ht="18.75" x14ac:dyDescent="0.25">
      <c r="A4222" s="629" t="s">
        <v>3063</v>
      </c>
      <c r="B4222" s="630">
        <v>118</v>
      </c>
      <c r="C4222" s="631" t="str">
        <f t="shared" si="70"/>
        <v>Ô tô vận tải thùng 12 tấn118</v>
      </c>
      <c r="D4222" s="630"/>
      <c r="E4222" s="630"/>
      <c r="F4222" s="630"/>
      <c r="G4222" s="630"/>
    </row>
    <row r="4223" spans="1:7" ht="18.75" x14ac:dyDescent="0.25">
      <c r="A4223" s="629" t="s">
        <v>3063</v>
      </c>
      <c r="B4223" s="630">
        <v>119</v>
      </c>
      <c r="C4223" s="631" t="str">
        <f t="shared" si="70"/>
        <v>Ô tô vận tải thùng 12 tấn119</v>
      </c>
      <c r="D4223" s="630"/>
      <c r="E4223" s="630"/>
      <c r="F4223" s="630"/>
      <c r="G4223" s="630"/>
    </row>
    <row r="4224" spans="1:7" ht="18.75" x14ac:dyDescent="0.25">
      <c r="A4224" s="629" t="s">
        <v>3063</v>
      </c>
      <c r="B4224" s="630">
        <v>120</v>
      </c>
      <c r="C4224" s="631" t="str">
        <f t="shared" si="70"/>
        <v>Ô tô vận tải thùng 12 tấn120</v>
      </c>
      <c r="D4224" s="630"/>
      <c r="E4224" s="630"/>
      <c r="F4224" s="630"/>
      <c r="G4224" s="630"/>
    </row>
    <row r="4225" spans="1:7" ht="18.75" x14ac:dyDescent="0.25">
      <c r="A4225" s="629" t="s">
        <v>3063</v>
      </c>
      <c r="B4225" s="630">
        <v>121</v>
      </c>
      <c r="C4225" s="631" t="str">
        <f t="shared" si="70"/>
        <v>Ô tô vận tải thùng 12 tấn121</v>
      </c>
      <c r="D4225" s="630"/>
      <c r="E4225" s="630"/>
      <c r="F4225" s="630"/>
      <c r="G4225" s="630"/>
    </row>
    <row r="4226" spans="1:7" ht="18.75" x14ac:dyDescent="0.25">
      <c r="A4226" s="629" t="s">
        <v>3063</v>
      </c>
      <c r="B4226" s="630">
        <v>122</v>
      </c>
      <c r="C4226" s="631" t="str">
        <f t="shared" si="70"/>
        <v>Ô tô vận tải thùng 12 tấn122</v>
      </c>
      <c r="D4226" s="630"/>
      <c r="E4226" s="630"/>
      <c r="F4226" s="630"/>
      <c r="G4226" s="630"/>
    </row>
    <row r="4227" spans="1:7" ht="18.75" x14ac:dyDescent="0.25">
      <c r="A4227" s="629" t="s">
        <v>3063</v>
      </c>
      <c r="B4227" s="630">
        <v>123</v>
      </c>
      <c r="C4227" s="631" t="str">
        <f t="shared" si="70"/>
        <v>Ô tô vận tải thùng 12 tấn123</v>
      </c>
      <c r="D4227" s="630"/>
      <c r="E4227" s="630"/>
      <c r="F4227" s="630"/>
      <c r="G4227" s="630"/>
    </row>
    <row r="4228" spans="1:7" ht="18.75" x14ac:dyDescent="0.25">
      <c r="A4228" s="629" t="s">
        <v>3063</v>
      </c>
      <c r="B4228" s="630">
        <v>124</v>
      </c>
      <c r="C4228" s="631" t="str">
        <f t="shared" si="70"/>
        <v>Ô tô vận tải thùng 12 tấn124</v>
      </c>
      <c r="D4228" s="630"/>
      <c r="E4228" s="630"/>
      <c r="F4228" s="630"/>
      <c r="G4228" s="630"/>
    </row>
    <row r="4229" spans="1:7" ht="18.75" x14ac:dyDescent="0.25">
      <c r="A4229" s="629" t="s">
        <v>3063</v>
      </c>
      <c r="B4229" s="630">
        <v>125</v>
      </c>
      <c r="C4229" s="631" t="str">
        <f t="shared" si="70"/>
        <v>Ô tô vận tải thùng 12 tấn125</v>
      </c>
      <c r="D4229" s="630"/>
      <c r="E4229" s="630"/>
      <c r="F4229" s="630"/>
      <c r="G4229" s="630"/>
    </row>
    <row r="4230" spans="1:7" ht="18.75" x14ac:dyDescent="0.25">
      <c r="A4230" s="629" t="s">
        <v>3063</v>
      </c>
      <c r="B4230" s="630">
        <v>126</v>
      </c>
      <c r="C4230" s="631" t="str">
        <f t="shared" si="70"/>
        <v>Ô tô vận tải thùng 12 tấn126</v>
      </c>
      <c r="D4230" s="630"/>
      <c r="E4230" s="630"/>
      <c r="F4230" s="630"/>
      <c r="G4230" s="630"/>
    </row>
    <row r="4231" spans="1:7" ht="18.75" x14ac:dyDescent="0.25">
      <c r="A4231" s="629" t="s">
        <v>3063</v>
      </c>
      <c r="B4231" s="630">
        <v>127</v>
      </c>
      <c r="C4231" s="631" t="str">
        <f t="shared" si="70"/>
        <v>Ô tô vận tải thùng 12 tấn127</v>
      </c>
      <c r="D4231" s="630"/>
      <c r="E4231" s="630"/>
      <c r="F4231" s="630"/>
      <c r="G4231" s="630"/>
    </row>
    <row r="4232" spans="1:7" ht="18.75" x14ac:dyDescent="0.25">
      <c r="A4232" s="629" t="s">
        <v>3063</v>
      </c>
      <c r="B4232" s="630">
        <v>128</v>
      </c>
      <c r="C4232" s="631" t="str">
        <f t="shared" si="70"/>
        <v>Ô tô vận tải thùng 12 tấn128</v>
      </c>
      <c r="D4232" s="630"/>
      <c r="E4232" s="630"/>
      <c r="F4232" s="630"/>
      <c r="G4232" s="630"/>
    </row>
    <row r="4233" spans="1:7" ht="18.75" x14ac:dyDescent="0.25">
      <c r="A4233" s="629" t="s">
        <v>3063</v>
      </c>
      <c r="B4233" s="630">
        <v>129</v>
      </c>
      <c r="C4233" s="631" t="str">
        <f t="shared" si="70"/>
        <v>Ô tô vận tải thùng 12 tấn129</v>
      </c>
      <c r="D4233" s="630"/>
      <c r="E4233" s="630"/>
      <c r="F4233" s="630"/>
      <c r="G4233" s="630"/>
    </row>
    <row r="4234" spans="1:7" ht="18.75" x14ac:dyDescent="0.25">
      <c r="A4234" s="629" t="s">
        <v>3063</v>
      </c>
      <c r="B4234" s="630">
        <v>130</v>
      </c>
      <c r="C4234" s="631" t="str">
        <f t="shared" ref="C4234:C4297" si="71">A4234&amp;B4234</f>
        <v>Ô tô vận tải thùng 12 tấn130</v>
      </c>
      <c r="D4234" s="630"/>
      <c r="E4234" s="630"/>
      <c r="F4234" s="630"/>
      <c r="G4234" s="630"/>
    </row>
    <row r="4235" spans="1:7" ht="18.75" x14ac:dyDescent="0.25">
      <c r="A4235" s="629" t="s">
        <v>3063</v>
      </c>
      <c r="B4235" s="630">
        <v>131</v>
      </c>
      <c r="C4235" s="631" t="str">
        <f t="shared" si="71"/>
        <v>Ô tô vận tải thùng 12 tấn131</v>
      </c>
      <c r="D4235" s="630"/>
      <c r="E4235" s="630"/>
      <c r="F4235" s="630"/>
      <c r="G4235" s="630"/>
    </row>
    <row r="4236" spans="1:7" ht="18.75" x14ac:dyDescent="0.25">
      <c r="A4236" s="629" t="s">
        <v>3063</v>
      </c>
      <c r="B4236" s="630">
        <v>132</v>
      </c>
      <c r="C4236" s="631" t="str">
        <f t="shared" si="71"/>
        <v>Ô tô vận tải thùng 12 tấn132</v>
      </c>
      <c r="D4236" s="630"/>
      <c r="E4236" s="630"/>
      <c r="F4236" s="630"/>
      <c r="G4236" s="630"/>
    </row>
    <row r="4237" spans="1:7" ht="18.75" x14ac:dyDescent="0.25">
      <c r="A4237" s="629" t="s">
        <v>3063</v>
      </c>
      <c r="B4237" s="630">
        <v>133</v>
      </c>
      <c r="C4237" s="631" t="str">
        <f t="shared" si="71"/>
        <v>Ô tô vận tải thùng 12 tấn133</v>
      </c>
      <c r="D4237" s="630"/>
      <c r="E4237" s="630"/>
      <c r="F4237" s="630"/>
      <c r="G4237" s="630"/>
    </row>
    <row r="4238" spans="1:7" ht="18.75" x14ac:dyDescent="0.25">
      <c r="A4238" s="629" t="s">
        <v>3063</v>
      </c>
      <c r="B4238" s="630">
        <v>134</v>
      </c>
      <c r="C4238" s="631" t="str">
        <f t="shared" si="71"/>
        <v>Ô tô vận tải thùng 12 tấn134</v>
      </c>
      <c r="D4238" s="630"/>
      <c r="E4238" s="630"/>
      <c r="F4238" s="630"/>
      <c r="G4238" s="630"/>
    </row>
    <row r="4239" spans="1:7" ht="18.75" x14ac:dyDescent="0.25">
      <c r="A4239" s="629" t="s">
        <v>3063</v>
      </c>
      <c r="B4239" s="630">
        <v>135</v>
      </c>
      <c r="C4239" s="631" t="str">
        <f t="shared" si="71"/>
        <v>Ô tô vận tải thùng 12 tấn135</v>
      </c>
      <c r="D4239" s="630"/>
      <c r="E4239" s="630"/>
      <c r="F4239" s="630"/>
      <c r="G4239" s="630"/>
    </row>
    <row r="4240" spans="1:7" ht="18.75" x14ac:dyDescent="0.25">
      <c r="A4240" s="629" t="s">
        <v>3063</v>
      </c>
      <c r="B4240" s="630">
        <v>136</v>
      </c>
      <c r="C4240" s="631" t="str">
        <f t="shared" si="71"/>
        <v>Ô tô vận tải thùng 12 tấn136</v>
      </c>
      <c r="D4240" s="630"/>
      <c r="E4240" s="630"/>
      <c r="F4240" s="630"/>
      <c r="G4240" s="630"/>
    </row>
    <row r="4241" spans="1:7" ht="18.75" x14ac:dyDescent="0.25">
      <c r="A4241" s="629" t="s">
        <v>3063</v>
      </c>
      <c r="B4241" s="630">
        <v>137</v>
      </c>
      <c r="C4241" s="631" t="str">
        <f t="shared" si="71"/>
        <v>Ô tô vận tải thùng 12 tấn137</v>
      </c>
      <c r="D4241" s="630"/>
      <c r="E4241" s="630"/>
      <c r="F4241" s="630"/>
      <c r="G4241" s="630"/>
    </row>
    <row r="4242" spans="1:7" ht="18.75" x14ac:dyDescent="0.25">
      <c r="A4242" s="629" t="s">
        <v>3063</v>
      </c>
      <c r="B4242" s="630">
        <v>138</v>
      </c>
      <c r="C4242" s="631" t="str">
        <f t="shared" si="71"/>
        <v>Ô tô vận tải thùng 12 tấn138</v>
      </c>
      <c r="D4242" s="630"/>
      <c r="E4242" s="630"/>
      <c r="F4242" s="630"/>
      <c r="G4242" s="630"/>
    </row>
    <row r="4243" spans="1:7" ht="18.75" x14ac:dyDescent="0.25">
      <c r="A4243" s="629" t="s">
        <v>3063</v>
      </c>
      <c r="B4243" s="630">
        <v>139</v>
      </c>
      <c r="C4243" s="631" t="str">
        <f t="shared" si="71"/>
        <v>Ô tô vận tải thùng 12 tấn139</v>
      </c>
      <c r="D4243" s="630"/>
      <c r="E4243" s="630"/>
      <c r="F4243" s="630"/>
      <c r="G4243" s="630"/>
    </row>
    <row r="4244" spans="1:7" ht="18.75" x14ac:dyDescent="0.25">
      <c r="A4244" s="629" t="s">
        <v>3063</v>
      </c>
      <c r="B4244" s="630">
        <v>140</v>
      </c>
      <c r="C4244" s="631" t="str">
        <f t="shared" si="71"/>
        <v>Ô tô vận tải thùng 12 tấn140</v>
      </c>
      <c r="D4244" s="630"/>
      <c r="E4244" s="630"/>
      <c r="F4244" s="630"/>
      <c r="G4244" s="630"/>
    </row>
    <row r="4245" spans="1:7" ht="18.75" x14ac:dyDescent="0.25">
      <c r="A4245" s="629" t="s">
        <v>3063</v>
      </c>
      <c r="B4245" s="630">
        <v>141</v>
      </c>
      <c r="C4245" s="631" t="str">
        <f t="shared" si="71"/>
        <v>Ô tô vận tải thùng 12 tấn141</v>
      </c>
      <c r="D4245" s="630"/>
      <c r="E4245" s="630"/>
      <c r="F4245" s="630"/>
      <c r="G4245" s="630"/>
    </row>
    <row r="4246" spans="1:7" ht="18.75" x14ac:dyDescent="0.25">
      <c r="A4246" s="629" t="s">
        <v>3063</v>
      </c>
      <c r="B4246" s="630">
        <v>142</v>
      </c>
      <c r="C4246" s="631" t="str">
        <f t="shared" si="71"/>
        <v>Ô tô vận tải thùng 12 tấn142</v>
      </c>
      <c r="D4246" s="630"/>
      <c r="E4246" s="630"/>
      <c r="F4246" s="630"/>
      <c r="G4246" s="630"/>
    </row>
    <row r="4247" spans="1:7" ht="18.75" x14ac:dyDescent="0.25">
      <c r="A4247" s="629" t="s">
        <v>3063</v>
      </c>
      <c r="B4247" s="630">
        <v>143</v>
      </c>
      <c r="C4247" s="631" t="str">
        <f t="shared" si="71"/>
        <v>Ô tô vận tải thùng 12 tấn143</v>
      </c>
      <c r="D4247" s="630"/>
      <c r="E4247" s="630"/>
      <c r="F4247" s="630"/>
      <c r="G4247" s="630"/>
    </row>
    <row r="4248" spans="1:7" ht="18.75" x14ac:dyDescent="0.25">
      <c r="A4248" s="629" t="s">
        <v>3063</v>
      </c>
      <c r="B4248" s="630">
        <v>144</v>
      </c>
      <c r="C4248" s="631" t="str">
        <f t="shared" si="71"/>
        <v>Ô tô vận tải thùng 12 tấn144</v>
      </c>
      <c r="D4248" s="630"/>
      <c r="E4248" s="630"/>
      <c r="F4248" s="630"/>
      <c r="G4248" s="630"/>
    </row>
    <row r="4249" spans="1:7" ht="18.75" x14ac:dyDescent="0.25">
      <c r="A4249" s="629" t="s">
        <v>3063</v>
      </c>
      <c r="B4249" s="630">
        <v>145</v>
      </c>
      <c r="C4249" s="631" t="str">
        <f t="shared" si="71"/>
        <v>Ô tô vận tải thùng 12 tấn145</v>
      </c>
      <c r="D4249" s="630"/>
      <c r="E4249" s="630"/>
      <c r="F4249" s="630"/>
      <c r="G4249" s="630"/>
    </row>
    <row r="4250" spans="1:7" ht="18.75" x14ac:dyDescent="0.25">
      <c r="A4250" s="629" t="s">
        <v>3063</v>
      </c>
      <c r="B4250" s="630">
        <v>146</v>
      </c>
      <c r="C4250" s="631" t="str">
        <f t="shared" si="71"/>
        <v>Ô tô vận tải thùng 12 tấn146</v>
      </c>
      <c r="D4250" s="630"/>
      <c r="E4250" s="630"/>
      <c r="F4250" s="630"/>
      <c r="G4250" s="630"/>
    </row>
    <row r="4251" spans="1:7" ht="18.75" x14ac:dyDescent="0.25">
      <c r="A4251" s="629" t="s">
        <v>3063</v>
      </c>
      <c r="B4251" s="630">
        <v>147</v>
      </c>
      <c r="C4251" s="631" t="str">
        <f t="shared" si="71"/>
        <v>Ô tô vận tải thùng 12 tấn147</v>
      </c>
      <c r="D4251" s="630"/>
      <c r="E4251" s="630"/>
      <c r="F4251" s="630"/>
      <c r="G4251" s="630"/>
    </row>
    <row r="4252" spans="1:7" ht="18.75" x14ac:dyDescent="0.25">
      <c r="A4252" s="629" t="s">
        <v>3063</v>
      </c>
      <c r="B4252" s="630">
        <v>148</v>
      </c>
      <c r="C4252" s="631" t="str">
        <f t="shared" si="71"/>
        <v>Ô tô vận tải thùng 12 tấn148</v>
      </c>
      <c r="D4252" s="630"/>
      <c r="E4252" s="630"/>
      <c r="F4252" s="630"/>
      <c r="G4252" s="630"/>
    </row>
    <row r="4253" spans="1:7" ht="18.75" x14ac:dyDescent="0.25">
      <c r="A4253" s="629" t="s">
        <v>3063</v>
      </c>
      <c r="B4253" s="630">
        <v>149</v>
      </c>
      <c r="C4253" s="631" t="str">
        <f t="shared" si="71"/>
        <v>Ô tô vận tải thùng 12 tấn149</v>
      </c>
      <c r="D4253" s="630"/>
      <c r="E4253" s="630"/>
      <c r="F4253" s="630"/>
      <c r="G4253" s="630"/>
    </row>
    <row r="4254" spans="1:7" ht="18.75" x14ac:dyDescent="0.25">
      <c r="A4254" s="629" t="s">
        <v>3063</v>
      </c>
      <c r="B4254" s="630">
        <v>150</v>
      </c>
      <c r="C4254" s="631" t="str">
        <f t="shared" si="71"/>
        <v>Ô tô vận tải thùng 12 tấn150</v>
      </c>
      <c r="D4254" s="630"/>
      <c r="E4254" s="630"/>
      <c r="F4254" s="630"/>
      <c r="G4254" s="630"/>
    </row>
    <row r="4255" spans="1:7" ht="18.75" x14ac:dyDescent="0.25">
      <c r="A4255" s="629" t="s">
        <v>3063</v>
      </c>
      <c r="B4255" s="630">
        <v>151</v>
      </c>
      <c r="C4255" s="631" t="str">
        <f t="shared" si="71"/>
        <v>Ô tô vận tải thùng 12 tấn151</v>
      </c>
      <c r="D4255" s="630"/>
      <c r="E4255" s="630"/>
      <c r="F4255" s="630"/>
      <c r="G4255" s="630"/>
    </row>
    <row r="4256" spans="1:7" ht="18.75" x14ac:dyDescent="0.25">
      <c r="A4256" s="629" t="s">
        <v>3063</v>
      </c>
      <c r="B4256" s="630">
        <v>152</v>
      </c>
      <c r="C4256" s="631" t="str">
        <f t="shared" si="71"/>
        <v>Ô tô vận tải thùng 12 tấn152</v>
      </c>
      <c r="D4256" s="630"/>
      <c r="E4256" s="630"/>
      <c r="F4256" s="630"/>
      <c r="G4256" s="630"/>
    </row>
    <row r="4257" spans="1:7" ht="18.75" x14ac:dyDescent="0.25">
      <c r="A4257" s="629" t="s">
        <v>3063</v>
      </c>
      <c r="B4257" s="630">
        <v>153</v>
      </c>
      <c r="C4257" s="631" t="str">
        <f t="shared" si="71"/>
        <v>Ô tô vận tải thùng 12 tấn153</v>
      </c>
      <c r="D4257" s="630"/>
      <c r="E4257" s="630"/>
      <c r="F4257" s="630"/>
      <c r="G4257" s="630"/>
    </row>
    <row r="4258" spans="1:7" ht="18.75" x14ac:dyDescent="0.25">
      <c r="A4258" s="629" t="s">
        <v>3063</v>
      </c>
      <c r="B4258" s="630">
        <v>154</v>
      </c>
      <c r="C4258" s="631" t="str">
        <f t="shared" si="71"/>
        <v>Ô tô vận tải thùng 12 tấn154</v>
      </c>
      <c r="D4258" s="630"/>
      <c r="E4258" s="630"/>
      <c r="F4258" s="630"/>
      <c r="G4258" s="630"/>
    </row>
    <row r="4259" spans="1:7" ht="18.75" x14ac:dyDescent="0.25">
      <c r="A4259" s="629" t="s">
        <v>3063</v>
      </c>
      <c r="B4259" s="630">
        <v>155</v>
      </c>
      <c r="C4259" s="631" t="str">
        <f t="shared" si="71"/>
        <v>Ô tô vận tải thùng 12 tấn155</v>
      </c>
      <c r="D4259" s="630"/>
      <c r="E4259" s="630"/>
      <c r="F4259" s="630"/>
      <c r="G4259" s="630"/>
    </row>
    <row r="4260" spans="1:7" ht="18.75" x14ac:dyDescent="0.25">
      <c r="A4260" s="629" t="s">
        <v>3063</v>
      </c>
      <c r="B4260" s="630">
        <v>156</v>
      </c>
      <c r="C4260" s="631" t="str">
        <f t="shared" si="71"/>
        <v>Ô tô vận tải thùng 12 tấn156</v>
      </c>
      <c r="D4260" s="630"/>
      <c r="E4260" s="630"/>
      <c r="F4260" s="630"/>
      <c r="G4260" s="630"/>
    </row>
    <row r="4261" spans="1:7" ht="18.75" x14ac:dyDescent="0.25">
      <c r="A4261" s="629" t="s">
        <v>3063</v>
      </c>
      <c r="B4261" s="630">
        <v>157</v>
      </c>
      <c r="C4261" s="631" t="str">
        <f t="shared" si="71"/>
        <v>Ô tô vận tải thùng 12 tấn157</v>
      </c>
      <c r="D4261" s="630"/>
      <c r="E4261" s="630"/>
      <c r="F4261" s="630"/>
      <c r="G4261" s="630"/>
    </row>
    <row r="4262" spans="1:7" ht="18.75" x14ac:dyDescent="0.25">
      <c r="A4262" s="629" t="s">
        <v>3063</v>
      </c>
      <c r="B4262" s="630">
        <v>158</v>
      </c>
      <c r="C4262" s="631" t="str">
        <f t="shared" si="71"/>
        <v>Ô tô vận tải thùng 12 tấn158</v>
      </c>
      <c r="D4262" s="630"/>
      <c r="E4262" s="630"/>
      <c r="F4262" s="630"/>
      <c r="G4262" s="630"/>
    </row>
    <row r="4263" spans="1:7" ht="18.75" x14ac:dyDescent="0.25">
      <c r="A4263" s="629" t="s">
        <v>3063</v>
      </c>
      <c r="B4263" s="630">
        <v>159</v>
      </c>
      <c r="C4263" s="631" t="str">
        <f t="shared" si="71"/>
        <v>Ô tô vận tải thùng 12 tấn159</v>
      </c>
      <c r="D4263" s="630"/>
      <c r="E4263" s="630"/>
      <c r="F4263" s="630"/>
      <c r="G4263" s="630"/>
    </row>
    <row r="4264" spans="1:7" ht="18.75" x14ac:dyDescent="0.25">
      <c r="A4264" s="629" t="s">
        <v>3063</v>
      </c>
      <c r="B4264" s="630">
        <v>160</v>
      </c>
      <c r="C4264" s="631" t="str">
        <f t="shared" si="71"/>
        <v>Ô tô vận tải thùng 12 tấn160</v>
      </c>
      <c r="D4264" s="630"/>
      <c r="E4264" s="630"/>
      <c r="F4264" s="630"/>
      <c r="G4264" s="630"/>
    </row>
    <row r="4265" spans="1:7" ht="18.75" x14ac:dyDescent="0.25">
      <c r="A4265" s="629" t="s">
        <v>3063</v>
      </c>
      <c r="B4265" s="630">
        <v>161</v>
      </c>
      <c r="C4265" s="631" t="str">
        <f t="shared" si="71"/>
        <v>Ô tô vận tải thùng 12 tấn161</v>
      </c>
      <c r="D4265" s="630"/>
      <c r="E4265" s="630"/>
      <c r="F4265" s="630"/>
      <c r="G4265" s="630"/>
    </row>
    <row r="4266" spans="1:7" ht="18.75" x14ac:dyDescent="0.25">
      <c r="A4266" s="629" t="s">
        <v>3063</v>
      </c>
      <c r="B4266" s="630">
        <v>162</v>
      </c>
      <c r="C4266" s="631" t="str">
        <f t="shared" si="71"/>
        <v>Ô tô vận tải thùng 12 tấn162</v>
      </c>
      <c r="D4266" s="630"/>
      <c r="E4266" s="630"/>
      <c r="F4266" s="630"/>
      <c r="G4266" s="630"/>
    </row>
    <row r="4267" spans="1:7" ht="18.75" x14ac:dyDescent="0.25">
      <c r="A4267" s="629" t="s">
        <v>3063</v>
      </c>
      <c r="B4267" s="630">
        <v>163</v>
      </c>
      <c r="C4267" s="631" t="str">
        <f t="shared" si="71"/>
        <v>Ô tô vận tải thùng 12 tấn163</v>
      </c>
      <c r="D4267" s="630"/>
      <c r="E4267" s="630"/>
      <c r="F4267" s="630"/>
      <c r="G4267" s="630"/>
    </row>
    <row r="4268" spans="1:7" ht="18.75" x14ac:dyDescent="0.25">
      <c r="A4268" s="629" t="s">
        <v>3063</v>
      </c>
      <c r="B4268" s="630">
        <v>164</v>
      </c>
      <c r="C4268" s="631" t="str">
        <f t="shared" si="71"/>
        <v>Ô tô vận tải thùng 12 tấn164</v>
      </c>
      <c r="D4268" s="630"/>
      <c r="E4268" s="630"/>
      <c r="F4268" s="630"/>
      <c r="G4268" s="630"/>
    </row>
    <row r="4269" spans="1:7" ht="18.75" x14ac:dyDescent="0.25">
      <c r="A4269" s="629" t="s">
        <v>3063</v>
      </c>
      <c r="B4269" s="630">
        <v>165</v>
      </c>
      <c r="C4269" s="631" t="str">
        <f t="shared" si="71"/>
        <v>Ô tô vận tải thùng 12 tấn165</v>
      </c>
      <c r="D4269" s="630"/>
      <c r="E4269" s="630"/>
      <c r="F4269" s="630"/>
      <c r="G4269" s="630"/>
    </row>
    <row r="4270" spans="1:7" ht="18.75" x14ac:dyDescent="0.25">
      <c r="A4270" s="629" t="s">
        <v>3063</v>
      </c>
      <c r="B4270" s="630">
        <v>166</v>
      </c>
      <c r="C4270" s="631" t="str">
        <f t="shared" si="71"/>
        <v>Ô tô vận tải thùng 12 tấn166</v>
      </c>
      <c r="D4270" s="630"/>
      <c r="E4270" s="630"/>
      <c r="F4270" s="630"/>
      <c r="G4270" s="630"/>
    </row>
    <row r="4271" spans="1:7" ht="18.75" x14ac:dyDescent="0.25">
      <c r="A4271" s="629" t="s">
        <v>3063</v>
      </c>
      <c r="B4271" s="630">
        <v>167</v>
      </c>
      <c r="C4271" s="631" t="str">
        <f t="shared" si="71"/>
        <v>Ô tô vận tải thùng 12 tấn167</v>
      </c>
      <c r="D4271" s="630"/>
      <c r="E4271" s="630"/>
      <c r="F4271" s="630"/>
      <c r="G4271" s="630"/>
    </row>
    <row r="4272" spans="1:7" ht="18.75" x14ac:dyDescent="0.25">
      <c r="A4272" s="629" t="s">
        <v>3063</v>
      </c>
      <c r="B4272" s="630">
        <v>168</v>
      </c>
      <c r="C4272" s="631" t="str">
        <f t="shared" si="71"/>
        <v>Ô tô vận tải thùng 12 tấn168</v>
      </c>
      <c r="D4272" s="630"/>
      <c r="E4272" s="630"/>
      <c r="F4272" s="630"/>
      <c r="G4272" s="630"/>
    </row>
    <row r="4273" spans="1:7" ht="18.75" x14ac:dyDescent="0.25">
      <c r="A4273" s="629" t="s">
        <v>3063</v>
      </c>
      <c r="B4273" s="630">
        <v>169</v>
      </c>
      <c r="C4273" s="631" t="str">
        <f t="shared" si="71"/>
        <v>Ô tô vận tải thùng 12 tấn169</v>
      </c>
      <c r="D4273" s="630"/>
      <c r="E4273" s="630"/>
      <c r="F4273" s="630"/>
      <c r="G4273" s="630"/>
    </row>
    <row r="4274" spans="1:7" ht="18.75" x14ac:dyDescent="0.25">
      <c r="A4274" s="629" t="s">
        <v>3063</v>
      </c>
      <c r="B4274" s="630">
        <v>170</v>
      </c>
      <c r="C4274" s="631" t="str">
        <f t="shared" si="71"/>
        <v>Ô tô vận tải thùng 12 tấn170</v>
      </c>
      <c r="D4274" s="630"/>
      <c r="E4274" s="630"/>
      <c r="F4274" s="630"/>
      <c r="G4274" s="630"/>
    </row>
    <row r="4275" spans="1:7" ht="18.75" x14ac:dyDescent="0.25">
      <c r="A4275" s="629" t="s">
        <v>3063</v>
      </c>
      <c r="B4275" s="630">
        <v>171</v>
      </c>
      <c r="C4275" s="631" t="str">
        <f t="shared" si="71"/>
        <v>Ô tô vận tải thùng 12 tấn171</v>
      </c>
      <c r="D4275" s="630"/>
      <c r="E4275" s="630"/>
      <c r="F4275" s="630"/>
      <c r="G4275" s="630"/>
    </row>
    <row r="4276" spans="1:7" ht="18.75" x14ac:dyDescent="0.25">
      <c r="A4276" s="629" t="s">
        <v>3063</v>
      </c>
      <c r="B4276" s="630">
        <v>172</v>
      </c>
      <c r="C4276" s="631" t="str">
        <f t="shared" si="71"/>
        <v>Ô tô vận tải thùng 12 tấn172</v>
      </c>
      <c r="D4276" s="630"/>
      <c r="E4276" s="630"/>
      <c r="F4276" s="630"/>
      <c r="G4276" s="630"/>
    </row>
    <row r="4277" spans="1:7" ht="18.75" x14ac:dyDescent="0.25">
      <c r="A4277" s="629" t="s">
        <v>3063</v>
      </c>
      <c r="B4277" s="630">
        <v>173</v>
      </c>
      <c r="C4277" s="631" t="str">
        <f t="shared" si="71"/>
        <v>Ô tô vận tải thùng 12 tấn173</v>
      </c>
      <c r="D4277" s="630"/>
      <c r="E4277" s="630"/>
      <c r="F4277" s="630"/>
      <c r="G4277" s="630"/>
    </row>
    <row r="4278" spans="1:7" ht="18.75" x14ac:dyDescent="0.25">
      <c r="A4278" s="629" t="s">
        <v>3063</v>
      </c>
      <c r="B4278" s="630">
        <v>174</v>
      </c>
      <c r="C4278" s="631" t="str">
        <f t="shared" si="71"/>
        <v>Ô tô vận tải thùng 12 tấn174</v>
      </c>
      <c r="D4278" s="630"/>
      <c r="E4278" s="630"/>
      <c r="F4278" s="630"/>
      <c r="G4278" s="630"/>
    </row>
    <row r="4279" spans="1:7" ht="18.75" x14ac:dyDescent="0.25">
      <c r="A4279" s="629" t="s">
        <v>3063</v>
      </c>
      <c r="B4279" s="630">
        <v>175</v>
      </c>
      <c r="C4279" s="631" t="str">
        <f t="shared" si="71"/>
        <v>Ô tô vận tải thùng 12 tấn175</v>
      </c>
      <c r="D4279" s="630"/>
      <c r="E4279" s="630"/>
      <c r="F4279" s="630"/>
      <c r="G4279" s="630"/>
    </row>
    <row r="4280" spans="1:7" ht="18.75" x14ac:dyDescent="0.25">
      <c r="A4280" s="629" t="s">
        <v>3063</v>
      </c>
      <c r="B4280" s="630">
        <v>176</v>
      </c>
      <c r="C4280" s="631" t="str">
        <f t="shared" si="71"/>
        <v>Ô tô vận tải thùng 12 tấn176</v>
      </c>
      <c r="D4280" s="630"/>
      <c r="E4280" s="630"/>
      <c r="F4280" s="630"/>
      <c r="G4280" s="630"/>
    </row>
    <row r="4281" spans="1:7" ht="18.75" x14ac:dyDescent="0.25">
      <c r="A4281" s="629" t="s">
        <v>3063</v>
      </c>
      <c r="B4281" s="630">
        <v>177</v>
      </c>
      <c r="C4281" s="631" t="str">
        <f t="shared" si="71"/>
        <v>Ô tô vận tải thùng 12 tấn177</v>
      </c>
      <c r="D4281" s="630"/>
      <c r="E4281" s="630"/>
      <c r="F4281" s="630"/>
      <c r="G4281" s="630"/>
    </row>
    <row r="4282" spans="1:7" ht="18.75" x14ac:dyDescent="0.25">
      <c r="A4282" s="629" t="s">
        <v>3063</v>
      </c>
      <c r="B4282" s="630">
        <v>178</v>
      </c>
      <c r="C4282" s="631" t="str">
        <f t="shared" si="71"/>
        <v>Ô tô vận tải thùng 12 tấn178</v>
      </c>
      <c r="D4282" s="630"/>
      <c r="E4282" s="630"/>
      <c r="F4282" s="630"/>
      <c r="G4282" s="630"/>
    </row>
    <row r="4283" spans="1:7" ht="18.75" x14ac:dyDescent="0.25">
      <c r="A4283" s="629" t="s">
        <v>3063</v>
      </c>
      <c r="B4283" s="630">
        <v>179</v>
      </c>
      <c r="C4283" s="631" t="str">
        <f t="shared" si="71"/>
        <v>Ô tô vận tải thùng 12 tấn179</v>
      </c>
      <c r="D4283" s="630"/>
      <c r="E4283" s="630"/>
      <c r="F4283" s="630"/>
      <c r="G4283" s="630"/>
    </row>
    <row r="4284" spans="1:7" ht="18.75" x14ac:dyDescent="0.25">
      <c r="A4284" s="629" t="s">
        <v>3063</v>
      </c>
      <c r="B4284" s="630">
        <v>180</v>
      </c>
      <c r="C4284" s="631" t="str">
        <f t="shared" si="71"/>
        <v>Ô tô vận tải thùng 12 tấn180</v>
      </c>
      <c r="D4284" s="630"/>
      <c r="E4284" s="630"/>
      <c r="F4284" s="630"/>
      <c r="G4284" s="630"/>
    </row>
    <row r="4285" spans="1:7" ht="18.75" x14ac:dyDescent="0.25">
      <c r="A4285" s="629" t="s">
        <v>3063</v>
      </c>
      <c r="B4285" s="630">
        <v>181</v>
      </c>
      <c r="C4285" s="631" t="str">
        <f t="shared" si="71"/>
        <v>Ô tô vận tải thùng 12 tấn181</v>
      </c>
      <c r="D4285" s="630"/>
      <c r="E4285" s="630"/>
      <c r="F4285" s="630"/>
      <c r="G4285" s="630"/>
    </row>
    <row r="4286" spans="1:7" ht="18.75" x14ac:dyDescent="0.25">
      <c r="A4286" s="629" t="s">
        <v>3063</v>
      </c>
      <c r="B4286" s="630">
        <v>182</v>
      </c>
      <c r="C4286" s="631" t="str">
        <f t="shared" si="71"/>
        <v>Ô tô vận tải thùng 12 tấn182</v>
      </c>
      <c r="D4286" s="630"/>
      <c r="E4286" s="630"/>
      <c r="F4286" s="630"/>
      <c r="G4286" s="630"/>
    </row>
    <row r="4287" spans="1:7" ht="18.75" x14ac:dyDescent="0.25">
      <c r="A4287" s="629" t="s">
        <v>3063</v>
      </c>
      <c r="B4287" s="630">
        <v>183</v>
      </c>
      <c r="C4287" s="631" t="str">
        <f t="shared" si="71"/>
        <v>Ô tô vận tải thùng 12 tấn183</v>
      </c>
      <c r="D4287" s="630"/>
      <c r="E4287" s="630"/>
      <c r="F4287" s="630"/>
      <c r="G4287" s="630"/>
    </row>
    <row r="4288" spans="1:7" ht="18.75" x14ac:dyDescent="0.25">
      <c r="A4288" s="629" t="s">
        <v>3063</v>
      </c>
      <c r="B4288" s="630">
        <v>184</v>
      </c>
      <c r="C4288" s="631" t="str">
        <f t="shared" si="71"/>
        <v>Ô tô vận tải thùng 12 tấn184</v>
      </c>
      <c r="D4288" s="630"/>
      <c r="E4288" s="630"/>
      <c r="F4288" s="630"/>
      <c r="G4288" s="630"/>
    </row>
    <row r="4289" spans="1:7" ht="18.75" x14ac:dyDescent="0.25">
      <c r="A4289" s="629" t="s">
        <v>3063</v>
      </c>
      <c r="B4289" s="630">
        <v>185</v>
      </c>
      <c r="C4289" s="631" t="str">
        <f t="shared" si="71"/>
        <v>Ô tô vận tải thùng 12 tấn185</v>
      </c>
      <c r="D4289" s="630"/>
      <c r="E4289" s="630"/>
      <c r="F4289" s="630"/>
      <c r="G4289" s="630"/>
    </row>
    <row r="4290" spans="1:7" ht="18.75" x14ac:dyDescent="0.25">
      <c r="A4290" s="629" t="s">
        <v>3063</v>
      </c>
      <c r="B4290" s="630">
        <v>186</v>
      </c>
      <c r="C4290" s="631" t="str">
        <f t="shared" si="71"/>
        <v>Ô tô vận tải thùng 12 tấn186</v>
      </c>
      <c r="D4290" s="630"/>
      <c r="E4290" s="630"/>
      <c r="F4290" s="630"/>
      <c r="G4290" s="630"/>
    </row>
    <row r="4291" spans="1:7" ht="18.75" x14ac:dyDescent="0.25">
      <c r="A4291" s="629" t="s">
        <v>3063</v>
      </c>
      <c r="B4291" s="630">
        <v>187</v>
      </c>
      <c r="C4291" s="631" t="str">
        <f t="shared" si="71"/>
        <v>Ô tô vận tải thùng 12 tấn187</v>
      </c>
      <c r="D4291" s="630"/>
      <c r="E4291" s="630"/>
      <c r="F4291" s="630"/>
      <c r="G4291" s="630"/>
    </row>
    <row r="4292" spans="1:7" ht="18.75" x14ac:dyDescent="0.25">
      <c r="A4292" s="629" t="s">
        <v>3063</v>
      </c>
      <c r="B4292" s="630">
        <v>188</v>
      </c>
      <c r="C4292" s="631" t="str">
        <f t="shared" si="71"/>
        <v>Ô tô vận tải thùng 12 tấn188</v>
      </c>
      <c r="D4292" s="630"/>
      <c r="E4292" s="630"/>
      <c r="F4292" s="630"/>
      <c r="G4292" s="630"/>
    </row>
    <row r="4293" spans="1:7" ht="18.75" x14ac:dyDescent="0.25">
      <c r="A4293" s="629" t="s">
        <v>3063</v>
      </c>
      <c r="B4293" s="630">
        <v>189</v>
      </c>
      <c r="C4293" s="631" t="str">
        <f t="shared" si="71"/>
        <v>Ô tô vận tải thùng 12 tấn189</v>
      </c>
      <c r="D4293" s="630"/>
      <c r="E4293" s="630"/>
      <c r="F4293" s="630"/>
      <c r="G4293" s="630"/>
    </row>
    <row r="4294" spans="1:7" ht="18.75" x14ac:dyDescent="0.25">
      <c r="A4294" s="629" t="s">
        <v>3063</v>
      </c>
      <c r="B4294" s="630">
        <v>190</v>
      </c>
      <c r="C4294" s="631" t="str">
        <f t="shared" si="71"/>
        <v>Ô tô vận tải thùng 12 tấn190</v>
      </c>
      <c r="D4294" s="630"/>
      <c r="E4294" s="630"/>
      <c r="F4294" s="630"/>
      <c r="G4294" s="630"/>
    </row>
    <row r="4295" spans="1:7" ht="18.75" x14ac:dyDescent="0.25">
      <c r="A4295" s="629" t="s">
        <v>3063</v>
      </c>
      <c r="B4295" s="630">
        <v>191</v>
      </c>
      <c r="C4295" s="631" t="str">
        <f t="shared" si="71"/>
        <v>Ô tô vận tải thùng 12 tấn191</v>
      </c>
      <c r="D4295" s="630"/>
      <c r="E4295" s="630"/>
      <c r="F4295" s="630"/>
      <c r="G4295" s="630"/>
    </row>
    <row r="4296" spans="1:7" ht="18.75" x14ac:dyDescent="0.25">
      <c r="A4296" s="629" t="s">
        <v>3063</v>
      </c>
      <c r="B4296" s="630">
        <v>192</v>
      </c>
      <c r="C4296" s="631" t="str">
        <f t="shared" si="71"/>
        <v>Ô tô vận tải thùng 12 tấn192</v>
      </c>
      <c r="D4296" s="630"/>
      <c r="E4296" s="630"/>
      <c r="F4296" s="630"/>
      <c r="G4296" s="630"/>
    </row>
    <row r="4297" spans="1:7" ht="18.75" x14ac:dyDescent="0.25">
      <c r="A4297" s="629" t="s">
        <v>3063</v>
      </c>
      <c r="B4297" s="630">
        <v>193</v>
      </c>
      <c r="C4297" s="631" t="str">
        <f t="shared" si="71"/>
        <v>Ô tô vận tải thùng 12 tấn193</v>
      </c>
      <c r="D4297" s="630"/>
      <c r="E4297" s="630"/>
      <c r="F4297" s="630"/>
      <c r="G4297" s="630"/>
    </row>
    <row r="4298" spans="1:7" ht="18.75" x14ac:dyDescent="0.25">
      <c r="A4298" s="629" t="s">
        <v>3063</v>
      </c>
      <c r="B4298" s="630">
        <v>194</v>
      </c>
      <c r="C4298" s="631" t="str">
        <f t="shared" ref="C4298:C4361" si="72">A4298&amp;B4298</f>
        <v>Ô tô vận tải thùng 12 tấn194</v>
      </c>
      <c r="D4298" s="630"/>
      <c r="E4298" s="630"/>
      <c r="F4298" s="630"/>
      <c r="G4298" s="630"/>
    </row>
    <row r="4299" spans="1:7" ht="18.75" x14ac:dyDescent="0.25">
      <c r="A4299" s="629" t="s">
        <v>3063</v>
      </c>
      <c r="B4299" s="630">
        <v>195</v>
      </c>
      <c r="C4299" s="631" t="str">
        <f t="shared" si="72"/>
        <v>Ô tô vận tải thùng 12 tấn195</v>
      </c>
      <c r="D4299" s="630"/>
      <c r="E4299" s="630"/>
      <c r="F4299" s="630"/>
      <c r="G4299" s="630"/>
    </row>
    <row r="4300" spans="1:7" ht="18.75" x14ac:dyDescent="0.25">
      <c r="A4300" s="629" t="s">
        <v>3063</v>
      </c>
      <c r="B4300" s="630">
        <v>196</v>
      </c>
      <c r="C4300" s="631" t="str">
        <f t="shared" si="72"/>
        <v>Ô tô vận tải thùng 12 tấn196</v>
      </c>
      <c r="D4300" s="630"/>
      <c r="E4300" s="630"/>
      <c r="F4300" s="630"/>
      <c r="G4300" s="630"/>
    </row>
    <row r="4301" spans="1:7" ht="18.75" x14ac:dyDescent="0.25">
      <c r="A4301" s="629" t="s">
        <v>3063</v>
      </c>
      <c r="B4301" s="630">
        <v>197</v>
      </c>
      <c r="C4301" s="631" t="str">
        <f t="shared" si="72"/>
        <v>Ô tô vận tải thùng 12 tấn197</v>
      </c>
      <c r="D4301" s="630"/>
      <c r="E4301" s="630"/>
      <c r="F4301" s="630"/>
      <c r="G4301" s="630"/>
    </row>
    <row r="4302" spans="1:7" ht="18.75" x14ac:dyDescent="0.25">
      <c r="A4302" s="629" t="s">
        <v>3063</v>
      </c>
      <c r="B4302" s="630">
        <v>198</v>
      </c>
      <c r="C4302" s="631" t="str">
        <f t="shared" si="72"/>
        <v>Ô tô vận tải thùng 12 tấn198</v>
      </c>
      <c r="D4302" s="630"/>
      <c r="E4302" s="630"/>
      <c r="F4302" s="630"/>
      <c r="G4302" s="630"/>
    </row>
    <row r="4303" spans="1:7" ht="18.75" x14ac:dyDescent="0.25">
      <c r="A4303" s="629" t="s">
        <v>3063</v>
      </c>
      <c r="B4303" s="630">
        <v>199</v>
      </c>
      <c r="C4303" s="631" t="str">
        <f t="shared" si="72"/>
        <v>Ô tô vận tải thùng 12 tấn199</v>
      </c>
      <c r="D4303" s="630"/>
      <c r="E4303" s="630"/>
      <c r="F4303" s="630"/>
      <c r="G4303" s="630"/>
    </row>
    <row r="4304" spans="1:7" ht="18.75" x14ac:dyDescent="0.25">
      <c r="A4304" s="629" t="s">
        <v>3063</v>
      </c>
      <c r="B4304" s="630">
        <v>200</v>
      </c>
      <c r="C4304" s="631" t="str">
        <f t="shared" si="72"/>
        <v>Ô tô vận tải thùng 12 tấn200</v>
      </c>
      <c r="D4304" s="630"/>
      <c r="E4304" s="630"/>
      <c r="F4304" s="630"/>
      <c r="G4304" s="630"/>
    </row>
    <row r="4305" spans="1:7" ht="18.75" x14ac:dyDescent="0.25">
      <c r="A4305" s="629" t="s">
        <v>3063</v>
      </c>
      <c r="B4305" s="630">
        <v>201</v>
      </c>
      <c r="C4305" s="631" t="str">
        <f t="shared" si="72"/>
        <v>Ô tô vận tải thùng 12 tấn201</v>
      </c>
      <c r="D4305" s="630"/>
      <c r="E4305" s="630"/>
      <c r="F4305" s="630"/>
      <c r="G4305" s="630"/>
    </row>
    <row r="4306" spans="1:7" ht="18.75" x14ac:dyDescent="0.25">
      <c r="A4306" s="629" t="s">
        <v>3063</v>
      </c>
      <c r="B4306" s="630">
        <v>202</v>
      </c>
      <c r="C4306" s="631" t="str">
        <f t="shared" si="72"/>
        <v>Ô tô vận tải thùng 12 tấn202</v>
      </c>
      <c r="D4306" s="630"/>
      <c r="E4306" s="630"/>
      <c r="F4306" s="630"/>
      <c r="G4306" s="630"/>
    </row>
    <row r="4307" spans="1:7" ht="18.75" x14ac:dyDescent="0.25">
      <c r="A4307" s="629" t="s">
        <v>3063</v>
      </c>
      <c r="B4307" s="630">
        <v>203</v>
      </c>
      <c r="C4307" s="631" t="str">
        <f t="shared" si="72"/>
        <v>Ô tô vận tải thùng 12 tấn203</v>
      </c>
      <c r="D4307" s="630"/>
      <c r="E4307" s="630"/>
      <c r="F4307" s="630"/>
      <c r="G4307" s="630"/>
    </row>
    <row r="4308" spans="1:7" ht="18.75" x14ac:dyDescent="0.25">
      <c r="A4308" s="629" t="s">
        <v>3063</v>
      </c>
      <c r="B4308" s="630">
        <v>204</v>
      </c>
      <c r="C4308" s="631" t="str">
        <f t="shared" si="72"/>
        <v>Ô tô vận tải thùng 12 tấn204</v>
      </c>
      <c r="D4308" s="630"/>
      <c r="E4308" s="630"/>
      <c r="F4308" s="630"/>
      <c r="G4308" s="630"/>
    </row>
    <row r="4309" spans="1:7" ht="18.75" x14ac:dyDescent="0.25">
      <c r="A4309" s="629" t="s">
        <v>3063</v>
      </c>
      <c r="B4309" s="630">
        <v>205</v>
      </c>
      <c r="C4309" s="631" t="str">
        <f t="shared" si="72"/>
        <v>Ô tô vận tải thùng 12 tấn205</v>
      </c>
      <c r="D4309" s="630"/>
      <c r="E4309" s="630"/>
      <c r="F4309" s="630"/>
      <c r="G4309" s="630"/>
    </row>
    <row r="4310" spans="1:7" ht="18.75" x14ac:dyDescent="0.25">
      <c r="A4310" s="629" t="s">
        <v>3063</v>
      </c>
      <c r="B4310" s="630">
        <v>206</v>
      </c>
      <c r="C4310" s="631" t="str">
        <f t="shared" si="72"/>
        <v>Ô tô vận tải thùng 12 tấn206</v>
      </c>
      <c r="D4310" s="630"/>
      <c r="E4310" s="630"/>
      <c r="F4310" s="630"/>
      <c r="G4310" s="630"/>
    </row>
    <row r="4311" spans="1:7" ht="18.75" x14ac:dyDescent="0.25">
      <c r="A4311" s="629" t="s">
        <v>3063</v>
      </c>
      <c r="B4311" s="630">
        <v>207</v>
      </c>
      <c r="C4311" s="631" t="str">
        <f t="shared" si="72"/>
        <v>Ô tô vận tải thùng 12 tấn207</v>
      </c>
      <c r="D4311" s="630"/>
      <c r="E4311" s="630"/>
      <c r="F4311" s="630"/>
      <c r="G4311" s="630"/>
    </row>
    <row r="4312" spans="1:7" ht="18.75" x14ac:dyDescent="0.25">
      <c r="A4312" s="629" t="s">
        <v>3063</v>
      </c>
      <c r="B4312" s="630">
        <v>208</v>
      </c>
      <c r="C4312" s="631" t="str">
        <f t="shared" si="72"/>
        <v>Ô tô vận tải thùng 12 tấn208</v>
      </c>
      <c r="D4312" s="630"/>
      <c r="E4312" s="630"/>
      <c r="F4312" s="630"/>
      <c r="G4312" s="630"/>
    </row>
    <row r="4313" spans="1:7" ht="18.75" x14ac:dyDescent="0.25">
      <c r="A4313" s="629" t="s">
        <v>3063</v>
      </c>
      <c r="B4313" s="630">
        <v>209</v>
      </c>
      <c r="C4313" s="631" t="str">
        <f t="shared" si="72"/>
        <v>Ô tô vận tải thùng 12 tấn209</v>
      </c>
      <c r="D4313" s="630"/>
      <c r="E4313" s="630"/>
      <c r="F4313" s="630"/>
      <c r="G4313" s="630"/>
    </row>
    <row r="4314" spans="1:7" ht="18.75" x14ac:dyDescent="0.25">
      <c r="A4314" s="629" t="s">
        <v>3063</v>
      </c>
      <c r="B4314" s="630">
        <v>210</v>
      </c>
      <c r="C4314" s="631" t="str">
        <f t="shared" si="72"/>
        <v>Ô tô vận tải thùng 12 tấn210</v>
      </c>
      <c r="D4314" s="630"/>
      <c r="E4314" s="630"/>
      <c r="F4314" s="630"/>
      <c r="G4314" s="630"/>
    </row>
    <row r="4315" spans="1:7" ht="18.75" x14ac:dyDescent="0.25">
      <c r="A4315" s="629" t="s">
        <v>3063</v>
      </c>
      <c r="B4315" s="630">
        <v>211</v>
      </c>
      <c r="C4315" s="631" t="str">
        <f t="shared" si="72"/>
        <v>Ô tô vận tải thùng 12 tấn211</v>
      </c>
      <c r="D4315" s="630"/>
      <c r="E4315" s="630"/>
      <c r="F4315" s="630"/>
      <c r="G4315" s="630"/>
    </row>
    <row r="4316" spans="1:7" ht="18.75" x14ac:dyDescent="0.25">
      <c r="A4316" s="629" t="s">
        <v>3063</v>
      </c>
      <c r="B4316" s="630">
        <v>212</v>
      </c>
      <c r="C4316" s="631" t="str">
        <f t="shared" si="72"/>
        <v>Ô tô vận tải thùng 12 tấn212</v>
      </c>
      <c r="D4316" s="630"/>
      <c r="E4316" s="630"/>
      <c r="F4316" s="630"/>
      <c r="G4316" s="630"/>
    </row>
    <row r="4317" spans="1:7" ht="18.75" x14ac:dyDescent="0.25">
      <c r="A4317" s="629" t="s">
        <v>3063</v>
      </c>
      <c r="B4317" s="630">
        <v>213</v>
      </c>
      <c r="C4317" s="631" t="str">
        <f t="shared" si="72"/>
        <v>Ô tô vận tải thùng 12 tấn213</v>
      </c>
      <c r="D4317" s="630"/>
      <c r="E4317" s="630"/>
      <c r="F4317" s="630"/>
      <c r="G4317" s="630"/>
    </row>
    <row r="4318" spans="1:7" ht="18.75" x14ac:dyDescent="0.25">
      <c r="A4318" s="629" t="s">
        <v>3063</v>
      </c>
      <c r="B4318" s="630">
        <v>214</v>
      </c>
      <c r="C4318" s="631" t="str">
        <f t="shared" si="72"/>
        <v>Ô tô vận tải thùng 12 tấn214</v>
      </c>
      <c r="D4318" s="630"/>
      <c r="E4318" s="630"/>
      <c r="F4318" s="630"/>
      <c r="G4318" s="630"/>
    </row>
    <row r="4319" spans="1:7" ht="18.75" x14ac:dyDescent="0.25">
      <c r="A4319" s="629" t="s">
        <v>3063</v>
      </c>
      <c r="B4319" s="630">
        <v>215</v>
      </c>
      <c r="C4319" s="631" t="str">
        <f t="shared" si="72"/>
        <v>Ô tô vận tải thùng 12 tấn215</v>
      </c>
      <c r="D4319" s="630"/>
      <c r="E4319" s="630"/>
      <c r="F4319" s="630"/>
      <c r="G4319" s="630"/>
    </row>
    <row r="4320" spans="1:7" ht="18.75" x14ac:dyDescent="0.25">
      <c r="A4320" s="629" t="s">
        <v>3063</v>
      </c>
      <c r="B4320" s="630">
        <v>216</v>
      </c>
      <c r="C4320" s="631" t="str">
        <f t="shared" si="72"/>
        <v>Ô tô vận tải thùng 12 tấn216</v>
      </c>
      <c r="D4320" s="630"/>
      <c r="E4320" s="630"/>
      <c r="F4320" s="630"/>
      <c r="G4320" s="630"/>
    </row>
    <row r="4321" spans="1:7" ht="18.75" x14ac:dyDescent="0.25">
      <c r="A4321" s="629" t="s">
        <v>3063</v>
      </c>
      <c r="B4321" s="630">
        <v>217</v>
      </c>
      <c r="C4321" s="631" t="str">
        <f t="shared" si="72"/>
        <v>Ô tô vận tải thùng 12 tấn217</v>
      </c>
      <c r="D4321" s="630"/>
      <c r="E4321" s="630"/>
      <c r="F4321" s="630"/>
      <c r="G4321" s="630"/>
    </row>
    <row r="4322" spans="1:7" ht="18.75" x14ac:dyDescent="0.25">
      <c r="A4322" s="629" t="s">
        <v>3063</v>
      </c>
      <c r="B4322" s="630">
        <v>218</v>
      </c>
      <c r="C4322" s="631" t="str">
        <f t="shared" si="72"/>
        <v>Ô tô vận tải thùng 12 tấn218</v>
      </c>
      <c r="D4322" s="630"/>
      <c r="E4322" s="630"/>
      <c r="F4322" s="630"/>
      <c r="G4322" s="630"/>
    </row>
    <row r="4323" spans="1:7" ht="18.75" x14ac:dyDescent="0.25">
      <c r="A4323" s="629" t="s">
        <v>3063</v>
      </c>
      <c r="B4323" s="630">
        <v>219</v>
      </c>
      <c r="C4323" s="631" t="str">
        <f t="shared" si="72"/>
        <v>Ô tô vận tải thùng 12 tấn219</v>
      </c>
      <c r="D4323" s="630"/>
      <c r="E4323" s="630"/>
      <c r="F4323" s="630"/>
      <c r="G4323" s="630"/>
    </row>
    <row r="4324" spans="1:7" ht="18.75" x14ac:dyDescent="0.25">
      <c r="A4324" s="629" t="s">
        <v>3063</v>
      </c>
      <c r="B4324" s="630">
        <v>220</v>
      </c>
      <c r="C4324" s="631" t="str">
        <f t="shared" si="72"/>
        <v>Ô tô vận tải thùng 12 tấn220</v>
      </c>
      <c r="D4324" s="630"/>
      <c r="E4324" s="630"/>
      <c r="F4324" s="630"/>
      <c r="G4324" s="630"/>
    </row>
    <row r="4325" spans="1:7" ht="18.75" x14ac:dyDescent="0.25">
      <c r="A4325" s="629" t="s">
        <v>3063</v>
      </c>
      <c r="B4325" s="630">
        <v>221</v>
      </c>
      <c r="C4325" s="631" t="str">
        <f t="shared" si="72"/>
        <v>Ô tô vận tải thùng 12 tấn221</v>
      </c>
      <c r="D4325" s="630"/>
      <c r="E4325" s="630"/>
      <c r="F4325" s="630"/>
      <c r="G4325" s="630"/>
    </row>
    <row r="4326" spans="1:7" ht="18.75" x14ac:dyDescent="0.25">
      <c r="A4326" s="629" t="s">
        <v>3063</v>
      </c>
      <c r="B4326" s="630">
        <v>222</v>
      </c>
      <c r="C4326" s="631" t="str">
        <f t="shared" si="72"/>
        <v>Ô tô vận tải thùng 12 tấn222</v>
      </c>
      <c r="D4326" s="630"/>
      <c r="E4326" s="630"/>
      <c r="F4326" s="630"/>
      <c r="G4326" s="630"/>
    </row>
    <row r="4327" spans="1:7" ht="18.75" x14ac:dyDescent="0.25">
      <c r="A4327" s="629" t="s">
        <v>3063</v>
      </c>
      <c r="B4327" s="630">
        <v>223</v>
      </c>
      <c r="C4327" s="631" t="str">
        <f t="shared" si="72"/>
        <v>Ô tô vận tải thùng 12 tấn223</v>
      </c>
      <c r="D4327" s="630"/>
      <c r="E4327" s="630"/>
      <c r="F4327" s="630"/>
      <c r="G4327" s="630"/>
    </row>
    <row r="4328" spans="1:7" ht="18.75" x14ac:dyDescent="0.25">
      <c r="A4328" s="629" t="s">
        <v>3063</v>
      </c>
      <c r="B4328" s="630">
        <v>224</v>
      </c>
      <c r="C4328" s="631" t="str">
        <f t="shared" si="72"/>
        <v>Ô tô vận tải thùng 12 tấn224</v>
      </c>
      <c r="D4328" s="630"/>
      <c r="E4328" s="630"/>
      <c r="F4328" s="630"/>
      <c r="G4328" s="630"/>
    </row>
    <row r="4329" spans="1:7" ht="18.75" x14ac:dyDescent="0.25">
      <c r="A4329" s="629" t="s">
        <v>3063</v>
      </c>
      <c r="B4329" s="630">
        <v>225</v>
      </c>
      <c r="C4329" s="631" t="str">
        <f t="shared" si="72"/>
        <v>Ô tô vận tải thùng 12 tấn225</v>
      </c>
      <c r="D4329" s="630"/>
      <c r="E4329" s="630"/>
      <c r="F4329" s="630"/>
      <c r="G4329" s="630"/>
    </row>
    <row r="4330" spans="1:7" ht="18.75" x14ac:dyDescent="0.25">
      <c r="A4330" s="629" t="s">
        <v>3063</v>
      </c>
      <c r="B4330" s="630">
        <v>226</v>
      </c>
      <c r="C4330" s="631" t="str">
        <f t="shared" si="72"/>
        <v>Ô tô vận tải thùng 12 tấn226</v>
      </c>
      <c r="D4330" s="630"/>
      <c r="E4330" s="630"/>
      <c r="F4330" s="630"/>
      <c r="G4330" s="630"/>
    </row>
    <row r="4331" spans="1:7" ht="18.75" x14ac:dyDescent="0.25">
      <c r="A4331" s="629" t="s">
        <v>3063</v>
      </c>
      <c r="B4331" s="630">
        <v>227</v>
      </c>
      <c r="C4331" s="631" t="str">
        <f t="shared" si="72"/>
        <v>Ô tô vận tải thùng 12 tấn227</v>
      </c>
      <c r="D4331" s="630"/>
      <c r="E4331" s="630"/>
      <c r="F4331" s="630"/>
      <c r="G4331" s="630"/>
    </row>
    <row r="4332" spans="1:7" ht="18.75" x14ac:dyDescent="0.25">
      <c r="A4332" s="629" t="s">
        <v>3063</v>
      </c>
      <c r="B4332" s="630">
        <v>228</v>
      </c>
      <c r="C4332" s="631" t="str">
        <f t="shared" si="72"/>
        <v>Ô tô vận tải thùng 12 tấn228</v>
      </c>
      <c r="D4332" s="630"/>
      <c r="E4332" s="630"/>
      <c r="F4332" s="630"/>
      <c r="G4332" s="630"/>
    </row>
    <row r="4333" spans="1:7" ht="18.75" x14ac:dyDescent="0.25">
      <c r="A4333" s="629" t="s">
        <v>3063</v>
      </c>
      <c r="B4333" s="630">
        <v>229</v>
      </c>
      <c r="C4333" s="631" t="str">
        <f t="shared" si="72"/>
        <v>Ô tô vận tải thùng 12 tấn229</v>
      </c>
      <c r="D4333" s="630"/>
      <c r="E4333" s="630"/>
      <c r="F4333" s="630"/>
      <c r="G4333" s="630"/>
    </row>
    <row r="4334" spans="1:7" ht="18.75" x14ac:dyDescent="0.25">
      <c r="A4334" s="629" t="s">
        <v>3063</v>
      </c>
      <c r="B4334" s="630">
        <v>230</v>
      </c>
      <c r="C4334" s="631" t="str">
        <f t="shared" si="72"/>
        <v>Ô tô vận tải thùng 12 tấn230</v>
      </c>
      <c r="D4334" s="630"/>
      <c r="E4334" s="630"/>
      <c r="F4334" s="630"/>
      <c r="G4334" s="630"/>
    </row>
    <row r="4335" spans="1:7" ht="18.75" x14ac:dyDescent="0.25">
      <c r="A4335" s="629" t="s">
        <v>3063</v>
      </c>
      <c r="B4335" s="630">
        <v>231</v>
      </c>
      <c r="C4335" s="631" t="str">
        <f t="shared" si="72"/>
        <v>Ô tô vận tải thùng 12 tấn231</v>
      </c>
      <c r="D4335" s="630"/>
      <c r="E4335" s="630"/>
      <c r="F4335" s="630"/>
      <c r="G4335" s="630"/>
    </row>
    <row r="4336" spans="1:7" ht="18.75" x14ac:dyDescent="0.25">
      <c r="A4336" s="629" t="s">
        <v>3063</v>
      </c>
      <c r="B4336" s="630">
        <v>232</v>
      </c>
      <c r="C4336" s="631" t="str">
        <f t="shared" si="72"/>
        <v>Ô tô vận tải thùng 12 tấn232</v>
      </c>
      <c r="D4336" s="630"/>
      <c r="E4336" s="630"/>
      <c r="F4336" s="630"/>
      <c r="G4336" s="630"/>
    </row>
    <row r="4337" spans="1:7" ht="18.75" x14ac:dyDescent="0.25">
      <c r="A4337" s="629" t="s">
        <v>3063</v>
      </c>
      <c r="B4337" s="630">
        <v>233</v>
      </c>
      <c r="C4337" s="631" t="str">
        <f t="shared" si="72"/>
        <v>Ô tô vận tải thùng 12 tấn233</v>
      </c>
      <c r="D4337" s="630"/>
      <c r="E4337" s="630"/>
      <c r="F4337" s="630"/>
      <c r="G4337" s="630"/>
    </row>
    <row r="4338" spans="1:7" ht="18.75" x14ac:dyDescent="0.25">
      <c r="A4338" s="629" t="s">
        <v>3063</v>
      </c>
      <c r="B4338" s="630">
        <v>234</v>
      </c>
      <c r="C4338" s="631" t="str">
        <f t="shared" si="72"/>
        <v>Ô tô vận tải thùng 12 tấn234</v>
      </c>
      <c r="D4338" s="630"/>
      <c r="E4338" s="630"/>
      <c r="F4338" s="630"/>
      <c r="G4338" s="630"/>
    </row>
    <row r="4339" spans="1:7" ht="18.75" x14ac:dyDescent="0.25">
      <c r="A4339" s="629" t="s">
        <v>3063</v>
      </c>
      <c r="B4339" s="630">
        <v>235</v>
      </c>
      <c r="C4339" s="631" t="str">
        <f t="shared" si="72"/>
        <v>Ô tô vận tải thùng 12 tấn235</v>
      </c>
      <c r="D4339" s="630"/>
      <c r="E4339" s="630"/>
      <c r="F4339" s="630"/>
      <c r="G4339" s="630"/>
    </row>
    <row r="4340" spans="1:7" ht="18.75" x14ac:dyDescent="0.25">
      <c r="A4340" s="629" t="s">
        <v>3063</v>
      </c>
      <c r="B4340" s="630">
        <v>236</v>
      </c>
      <c r="C4340" s="631" t="str">
        <f t="shared" si="72"/>
        <v>Ô tô vận tải thùng 12 tấn236</v>
      </c>
      <c r="D4340" s="630"/>
      <c r="E4340" s="630"/>
      <c r="F4340" s="630"/>
      <c r="G4340" s="630"/>
    </row>
    <row r="4341" spans="1:7" ht="18.75" x14ac:dyDescent="0.25">
      <c r="A4341" s="629" t="s">
        <v>3063</v>
      </c>
      <c r="B4341" s="630">
        <v>237</v>
      </c>
      <c r="C4341" s="631" t="str">
        <f t="shared" si="72"/>
        <v>Ô tô vận tải thùng 12 tấn237</v>
      </c>
      <c r="D4341" s="630"/>
      <c r="E4341" s="630"/>
      <c r="F4341" s="630"/>
      <c r="G4341" s="630"/>
    </row>
    <row r="4342" spans="1:7" ht="18.75" x14ac:dyDescent="0.25">
      <c r="A4342" s="629" t="s">
        <v>3063</v>
      </c>
      <c r="B4342" s="630">
        <v>238</v>
      </c>
      <c r="C4342" s="631" t="str">
        <f t="shared" si="72"/>
        <v>Ô tô vận tải thùng 12 tấn238</v>
      </c>
      <c r="D4342" s="630"/>
      <c r="E4342" s="630"/>
      <c r="F4342" s="630"/>
      <c r="G4342" s="630"/>
    </row>
    <row r="4343" spans="1:7" ht="18.75" x14ac:dyDescent="0.25">
      <c r="A4343" s="629" t="s">
        <v>3063</v>
      </c>
      <c r="B4343" s="630">
        <v>239</v>
      </c>
      <c r="C4343" s="631" t="str">
        <f t="shared" si="72"/>
        <v>Ô tô vận tải thùng 12 tấn239</v>
      </c>
      <c r="D4343" s="630"/>
      <c r="E4343" s="630"/>
      <c r="F4343" s="630"/>
      <c r="G4343" s="630"/>
    </row>
    <row r="4344" spans="1:7" ht="18.75" x14ac:dyDescent="0.25">
      <c r="A4344" s="629" t="s">
        <v>3063</v>
      </c>
      <c r="B4344" s="630">
        <v>240</v>
      </c>
      <c r="C4344" s="631" t="str">
        <f t="shared" si="72"/>
        <v>Ô tô vận tải thùng 12 tấn240</v>
      </c>
      <c r="D4344" s="630"/>
      <c r="E4344" s="630"/>
      <c r="F4344" s="630"/>
      <c r="G4344" s="630"/>
    </row>
    <row r="4345" spans="1:7" ht="18.75" x14ac:dyDescent="0.25">
      <c r="A4345" s="629" t="s">
        <v>3063</v>
      </c>
      <c r="B4345" s="630">
        <v>241</v>
      </c>
      <c r="C4345" s="631" t="str">
        <f t="shared" si="72"/>
        <v>Ô tô vận tải thùng 12 tấn241</v>
      </c>
      <c r="D4345" s="630"/>
      <c r="E4345" s="630"/>
      <c r="F4345" s="630"/>
      <c r="G4345" s="630"/>
    </row>
    <row r="4346" spans="1:7" ht="18.75" x14ac:dyDescent="0.25">
      <c r="A4346" s="629" t="s">
        <v>3063</v>
      </c>
      <c r="B4346" s="630">
        <v>242</v>
      </c>
      <c r="C4346" s="631" t="str">
        <f t="shared" si="72"/>
        <v>Ô tô vận tải thùng 12 tấn242</v>
      </c>
      <c r="D4346" s="630"/>
      <c r="E4346" s="630"/>
      <c r="F4346" s="630"/>
      <c r="G4346" s="630"/>
    </row>
    <row r="4347" spans="1:7" ht="18.75" x14ac:dyDescent="0.25">
      <c r="A4347" s="629" t="s">
        <v>3063</v>
      </c>
      <c r="B4347" s="630">
        <v>243</v>
      </c>
      <c r="C4347" s="631" t="str">
        <f t="shared" si="72"/>
        <v>Ô tô vận tải thùng 12 tấn243</v>
      </c>
      <c r="D4347" s="630"/>
      <c r="E4347" s="630"/>
      <c r="F4347" s="630"/>
      <c r="G4347" s="630"/>
    </row>
    <row r="4348" spans="1:7" ht="18.75" x14ac:dyDescent="0.25">
      <c r="A4348" s="629" t="s">
        <v>3063</v>
      </c>
      <c r="B4348" s="630">
        <v>244</v>
      </c>
      <c r="C4348" s="631" t="str">
        <f t="shared" si="72"/>
        <v>Ô tô vận tải thùng 12 tấn244</v>
      </c>
      <c r="D4348" s="630"/>
      <c r="E4348" s="630"/>
      <c r="F4348" s="630"/>
      <c r="G4348" s="630"/>
    </row>
    <row r="4349" spans="1:7" ht="18.75" x14ac:dyDescent="0.25">
      <c r="A4349" s="629" t="s">
        <v>3063</v>
      </c>
      <c r="B4349" s="630">
        <v>245</v>
      </c>
      <c r="C4349" s="631" t="str">
        <f t="shared" si="72"/>
        <v>Ô tô vận tải thùng 12 tấn245</v>
      </c>
      <c r="D4349" s="630"/>
      <c r="E4349" s="630"/>
      <c r="F4349" s="630"/>
      <c r="G4349" s="630"/>
    </row>
    <row r="4350" spans="1:7" ht="18.75" x14ac:dyDescent="0.25">
      <c r="A4350" s="629" t="s">
        <v>3063</v>
      </c>
      <c r="B4350" s="630">
        <v>246</v>
      </c>
      <c r="C4350" s="631" t="str">
        <f t="shared" si="72"/>
        <v>Ô tô vận tải thùng 12 tấn246</v>
      </c>
      <c r="D4350" s="630"/>
      <c r="E4350" s="630"/>
      <c r="F4350" s="630"/>
      <c r="G4350" s="630"/>
    </row>
    <row r="4351" spans="1:7" ht="18.75" x14ac:dyDescent="0.25">
      <c r="A4351" s="629" t="s">
        <v>3063</v>
      </c>
      <c r="B4351" s="630">
        <v>247</v>
      </c>
      <c r="C4351" s="631" t="str">
        <f t="shared" si="72"/>
        <v>Ô tô vận tải thùng 12 tấn247</v>
      </c>
      <c r="D4351" s="630"/>
      <c r="E4351" s="630"/>
      <c r="F4351" s="630"/>
      <c r="G4351" s="630"/>
    </row>
    <row r="4352" spans="1:7" ht="18.75" x14ac:dyDescent="0.25">
      <c r="A4352" s="629" t="s">
        <v>3063</v>
      </c>
      <c r="B4352" s="630">
        <v>248</v>
      </c>
      <c r="C4352" s="631" t="str">
        <f t="shared" si="72"/>
        <v>Ô tô vận tải thùng 12 tấn248</v>
      </c>
      <c r="D4352" s="630"/>
      <c r="E4352" s="630"/>
      <c r="F4352" s="630"/>
      <c r="G4352" s="630"/>
    </row>
    <row r="4353" spans="1:7" ht="18.75" x14ac:dyDescent="0.25">
      <c r="A4353" s="629" t="s">
        <v>3063</v>
      </c>
      <c r="B4353" s="630">
        <v>249</v>
      </c>
      <c r="C4353" s="631" t="str">
        <f t="shared" si="72"/>
        <v>Ô tô vận tải thùng 12 tấn249</v>
      </c>
      <c r="D4353" s="630"/>
      <c r="E4353" s="630"/>
      <c r="F4353" s="630"/>
      <c r="G4353" s="630"/>
    </row>
    <row r="4354" spans="1:7" ht="18.75" x14ac:dyDescent="0.25">
      <c r="A4354" s="629" t="s">
        <v>3063</v>
      </c>
      <c r="B4354" s="630">
        <v>250</v>
      </c>
      <c r="C4354" s="631" t="str">
        <f t="shared" si="72"/>
        <v>Ô tô vận tải thùng 12 tấn250</v>
      </c>
      <c r="D4354" s="630"/>
      <c r="E4354" s="630"/>
      <c r="F4354" s="630"/>
      <c r="G4354" s="630"/>
    </row>
    <row r="4355" spans="1:7" ht="18.75" x14ac:dyDescent="0.25">
      <c r="A4355" s="629" t="s">
        <v>3063</v>
      </c>
      <c r="B4355" s="630">
        <v>251</v>
      </c>
      <c r="C4355" s="631" t="str">
        <f t="shared" si="72"/>
        <v>Ô tô vận tải thùng 12 tấn251</v>
      </c>
      <c r="D4355" s="630"/>
      <c r="E4355" s="630"/>
      <c r="F4355" s="630"/>
      <c r="G4355" s="630"/>
    </row>
    <row r="4356" spans="1:7" ht="18.75" x14ac:dyDescent="0.25">
      <c r="A4356" s="629" t="s">
        <v>3063</v>
      </c>
      <c r="B4356" s="630">
        <v>252</v>
      </c>
      <c r="C4356" s="631" t="str">
        <f t="shared" si="72"/>
        <v>Ô tô vận tải thùng 12 tấn252</v>
      </c>
      <c r="D4356" s="630"/>
      <c r="E4356" s="630"/>
      <c r="F4356" s="630"/>
      <c r="G4356" s="630"/>
    </row>
    <row r="4357" spans="1:7" ht="18.75" x14ac:dyDescent="0.25">
      <c r="A4357" s="629" t="s">
        <v>3063</v>
      </c>
      <c r="B4357" s="630">
        <v>253</v>
      </c>
      <c r="C4357" s="631" t="str">
        <f t="shared" si="72"/>
        <v>Ô tô vận tải thùng 12 tấn253</v>
      </c>
      <c r="D4357" s="630"/>
      <c r="E4357" s="630"/>
      <c r="F4357" s="630"/>
      <c r="G4357" s="630"/>
    </row>
    <row r="4358" spans="1:7" ht="18.75" x14ac:dyDescent="0.25">
      <c r="A4358" s="629" t="s">
        <v>3063</v>
      </c>
      <c r="B4358" s="630">
        <v>254</v>
      </c>
      <c r="C4358" s="631" t="str">
        <f t="shared" si="72"/>
        <v>Ô tô vận tải thùng 12 tấn254</v>
      </c>
      <c r="D4358" s="630"/>
      <c r="E4358" s="630"/>
      <c r="F4358" s="630"/>
      <c r="G4358" s="630"/>
    </row>
    <row r="4359" spans="1:7" ht="18.75" x14ac:dyDescent="0.25">
      <c r="A4359" s="629" t="s">
        <v>3063</v>
      </c>
      <c r="B4359" s="630">
        <v>255</v>
      </c>
      <c r="C4359" s="631" t="str">
        <f t="shared" si="72"/>
        <v>Ô tô vận tải thùng 12 tấn255</v>
      </c>
      <c r="D4359" s="630"/>
      <c r="E4359" s="630"/>
      <c r="F4359" s="630"/>
      <c r="G4359" s="630"/>
    </row>
    <row r="4360" spans="1:7" ht="18.75" x14ac:dyDescent="0.25">
      <c r="A4360" s="629" t="s">
        <v>3063</v>
      </c>
      <c r="B4360" s="630">
        <v>256</v>
      </c>
      <c r="C4360" s="631" t="str">
        <f t="shared" si="72"/>
        <v>Ô tô vận tải thùng 12 tấn256</v>
      </c>
      <c r="D4360" s="630"/>
      <c r="E4360" s="630"/>
      <c r="F4360" s="630"/>
      <c r="G4360" s="630"/>
    </row>
    <row r="4361" spans="1:7" ht="18.75" x14ac:dyDescent="0.25">
      <c r="A4361" s="629" t="s">
        <v>3063</v>
      </c>
      <c r="B4361" s="630">
        <v>257</v>
      </c>
      <c r="C4361" s="631" t="str">
        <f t="shared" si="72"/>
        <v>Ô tô vận tải thùng 12 tấn257</v>
      </c>
      <c r="D4361" s="630"/>
      <c r="E4361" s="630"/>
      <c r="F4361" s="630"/>
      <c r="G4361" s="630"/>
    </row>
    <row r="4362" spans="1:7" ht="18.75" x14ac:dyDescent="0.25">
      <c r="A4362" s="629" t="s">
        <v>3063</v>
      </c>
      <c r="B4362" s="630">
        <v>258</v>
      </c>
      <c r="C4362" s="631" t="str">
        <f t="shared" ref="C4362:C4425" si="73">A4362&amp;B4362</f>
        <v>Ô tô vận tải thùng 12 tấn258</v>
      </c>
      <c r="D4362" s="630"/>
      <c r="E4362" s="630"/>
      <c r="F4362" s="630"/>
      <c r="G4362" s="630"/>
    </row>
    <row r="4363" spans="1:7" ht="18.75" x14ac:dyDescent="0.25">
      <c r="A4363" s="629" t="s">
        <v>3063</v>
      </c>
      <c r="B4363" s="630">
        <v>259</v>
      </c>
      <c r="C4363" s="631" t="str">
        <f t="shared" si="73"/>
        <v>Ô tô vận tải thùng 12 tấn259</v>
      </c>
      <c r="D4363" s="630"/>
      <c r="E4363" s="630"/>
      <c r="F4363" s="630"/>
      <c r="G4363" s="630"/>
    </row>
    <row r="4364" spans="1:7" ht="18.75" x14ac:dyDescent="0.25">
      <c r="A4364" s="629" t="s">
        <v>3063</v>
      </c>
      <c r="B4364" s="630">
        <v>260</v>
      </c>
      <c r="C4364" s="631" t="str">
        <f t="shared" si="73"/>
        <v>Ô tô vận tải thùng 12 tấn260</v>
      </c>
      <c r="D4364" s="630"/>
      <c r="E4364" s="630"/>
      <c r="F4364" s="630"/>
      <c r="G4364" s="630"/>
    </row>
    <row r="4365" spans="1:7" ht="18.75" x14ac:dyDescent="0.25">
      <c r="A4365" s="629" t="s">
        <v>3063</v>
      </c>
      <c r="B4365" s="630">
        <v>261</v>
      </c>
      <c r="C4365" s="631" t="str">
        <f t="shared" si="73"/>
        <v>Ô tô vận tải thùng 12 tấn261</v>
      </c>
      <c r="D4365" s="630"/>
      <c r="E4365" s="630"/>
      <c r="F4365" s="630"/>
      <c r="G4365" s="630"/>
    </row>
    <row r="4366" spans="1:7" ht="18.75" x14ac:dyDescent="0.25">
      <c r="A4366" s="629" t="s">
        <v>3063</v>
      </c>
      <c r="B4366" s="630">
        <v>262</v>
      </c>
      <c r="C4366" s="631" t="str">
        <f t="shared" si="73"/>
        <v>Ô tô vận tải thùng 12 tấn262</v>
      </c>
      <c r="D4366" s="630"/>
      <c r="E4366" s="630"/>
      <c r="F4366" s="630"/>
      <c r="G4366" s="630"/>
    </row>
    <row r="4367" spans="1:7" ht="18.75" x14ac:dyDescent="0.25">
      <c r="A4367" s="629" t="s">
        <v>3063</v>
      </c>
      <c r="B4367" s="630">
        <v>263</v>
      </c>
      <c r="C4367" s="631" t="str">
        <f t="shared" si="73"/>
        <v>Ô tô vận tải thùng 12 tấn263</v>
      </c>
      <c r="D4367" s="630"/>
      <c r="E4367" s="630"/>
      <c r="F4367" s="630"/>
      <c r="G4367" s="630"/>
    </row>
    <row r="4368" spans="1:7" ht="18.75" x14ac:dyDescent="0.25">
      <c r="A4368" s="629" t="s">
        <v>3063</v>
      </c>
      <c r="B4368" s="630">
        <v>264</v>
      </c>
      <c r="C4368" s="631" t="str">
        <f t="shared" si="73"/>
        <v>Ô tô vận tải thùng 12 tấn264</v>
      </c>
      <c r="D4368" s="630"/>
      <c r="E4368" s="630"/>
      <c r="F4368" s="630"/>
      <c r="G4368" s="630"/>
    </row>
    <row r="4369" spans="1:7" ht="18.75" x14ac:dyDescent="0.25">
      <c r="A4369" s="629" t="s">
        <v>3063</v>
      </c>
      <c r="B4369" s="630">
        <v>265</v>
      </c>
      <c r="C4369" s="631" t="str">
        <f t="shared" si="73"/>
        <v>Ô tô vận tải thùng 12 tấn265</v>
      </c>
      <c r="D4369" s="630"/>
      <c r="E4369" s="630"/>
      <c r="F4369" s="630"/>
      <c r="G4369" s="630"/>
    </row>
    <row r="4370" spans="1:7" ht="18.75" x14ac:dyDescent="0.25">
      <c r="A4370" s="629" t="s">
        <v>3063</v>
      </c>
      <c r="B4370" s="630">
        <v>266</v>
      </c>
      <c r="C4370" s="631" t="str">
        <f t="shared" si="73"/>
        <v>Ô tô vận tải thùng 12 tấn266</v>
      </c>
      <c r="D4370" s="630"/>
      <c r="E4370" s="630"/>
      <c r="F4370" s="630"/>
      <c r="G4370" s="630"/>
    </row>
    <row r="4371" spans="1:7" ht="18.75" x14ac:dyDescent="0.25">
      <c r="A4371" s="629" t="s">
        <v>3063</v>
      </c>
      <c r="B4371" s="630">
        <v>267</v>
      </c>
      <c r="C4371" s="631" t="str">
        <f t="shared" si="73"/>
        <v>Ô tô vận tải thùng 12 tấn267</v>
      </c>
      <c r="D4371" s="630"/>
      <c r="E4371" s="630"/>
      <c r="F4371" s="630"/>
      <c r="G4371" s="630"/>
    </row>
    <row r="4372" spans="1:7" ht="18.75" x14ac:dyDescent="0.25">
      <c r="A4372" s="629" t="s">
        <v>3063</v>
      </c>
      <c r="B4372" s="630">
        <v>268</v>
      </c>
      <c r="C4372" s="631" t="str">
        <f t="shared" si="73"/>
        <v>Ô tô vận tải thùng 12 tấn268</v>
      </c>
      <c r="D4372" s="630"/>
      <c r="E4372" s="630"/>
      <c r="F4372" s="630"/>
      <c r="G4372" s="630"/>
    </row>
    <row r="4373" spans="1:7" ht="18.75" x14ac:dyDescent="0.25">
      <c r="A4373" s="629" t="s">
        <v>3063</v>
      </c>
      <c r="B4373" s="630">
        <v>269</v>
      </c>
      <c r="C4373" s="631" t="str">
        <f t="shared" si="73"/>
        <v>Ô tô vận tải thùng 12 tấn269</v>
      </c>
      <c r="D4373" s="630"/>
      <c r="E4373" s="630"/>
      <c r="F4373" s="630"/>
      <c r="G4373" s="630"/>
    </row>
    <row r="4374" spans="1:7" ht="18.75" x14ac:dyDescent="0.25">
      <c r="A4374" s="629" t="s">
        <v>3063</v>
      </c>
      <c r="B4374" s="630">
        <v>270</v>
      </c>
      <c r="C4374" s="631" t="str">
        <f t="shared" si="73"/>
        <v>Ô tô vận tải thùng 12 tấn270</v>
      </c>
      <c r="D4374" s="630"/>
      <c r="E4374" s="630"/>
      <c r="F4374" s="630"/>
      <c r="G4374" s="630"/>
    </row>
    <row r="4375" spans="1:7" ht="18.75" x14ac:dyDescent="0.25">
      <c r="A4375" s="629" t="s">
        <v>3063</v>
      </c>
      <c r="B4375" s="630">
        <v>271</v>
      </c>
      <c r="C4375" s="631" t="str">
        <f t="shared" si="73"/>
        <v>Ô tô vận tải thùng 12 tấn271</v>
      </c>
      <c r="D4375" s="630"/>
      <c r="E4375" s="630"/>
      <c r="F4375" s="630"/>
      <c r="G4375" s="630"/>
    </row>
    <row r="4376" spans="1:7" ht="18.75" x14ac:dyDescent="0.25">
      <c r="A4376" s="629" t="s">
        <v>3063</v>
      </c>
      <c r="B4376" s="630">
        <v>272</v>
      </c>
      <c r="C4376" s="631" t="str">
        <f t="shared" si="73"/>
        <v>Ô tô vận tải thùng 12 tấn272</v>
      </c>
      <c r="D4376" s="630"/>
      <c r="E4376" s="630"/>
      <c r="F4376" s="630"/>
      <c r="G4376" s="630"/>
    </row>
    <row r="4377" spans="1:7" ht="18.75" x14ac:dyDescent="0.25">
      <c r="A4377" s="629" t="s">
        <v>3063</v>
      </c>
      <c r="B4377" s="630">
        <v>273</v>
      </c>
      <c r="C4377" s="631" t="str">
        <f t="shared" si="73"/>
        <v>Ô tô vận tải thùng 12 tấn273</v>
      </c>
      <c r="D4377" s="630"/>
      <c r="E4377" s="630"/>
      <c r="F4377" s="630"/>
      <c r="G4377" s="630"/>
    </row>
    <row r="4378" spans="1:7" ht="18.75" x14ac:dyDescent="0.25">
      <c r="A4378" s="629" t="s">
        <v>3063</v>
      </c>
      <c r="B4378" s="630">
        <v>274</v>
      </c>
      <c r="C4378" s="631" t="str">
        <f t="shared" si="73"/>
        <v>Ô tô vận tải thùng 12 tấn274</v>
      </c>
      <c r="D4378" s="630"/>
      <c r="E4378" s="630"/>
      <c r="F4378" s="630"/>
      <c r="G4378" s="630"/>
    </row>
    <row r="4379" spans="1:7" ht="18.75" x14ac:dyDescent="0.25">
      <c r="A4379" s="629" t="s">
        <v>3063</v>
      </c>
      <c r="B4379" s="630">
        <v>275</v>
      </c>
      <c r="C4379" s="631" t="str">
        <f t="shared" si="73"/>
        <v>Ô tô vận tải thùng 12 tấn275</v>
      </c>
      <c r="D4379" s="630"/>
      <c r="E4379" s="630"/>
      <c r="F4379" s="630"/>
      <c r="G4379" s="630"/>
    </row>
    <row r="4380" spans="1:7" ht="18.75" x14ac:dyDescent="0.25">
      <c r="A4380" s="629" t="s">
        <v>3063</v>
      </c>
      <c r="B4380" s="630">
        <v>276</v>
      </c>
      <c r="C4380" s="631" t="str">
        <f t="shared" si="73"/>
        <v>Ô tô vận tải thùng 12 tấn276</v>
      </c>
      <c r="D4380" s="630"/>
      <c r="E4380" s="630"/>
      <c r="F4380" s="630"/>
      <c r="G4380" s="630"/>
    </row>
    <row r="4381" spans="1:7" ht="18.75" x14ac:dyDescent="0.25">
      <c r="A4381" s="629" t="s">
        <v>3063</v>
      </c>
      <c r="B4381" s="630">
        <v>277</v>
      </c>
      <c r="C4381" s="631" t="str">
        <f t="shared" si="73"/>
        <v>Ô tô vận tải thùng 12 tấn277</v>
      </c>
      <c r="D4381" s="630"/>
      <c r="E4381" s="630"/>
      <c r="F4381" s="630"/>
      <c r="G4381" s="630"/>
    </row>
    <row r="4382" spans="1:7" ht="18.75" x14ac:dyDescent="0.25">
      <c r="A4382" s="629" t="s">
        <v>3063</v>
      </c>
      <c r="B4382" s="630">
        <v>278</v>
      </c>
      <c r="C4382" s="631" t="str">
        <f t="shared" si="73"/>
        <v>Ô tô vận tải thùng 12 tấn278</v>
      </c>
      <c r="D4382" s="630"/>
      <c r="E4382" s="630"/>
      <c r="F4382" s="630"/>
      <c r="G4382" s="630"/>
    </row>
    <row r="4383" spans="1:7" ht="18.75" x14ac:dyDescent="0.25">
      <c r="A4383" s="629" t="s">
        <v>3063</v>
      </c>
      <c r="B4383" s="630">
        <v>279</v>
      </c>
      <c r="C4383" s="631" t="str">
        <f t="shared" si="73"/>
        <v>Ô tô vận tải thùng 12 tấn279</v>
      </c>
      <c r="D4383" s="630"/>
      <c r="E4383" s="630"/>
      <c r="F4383" s="630"/>
      <c r="G4383" s="630"/>
    </row>
    <row r="4384" spans="1:7" ht="18.75" x14ac:dyDescent="0.25">
      <c r="A4384" s="629" t="s">
        <v>3063</v>
      </c>
      <c r="B4384" s="630">
        <v>280</v>
      </c>
      <c r="C4384" s="631" t="str">
        <f t="shared" si="73"/>
        <v>Ô tô vận tải thùng 12 tấn280</v>
      </c>
      <c r="D4384" s="630"/>
      <c r="E4384" s="630"/>
      <c r="F4384" s="630"/>
      <c r="G4384" s="630"/>
    </row>
    <row r="4385" spans="1:7" ht="18.75" x14ac:dyDescent="0.25">
      <c r="A4385" s="629" t="s">
        <v>3063</v>
      </c>
      <c r="B4385" s="630">
        <v>281</v>
      </c>
      <c r="C4385" s="631" t="str">
        <f t="shared" si="73"/>
        <v>Ô tô vận tải thùng 12 tấn281</v>
      </c>
      <c r="D4385" s="630"/>
      <c r="E4385" s="630"/>
      <c r="F4385" s="630"/>
      <c r="G4385" s="630"/>
    </row>
    <row r="4386" spans="1:7" ht="18.75" x14ac:dyDescent="0.25">
      <c r="A4386" s="629" t="s">
        <v>3063</v>
      </c>
      <c r="B4386" s="630">
        <v>282</v>
      </c>
      <c r="C4386" s="631" t="str">
        <f t="shared" si="73"/>
        <v>Ô tô vận tải thùng 12 tấn282</v>
      </c>
      <c r="D4386" s="630"/>
      <c r="E4386" s="630"/>
      <c r="F4386" s="630"/>
      <c r="G4386" s="630"/>
    </row>
    <row r="4387" spans="1:7" ht="18.75" x14ac:dyDescent="0.25">
      <c r="A4387" s="629" t="s">
        <v>3063</v>
      </c>
      <c r="B4387" s="630">
        <v>283</v>
      </c>
      <c r="C4387" s="631" t="str">
        <f t="shared" si="73"/>
        <v>Ô tô vận tải thùng 12 tấn283</v>
      </c>
      <c r="D4387" s="630"/>
      <c r="E4387" s="630"/>
      <c r="F4387" s="630"/>
      <c r="G4387" s="630"/>
    </row>
    <row r="4388" spans="1:7" ht="18.75" x14ac:dyDescent="0.25">
      <c r="A4388" s="629" t="s">
        <v>3063</v>
      </c>
      <c r="B4388" s="630">
        <v>284</v>
      </c>
      <c r="C4388" s="631" t="str">
        <f t="shared" si="73"/>
        <v>Ô tô vận tải thùng 12 tấn284</v>
      </c>
      <c r="D4388" s="630"/>
      <c r="E4388" s="630"/>
      <c r="F4388" s="630"/>
      <c r="G4388" s="630"/>
    </row>
    <row r="4389" spans="1:7" ht="18.75" x14ac:dyDescent="0.25">
      <c r="A4389" s="629" t="s">
        <v>3063</v>
      </c>
      <c r="B4389" s="630">
        <v>285</v>
      </c>
      <c r="C4389" s="631" t="str">
        <f t="shared" si="73"/>
        <v>Ô tô vận tải thùng 12 tấn285</v>
      </c>
      <c r="D4389" s="630"/>
      <c r="E4389" s="630"/>
      <c r="F4389" s="630"/>
      <c r="G4389" s="630"/>
    </row>
    <row r="4390" spans="1:7" ht="18.75" x14ac:dyDescent="0.25">
      <c r="A4390" s="629" t="s">
        <v>3063</v>
      </c>
      <c r="B4390" s="630">
        <v>286</v>
      </c>
      <c r="C4390" s="631" t="str">
        <f t="shared" si="73"/>
        <v>Ô tô vận tải thùng 12 tấn286</v>
      </c>
      <c r="D4390" s="630"/>
      <c r="E4390" s="630"/>
      <c r="F4390" s="630"/>
      <c r="G4390" s="630"/>
    </row>
    <row r="4391" spans="1:7" ht="18.75" x14ac:dyDescent="0.25">
      <c r="A4391" s="629" t="s">
        <v>3063</v>
      </c>
      <c r="B4391" s="630">
        <v>287</v>
      </c>
      <c r="C4391" s="631" t="str">
        <f t="shared" si="73"/>
        <v>Ô tô vận tải thùng 12 tấn287</v>
      </c>
      <c r="D4391" s="630"/>
      <c r="E4391" s="630"/>
      <c r="F4391" s="630"/>
      <c r="G4391" s="630"/>
    </row>
    <row r="4392" spans="1:7" ht="18.75" x14ac:dyDescent="0.25">
      <c r="A4392" s="629" t="s">
        <v>3063</v>
      </c>
      <c r="B4392" s="630">
        <v>288</v>
      </c>
      <c r="C4392" s="631" t="str">
        <f t="shared" si="73"/>
        <v>Ô tô vận tải thùng 12 tấn288</v>
      </c>
      <c r="D4392" s="630"/>
      <c r="E4392" s="630"/>
      <c r="F4392" s="630"/>
      <c r="G4392" s="630"/>
    </row>
    <row r="4393" spans="1:7" ht="18.75" x14ac:dyDescent="0.25">
      <c r="A4393" s="629" t="s">
        <v>3063</v>
      </c>
      <c r="B4393" s="630">
        <v>289</v>
      </c>
      <c r="C4393" s="631" t="str">
        <f t="shared" si="73"/>
        <v>Ô tô vận tải thùng 12 tấn289</v>
      </c>
      <c r="D4393" s="630"/>
      <c r="E4393" s="630"/>
      <c r="F4393" s="630"/>
      <c r="G4393" s="630"/>
    </row>
    <row r="4394" spans="1:7" ht="18.75" x14ac:dyDescent="0.25">
      <c r="A4394" s="629" t="s">
        <v>3063</v>
      </c>
      <c r="B4394" s="630">
        <v>290</v>
      </c>
      <c r="C4394" s="631" t="str">
        <f t="shared" si="73"/>
        <v>Ô tô vận tải thùng 12 tấn290</v>
      </c>
      <c r="D4394" s="630"/>
      <c r="E4394" s="630"/>
      <c r="F4394" s="630"/>
      <c r="G4394" s="630"/>
    </row>
    <row r="4395" spans="1:7" ht="18.75" x14ac:dyDescent="0.25">
      <c r="A4395" s="629" t="s">
        <v>3063</v>
      </c>
      <c r="B4395" s="630">
        <v>291</v>
      </c>
      <c r="C4395" s="631" t="str">
        <f t="shared" si="73"/>
        <v>Ô tô vận tải thùng 12 tấn291</v>
      </c>
      <c r="D4395" s="630"/>
      <c r="E4395" s="630"/>
      <c r="F4395" s="630"/>
      <c r="G4395" s="630"/>
    </row>
    <row r="4396" spans="1:7" ht="18.75" x14ac:dyDescent="0.25">
      <c r="A4396" s="629" t="s">
        <v>3063</v>
      </c>
      <c r="B4396" s="630">
        <v>292</v>
      </c>
      <c r="C4396" s="631" t="str">
        <f t="shared" si="73"/>
        <v>Ô tô vận tải thùng 12 tấn292</v>
      </c>
      <c r="D4396" s="630"/>
      <c r="E4396" s="630"/>
      <c r="F4396" s="630"/>
      <c r="G4396" s="630"/>
    </row>
    <row r="4397" spans="1:7" ht="18.75" x14ac:dyDescent="0.25">
      <c r="A4397" s="629" t="s">
        <v>3063</v>
      </c>
      <c r="B4397" s="630">
        <v>293</v>
      </c>
      <c r="C4397" s="631" t="str">
        <f t="shared" si="73"/>
        <v>Ô tô vận tải thùng 12 tấn293</v>
      </c>
      <c r="D4397" s="630"/>
      <c r="E4397" s="630"/>
      <c r="F4397" s="630"/>
      <c r="G4397" s="630"/>
    </row>
    <row r="4398" spans="1:7" ht="18.75" x14ac:dyDescent="0.25">
      <c r="A4398" s="629" t="s">
        <v>3063</v>
      </c>
      <c r="B4398" s="630">
        <v>294</v>
      </c>
      <c r="C4398" s="631" t="str">
        <f t="shared" si="73"/>
        <v>Ô tô vận tải thùng 12 tấn294</v>
      </c>
      <c r="D4398" s="630"/>
      <c r="E4398" s="630"/>
      <c r="F4398" s="630"/>
      <c r="G4398" s="630"/>
    </row>
    <row r="4399" spans="1:7" ht="18.75" x14ac:dyDescent="0.25">
      <c r="A4399" s="629" t="s">
        <v>3063</v>
      </c>
      <c r="B4399" s="630">
        <v>295</v>
      </c>
      <c r="C4399" s="631" t="str">
        <f t="shared" si="73"/>
        <v>Ô tô vận tải thùng 12 tấn295</v>
      </c>
      <c r="D4399" s="630"/>
      <c r="E4399" s="630"/>
      <c r="F4399" s="630"/>
      <c r="G4399" s="630"/>
    </row>
    <row r="4400" spans="1:7" ht="18.75" x14ac:dyDescent="0.25">
      <c r="A4400" s="629" t="s">
        <v>3063</v>
      </c>
      <c r="B4400" s="630">
        <v>296</v>
      </c>
      <c r="C4400" s="631" t="str">
        <f t="shared" si="73"/>
        <v>Ô tô vận tải thùng 12 tấn296</v>
      </c>
      <c r="D4400" s="630"/>
      <c r="E4400" s="630"/>
      <c r="F4400" s="630"/>
      <c r="G4400" s="630"/>
    </row>
    <row r="4401" spans="1:7" ht="18.75" x14ac:dyDescent="0.25">
      <c r="A4401" s="629" t="s">
        <v>3063</v>
      </c>
      <c r="B4401" s="630">
        <v>297</v>
      </c>
      <c r="C4401" s="631" t="str">
        <f t="shared" si="73"/>
        <v>Ô tô vận tải thùng 12 tấn297</v>
      </c>
      <c r="D4401" s="630"/>
      <c r="E4401" s="630"/>
      <c r="F4401" s="630"/>
      <c r="G4401" s="630"/>
    </row>
    <row r="4402" spans="1:7" ht="18.75" x14ac:dyDescent="0.25">
      <c r="A4402" s="629" t="s">
        <v>3063</v>
      </c>
      <c r="B4402" s="630">
        <v>298</v>
      </c>
      <c r="C4402" s="631" t="str">
        <f t="shared" si="73"/>
        <v>Ô tô vận tải thùng 12 tấn298</v>
      </c>
      <c r="D4402" s="630"/>
      <c r="E4402" s="630"/>
      <c r="F4402" s="630"/>
      <c r="G4402" s="630"/>
    </row>
    <row r="4403" spans="1:7" ht="18.75" x14ac:dyDescent="0.25">
      <c r="A4403" s="629" t="s">
        <v>3063</v>
      </c>
      <c r="B4403" s="630">
        <v>299</v>
      </c>
      <c r="C4403" s="631" t="str">
        <f t="shared" si="73"/>
        <v>Ô tô vận tải thùng 12 tấn299</v>
      </c>
      <c r="D4403" s="630"/>
      <c r="E4403" s="630"/>
      <c r="F4403" s="630"/>
      <c r="G4403" s="630"/>
    </row>
    <row r="4404" spans="1:7" ht="18.75" x14ac:dyDescent="0.25">
      <c r="A4404" s="629" t="s">
        <v>3063</v>
      </c>
      <c r="B4404" s="630">
        <v>300</v>
      </c>
      <c r="C4404" s="631" t="str">
        <f t="shared" si="73"/>
        <v>Ô tô vận tải thùng 12 tấn300</v>
      </c>
      <c r="D4404" s="630"/>
      <c r="E4404" s="630"/>
      <c r="F4404" s="630"/>
      <c r="G4404" s="630"/>
    </row>
    <row r="4405" spans="1:7" ht="18.75" x14ac:dyDescent="0.25">
      <c r="A4405" s="629" t="s">
        <v>3063</v>
      </c>
      <c r="B4405" s="630">
        <v>301</v>
      </c>
      <c r="C4405" s="631" t="str">
        <f t="shared" si="73"/>
        <v>Ô tô vận tải thùng 12 tấn301</v>
      </c>
      <c r="D4405" s="630"/>
      <c r="E4405" s="630"/>
      <c r="F4405" s="630"/>
      <c r="G4405" s="630"/>
    </row>
    <row r="4406" spans="1:7" ht="18.75" x14ac:dyDescent="0.25">
      <c r="A4406" s="629" t="s">
        <v>3063</v>
      </c>
      <c r="B4406" s="630">
        <v>302</v>
      </c>
      <c r="C4406" s="631" t="str">
        <f t="shared" si="73"/>
        <v>Ô tô vận tải thùng 12 tấn302</v>
      </c>
      <c r="D4406" s="630"/>
      <c r="E4406" s="630"/>
      <c r="F4406" s="630"/>
      <c r="G4406" s="630"/>
    </row>
    <row r="4407" spans="1:7" ht="18.75" x14ac:dyDescent="0.25">
      <c r="A4407" s="629" t="s">
        <v>3063</v>
      </c>
      <c r="B4407" s="630">
        <v>303</v>
      </c>
      <c r="C4407" s="631" t="str">
        <f t="shared" si="73"/>
        <v>Ô tô vận tải thùng 12 tấn303</v>
      </c>
      <c r="D4407" s="630"/>
      <c r="E4407" s="630"/>
      <c r="F4407" s="630"/>
      <c r="G4407" s="630"/>
    </row>
    <row r="4408" spans="1:7" ht="18.75" x14ac:dyDescent="0.25">
      <c r="A4408" s="629" t="s">
        <v>3063</v>
      </c>
      <c r="B4408" s="630">
        <v>304</v>
      </c>
      <c r="C4408" s="631" t="str">
        <f t="shared" si="73"/>
        <v>Ô tô vận tải thùng 12 tấn304</v>
      </c>
      <c r="D4408" s="630"/>
      <c r="E4408" s="630"/>
      <c r="F4408" s="630"/>
      <c r="G4408" s="630"/>
    </row>
    <row r="4409" spans="1:7" ht="18.75" x14ac:dyDescent="0.25">
      <c r="A4409" s="629" t="s">
        <v>3063</v>
      </c>
      <c r="B4409" s="630">
        <v>305</v>
      </c>
      <c r="C4409" s="631" t="str">
        <f t="shared" si="73"/>
        <v>Ô tô vận tải thùng 12 tấn305</v>
      </c>
      <c r="D4409" s="630"/>
      <c r="E4409" s="630"/>
      <c r="F4409" s="630"/>
      <c r="G4409" s="630"/>
    </row>
    <row r="4410" spans="1:7" ht="18.75" x14ac:dyDescent="0.25">
      <c r="A4410" s="629" t="s">
        <v>3063</v>
      </c>
      <c r="B4410" s="630">
        <v>306</v>
      </c>
      <c r="C4410" s="631" t="str">
        <f t="shared" si="73"/>
        <v>Ô tô vận tải thùng 12 tấn306</v>
      </c>
      <c r="D4410" s="630"/>
      <c r="E4410" s="630"/>
      <c r="F4410" s="630"/>
      <c r="G4410" s="630"/>
    </row>
    <row r="4411" spans="1:7" ht="18.75" x14ac:dyDescent="0.25">
      <c r="A4411" s="629" t="s">
        <v>3063</v>
      </c>
      <c r="B4411" s="630">
        <v>307</v>
      </c>
      <c r="C4411" s="631" t="str">
        <f t="shared" si="73"/>
        <v>Ô tô vận tải thùng 12 tấn307</v>
      </c>
      <c r="D4411" s="630"/>
      <c r="E4411" s="630"/>
      <c r="F4411" s="630"/>
      <c r="G4411" s="630"/>
    </row>
    <row r="4412" spans="1:7" ht="18.75" x14ac:dyDescent="0.25">
      <c r="A4412" s="629" t="s">
        <v>3063</v>
      </c>
      <c r="B4412" s="630">
        <v>308</v>
      </c>
      <c r="C4412" s="631" t="str">
        <f t="shared" si="73"/>
        <v>Ô tô vận tải thùng 12 tấn308</v>
      </c>
      <c r="D4412" s="630"/>
      <c r="E4412" s="630"/>
      <c r="F4412" s="630"/>
      <c r="G4412" s="630"/>
    </row>
    <row r="4413" spans="1:7" ht="18.75" x14ac:dyDescent="0.25">
      <c r="A4413" s="629" t="s">
        <v>3063</v>
      </c>
      <c r="B4413" s="630">
        <v>309</v>
      </c>
      <c r="C4413" s="631" t="str">
        <f t="shared" si="73"/>
        <v>Ô tô vận tải thùng 12 tấn309</v>
      </c>
      <c r="D4413" s="630"/>
      <c r="E4413" s="630"/>
      <c r="F4413" s="630"/>
      <c r="G4413" s="630"/>
    </row>
    <row r="4414" spans="1:7" ht="18.75" x14ac:dyDescent="0.25">
      <c r="A4414" s="629" t="s">
        <v>3063</v>
      </c>
      <c r="B4414" s="630">
        <v>310</v>
      </c>
      <c r="C4414" s="631" t="str">
        <f t="shared" si="73"/>
        <v>Ô tô vận tải thùng 12 tấn310</v>
      </c>
      <c r="D4414" s="630"/>
      <c r="E4414" s="630"/>
      <c r="F4414" s="630"/>
      <c r="G4414" s="630"/>
    </row>
    <row r="4415" spans="1:7" ht="18.75" x14ac:dyDescent="0.25">
      <c r="A4415" s="629" t="s">
        <v>3063</v>
      </c>
      <c r="B4415" s="630">
        <v>311</v>
      </c>
      <c r="C4415" s="631" t="str">
        <f t="shared" si="73"/>
        <v>Ô tô vận tải thùng 12 tấn311</v>
      </c>
      <c r="D4415" s="630"/>
      <c r="E4415" s="630"/>
      <c r="F4415" s="630"/>
      <c r="G4415" s="630"/>
    </row>
    <row r="4416" spans="1:7" ht="18.75" x14ac:dyDescent="0.25">
      <c r="A4416" s="629" t="s">
        <v>3063</v>
      </c>
      <c r="B4416" s="630">
        <v>312</v>
      </c>
      <c r="C4416" s="631" t="str">
        <f t="shared" si="73"/>
        <v>Ô tô vận tải thùng 12 tấn312</v>
      </c>
      <c r="D4416" s="630"/>
      <c r="E4416" s="630"/>
      <c r="F4416" s="630"/>
      <c r="G4416" s="630"/>
    </row>
    <row r="4417" spans="1:7" ht="18.75" x14ac:dyDescent="0.25">
      <c r="A4417" s="629" t="s">
        <v>3063</v>
      </c>
      <c r="B4417" s="630">
        <v>313</v>
      </c>
      <c r="C4417" s="631" t="str">
        <f t="shared" si="73"/>
        <v>Ô tô vận tải thùng 12 tấn313</v>
      </c>
      <c r="D4417" s="630"/>
      <c r="E4417" s="630"/>
      <c r="F4417" s="630"/>
      <c r="G4417" s="630"/>
    </row>
    <row r="4418" spans="1:7" ht="18.75" x14ac:dyDescent="0.25">
      <c r="A4418" s="629" t="s">
        <v>3063</v>
      </c>
      <c r="B4418" s="630">
        <v>314</v>
      </c>
      <c r="C4418" s="631" t="str">
        <f t="shared" si="73"/>
        <v>Ô tô vận tải thùng 12 tấn314</v>
      </c>
      <c r="D4418" s="630"/>
      <c r="E4418" s="630"/>
      <c r="F4418" s="630"/>
      <c r="G4418" s="630"/>
    </row>
    <row r="4419" spans="1:7" ht="18.75" x14ac:dyDescent="0.25">
      <c r="A4419" s="629" t="s">
        <v>3063</v>
      </c>
      <c r="B4419" s="630">
        <v>315</v>
      </c>
      <c r="C4419" s="631" t="str">
        <f t="shared" si="73"/>
        <v>Ô tô vận tải thùng 12 tấn315</v>
      </c>
      <c r="D4419" s="630"/>
      <c r="E4419" s="630"/>
      <c r="F4419" s="630"/>
      <c r="G4419" s="630"/>
    </row>
    <row r="4420" spans="1:7" ht="18.75" x14ac:dyDescent="0.25">
      <c r="A4420" s="629" t="s">
        <v>3063</v>
      </c>
      <c r="B4420" s="630">
        <v>316</v>
      </c>
      <c r="C4420" s="631" t="str">
        <f t="shared" si="73"/>
        <v>Ô tô vận tải thùng 12 tấn316</v>
      </c>
      <c r="D4420" s="630"/>
      <c r="E4420" s="630"/>
      <c r="F4420" s="630"/>
      <c r="G4420" s="630"/>
    </row>
    <row r="4421" spans="1:7" ht="18.75" x14ac:dyDescent="0.25">
      <c r="A4421" s="629" t="s">
        <v>3063</v>
      </c>
      <c r="B4421" s="630">
        <v>317</v>
      </c>
      <c r="C4421" s="631" t="str">
        <f t="shared" si="73"/>
        <v>Ô tô vận tải thùng 12 tấn317</v>
      </c>
      <c r="D4421" s="630"/>
      <c r="E4421" s="630"/>
      <c r="F4421" s="630"/>
      <c r="G4421" s="630"/>
    </row>
    <row r="4422" spans="1:7" ht="18.75" x14ac:dyDescent="0.25">
      <c r="A4422" s="629" t="s">
        <v>3063</v>
      </c>
      <c r="B4422" s="630">
        <v>318</v>
      </c>
      <c r="C4422" s="631" t="str">
        <f t="shared" si="73"/>
        <v>Ô tô vận tải thùng 12 tấn318</v>
      </c>
      <c r="D4422" s="630"/>
      <c r="E4422" s="630"/>
      <c r="F4422" s="630"/>
      <c r="G4422" s="630"/>
    </row>
    <row r="4423" spans="1:7" ht="18.75" x14ac:dyDescent="0.25">
      <c r="A4423" s="629" t="s">
        <v>3063</v>
      </c>
      <c r="B4423" s="630">
        <v>319</v>
      </c>
      <c r="C4423" s="631" t="str">
        <f t="shared" si="73"/>
        <v>Ô tô vận tải thùng 12 tấn319</v>
      </c>
      <c r="D4423" s="630"/>
      <c r="E4423" s="630"/>
      <c r="F4423" s="630"/>
      <c r="G4423" s="630"/>
    </row>
    <row r="4424" spans="1:7" ht="18.75" x14ac:dyDescent="0.25">
      <c r="A4424" s="629" t="s">
        <v>3063</v>
      </c>
      <c r="B4424" s="630">
        <v>320</v>
      </c>
      <c r="C4424" s="631" t="str">
        <f t="shared" si="73"/>
        <v>Ô tô vận tải thùng 12 tấn320</v>
      </c>
      <c r="D4424" s="630"/>
      <c r="E4424" s="630"/>
      <c r="F4424" s="630"/>
      <c r="G4424" s="630"/>
    </row>
    <row r="4425" spans="1:7" ht="18.75" x14ac:dyDescent="0.25">
      <c r="A4425" s="629" t="s">
        <v>3063</v>
      </c>
      <c r="B4425" s="630">
        <v>321</v>
      </c>
      <c r="C4425" s="631" t="str">
        <f t="shared" si="73"/>
        <v>Ô tô vận tải thùng 12 tấn321</v>
      </c>
      <c r="D4425" s="630"/>
      <c r="E4425" s="630"/>
      <c r="F4425" s="630"/>
      <c r="G4425" s="630"/>
    </row>
    <row r="4426" spans="1:7" ht="18.75" x14ac:dyDescent="0.25">
      <c r="A4426" s="629" t="s">
        <v>3063</v>
      </c>
      <c r="B4426" s="630">
        <v>322</v>
      </c>
      <c r="C4426" s="631" t="str">
        <f t="shared" ref="C4426:C4489" si="74">A4426&amp;B4426</f>
        <v>Ô tô vận tải thùng 12 tấn322</v>
      </c>
      <c r="D4426" s="630"/>
      <c r="E4426" s="630"/>
      <c r="F4426" s="630"/>
      <c r="G4426" s="630"/>
    </row>
    <row r="4427" spans="1:7" ht="18.75" x14ac:dyDescent="0.25">
      <c r="A4427" s="629" t="s">
        <v>3063</v>
      </c>
      <c r="B4427" s="630">
        <v>323</v>
      </c>
      <c r="C4427" s="631" t="str">
        <f t="shared" si="74"/>
        <v>Ô tô vận tải thùng 12 tấn323</v>
      </c>
      <c r="D4427" s="630"/>
      <c r="E4427" s="630"/>
      <c r="F4427" s="630"/>
      <c r="G4427" s="630"/>
    </row>
    <row r="4428" spans="1:7" ht="18.75" x14ac:dyDescent="0.25">
      <c r="A4428" s="629" t="s">
        <v>3063</v>
      </c>
      <c r="B4428" s="630">
        <v>324</v>
      </c>
      <c r="C4428" s="631" t="str">
        <f t="shared" si="74"/>
        <v>Ô tô vận tải thùng 12 tấn324</v>
      </c>
      <c r="D4428" s="630"/>
      <c r="E4428" s="630"/>
      <c r="F4428" s="630"/>
      <c r="G4428" s="630"/>
    </row>
    <row r="4429" spans="1:7" ht="18.75" x14ac:dyDescent="0.25">
      <c r="A4429" s="629" t="s">
        <v>3063</v>
      </c>
      <c r="B4429" s="630">
        <v>325</v>
      </c>
      <c r="C4429" s="631" t="str">
        <f t="shared" si="74"/>
        <v>Ô tô vận tải thùng 12 tấn325</v>
      </c>
      <c r="D4429" s="630"/>
      <c r="E4429" s="630"/>
      <c r="F4429" s="630"/>
      <c r="G4429" s="630"/>
    </row>
    <row r="4430" spans="1:7" ht="18.75" x14ac:dyDescent="0.25">
      <c r="A4430" s="629" t="s">
        <v>3063</v>
      </c>
      <c r="B4430" s="630">
        <v>326</v>
      </c>
      <c r="C4430" s="631" t="str">
        <f t="shared" si="74"/>
        <v>Ô tô vận tải thùng 12 tấn326</v>
      </c>
      <c r="D4430" s="630"/>
      <c r="E4430" s="630"/>
      <c r="F4430" s="630"/>
      <c r="G4430" s="630"/>
    </row>
    <row r="4431" spans="1:7" ht="18.75" x14ac:dyDescent="0.25">
      <c r="A4431" s="629" t="s">
        <v>3063</v>
      </c>
      <c r="B4431" s="630">
        <v>327</v>
      </c>
      <c r="C4431" s="631" t="str">
        <f t="shared" si="74"/>
        <v>Ô tô vận tải thùng 12 tấn327</v>
      </c>
      <c r="D4431" s="630"/>
      <c r="E4431" s="630"/>
      <c r="F4431" s="630"/>
      <c r="G4431" s="630"/>
    </row>
    <row r="4432" spans="1:7" ht="18.75" x14ac:dyDescent="0.25">
      <c r="A4432" s="629" t="s">
        <v>3063</v>
      </c>
      <c r="B4432" s="630">
        <v>328</v>
      </c>
      <c r="C4432" s="631" t="str">
        <f t="shared" si="74"/>
        <v>Ô tô vận tải thùng 12 tấn328</v>
      </c>
      <c r="D4432" s="630"/>
      <c r="E4432" s="630"/>
      <c r="F4432" s="630"/>
      <c r="G4432" s="630"/>
    </row>
    <row r="4433" spans="1:7" ht="18.75" x14ac:dyDescent="0.25">
      <c r="A4433" s="629" t="s">
        <v>3063</v>
      </c>
      <c r="B4433" s="630">
        <v>329</v>
      </c>
      <c r="C4433" s="631" t="str">
        <f t="shared" si="74"/>
        <v>Ô tô vận tải thùng 12 tấn329</v>
      </c>
      <c r="D4433" s="630"/>
      <c r="E4433" s="630"/>
      <c r="F4433" s="630"/>
      <c r="G4433" s="630"/>
    </row>
    <row r="4434" spans="1:7" ht="18.75" x14ac:dyDescent="0.25">
      <c r="A4434" s="629" t="s">
        <v>3063</v>
      </c>
      <c r="B4434" s="630">
        <v>330</v>
      </c>
      <c r="C4434" s="631" t="str">
        <f t="shared" si="74"/>
        <v>Ô tô vận tải thùng 12 tấn330</v>
      </c>
      <c r="D4434" s="630"/>
      <c r="E4434" s="630"/>
      <c r="F4434" s="630"/>
      <c r="G4434" s="630"/>
    </row>
    <row r="4435" spans="1:7" ht="18.75" x14ac:dyDescent="0.25">
      <c r="A4435" s="629" t="s">
        <v>3063</v>
      </c>
      <c r="B4435" s="630">
        <v>331</v>
      </c>
      <c r="C4435" s="631" t="str">
        <f t="shared" si="74"/>
        <v>Ô tô vận tải thùng 12 tấn331</v>
      </c>
      <c r="D4435" s="630"/>
      <c r="E4435" s="630"/>
      <c r="F4435" s="630"/>
      <c r="G4435" s="630"/>
    </row>
    <row r="4436" spans="1:7" ht="18.75" x14ac:dyDescent="0.25">
      <c r="A4436" s="629" t="s">
        <v>3063</v>
      </c>
      <c r="B4436" s="630">
        <v>332</v>
      </c>
      <c r="C4436" s="631" t="str">
        <f t="shared" si="74"/>
        <v>Ô tô vận tải thùng 12 tấn332</v>
      </c>
      <c r="D4436" s="630"/>
      <c r="E4436" s="630"/>
      <c r="F4436" s="630"/>
      <c r="G4436" s="630"/>
    </row>
    <row r="4437" spans="1:7" ht="18.75" x14ac:dyDescent="0.25">
      <c r="A4437" s="629" t="s">
        <v>3063</v>
      </c>
      <c r="B4437" s="630">
        <v>333</v>
      </c>
      <c r="C4437" s="631" t="str">
        <f t="shared" si="74"/>
        <v>Ô tô vận tải thùng 12 tấn333</v>
      </c>
      <c r="D4437" s="630"/>
      <c r="E4437" s="630"/>
      <c r="F4437" s="630"/>
      <c r="G4437" s="630"/>
    </row>
    <row r="4438" spans="1:7" ht="18.75" x14ac:dyDescent="0.25">
      <c r="A4438" s="629" t="s">
        <v>3063</v>
      </c>
      <c r="B4438" s="630">
        <v>334</v>
      </c>
      <c r="C4438" s="631" t="str">
        <f t="shared" si="74"/>
        <v>Ô tô vận tải thùng 12 tấn334</v>
      </c>
      <c r="D4438" s="630"/>
      <c r="E4438" s="630"/>
      <c r="F4438" s="630"/>
      <c r="G4438" s="630"/>
    </row>
    <row r="4439" spans="1:7" ht="18.75" x14ac:dyDescent="0.25">
      <c r="A4439" s="629" t="s">
        <v>3063</v>
      </c>
      <c r="B4439" s="630">
        <v>335</v>
      </c>
      <c r="C4439" s="631" t="str">
        <f t="shared" si="74"/>
        <v>Ô tô vận tải thùng 12 tấn335</v>
      </c>
      <c r="D4439" s="630"/>
      <c r="E4439" s="630"/>
      <c r="F4439" s="630"/>
      <c r="G4439" s="630"/>
    </row>
    <row r="4440" spans="1:7" ht="18.75" x14ac:dyDescent="0.25">
      <c r="A4440" s="629" t="s">
        <v>3063</v>
      </c>
      <c r="B4440" s="630">
        <v>336</v>
      </c>
      <c r="C4440" s="631" t="str">
        <f t="shared" si="74"/>
        <v>Ô tô vận tải thùng 12 tấn336</v>
      </c>
      <c r="D4440" s="630"/>
      <c r="E4440" s="630"/>
      <c r="F4440" s="630"/>
      <c r="G4440" s="630"/>
    </row>
    <row r="4441" spans="1:7" ht="18.75" x14ac:dyDescent="0.25">
      <c r="A4441" s="629" t="s">
        <v>3063</v>
      </c>
      <c r="B4441" s="630">
        <v>337</v>
      </c>
      <c r="C4441" s="631" t="str">
        <f t="shared" si="74"/>
        <v>Ô tô vận tải thùng 12 tấn337</v>
      </c>
      <c r="D4441" s="630"/>
      <c r="E4441" s="630"/>
      <c r="F4441" s="630"/>
      <c r="G4441" s="630"/>
    </row>
    <row r="4442" spans="1:7" ht="18.75" x14ac:dyDescent="0.25">
      <c r="A4442" s="629" t="s">
        <v>3063</v>
      </c>
      <c r="B4442" s="630">
        <v>338</v>
      </c>
      <c r="C4442" s="631" t="str">
        <f t="shared" si="74"/>
        <v>Ô tô vận tải thùng 12 tấn338</v>
      </c>
      <c r="D4442" s="630"/>
      <c r="E4442" s="630"/>
      <c r="F4442" s="630"/>
      <c r="G4442" s="630"/>
    </row>
    <row r="4443" spans="1:7" ht="18.75" x14ac:dyDescent="0.25">
      <c r="A4443" s="629" t="s">
        <v>3063</v>
      </c>
      <c r="B4443" s="630">
        <v>339</v>
      </c>
      <c r="C4443" s="631" t="str">
        <f t="shared" si="74"/>
        <v>Ô tô vận tải thùng 12 tấn339</v>
      </c>
      <c r="D4443" s="630"/>
      <c r="E4443" s="630"/>
      <c r="F4443" s="630"/>
      <c r="G4443" s="630"/>
    </row>
    <row r="4444" spans="1:7" ht="18.75" x14ac:dyDescent="0.25">
      <c r="A4444" s="629" t="s">
        <v>3063</v>
      </c>
      <c r="B4444" s="630">
        <v>340</v>
      </c>
      <c r="C4444" s="631" t="str">
        <f t="shared" si="74"/>
        <v>Ô tô vận tải thùng 12 tấn340</v>
      </c>
      <c r="D4444" s="630"/>
      <c r="E4444" s="630"/>
      <c r="F4444" s="630"/>
      <c r="G4444" s="630"/>
    </row>
    <row r="4445" spans="1:7" ht="18.75" x14ac:dyDescent="0.25">
      <c r="A4445" s="629" t="s">
        <v>3063</v>
      </c>
      <c r="B4445" s="630">
        <v>341</v>
      </c>
      <c r="C4445" s="631" t="str">
        <f t="shared" si="74"/>
        <v>Ô tô vận tải thùng 12 tấn341</v>
      </c>
      <c r="D4445" s="630"/>
      <c r="E4445" s="630"/>
      <c r="F4445" s="630"/>
      <c r="G4445" s="630"/>
    </row>
    <row r="4446" spans="1:7" ht="18.75" x14ac:dyDescent="0.25">
      <c r="A4446" s="629" t="s">
        <v>3063</v>
      </c>
      <c r="B4446" s="630">
        <v>342</v>
      </c>
      <c r="C4446" s="631" t="str">
        <f t="shared" si="74"/>
        <v>Ô tô vận tải thùng 12 tấn342</v>
      </c>
      <c r="D4446" s="630"/>
      <c r="E4446" s="630"/>
      <c r="F4446" s="630"/>
      <c r="G4446" s="630"/>
    </row>
    <row r="4447" spans="1:7" ht="18.75" x14ac:dyDescent="0.25">
      <c r="A4447" s="629" t="s">
        <v>3063</v>
      </c>
      <c r="B4447" s="630">
        <v>343</v>
      </c>
      <c r="C4447" s="631" t="str">
        <f t="shared" si="74"/>
        <v>Ô tô vận tải thùng 12 tấn343</v>
      </c>
      <c r="D4447" s="630"/>
      <c r="E4447" s="630"/>
      <c r="F4447" s="630"/>
      <c r="G4447" s="630"/>
    </row>
    <row r="4448" spans="1:7" ht="18.75" x14ac:dyDescent="0.25">
      <c r="A4448" s="629" t="s">
        <v>3063</v>
      </c>
      <c r="B4448" s="630">
        <v>344</v>
      </c>
      <c r="C4448" s="631" t="str">
        <f t="shared" si="74"/>
        <v>Ô tô vận tải thùng 12 tấn344</v>
      </c>
      <c r="D4448" s="630"/>
      <c r="E4448" s="630"/>
      <c r="F4448" s="630"/>
      <c r="G4448" s="630"/>
    </row>
    <row r="4449" spans="1:7" ht="18.75" x14ac:dyDescent="0.25">
      <c r="A4449" s="629" t="s">
        <v>3063</v>
      </c>
      <c r="B4449" s="630">
        <v>345</v>
      </c>
      <c r="C4449" s="631" t="str">
        <f t="shared" si="74"/>
        <v>Ô tô vận tải thùng 12 tấn345</v>
      </c>
      <c r="D4449" s="630"/>
      <c r="E4449" s="630"/>
      <c r="F4449" s="630"/>
      <c r="G4449" s="630"/>
    </row>
    <row r="4450" spans="1:7" ht="18.75" x14ac:dyDescent="0.25">
      <c r="A4450" s="629" t="s">
        <v>3063</v>
      </c>
      <c r="B4450" s="630">
        <v>346</v>
      </c>
      <c r="C4450" s="631" t="str">
        <f t="shared" si="74"/>
        <v>Ô tô vận tải thùng 12 tấn346</v>
      </c>
      <c r="D4450" s="630"/>
      <c r="E4450" s="630"/>
      <c r="F4450" s="630"/>
      <c r="G4450" s="630"/>
    </row>
    <row r="4451" spans="1:7" ht="18.75" x14ac:dyDescent="0.25">
      <c r="A4451" s="629" t="s">
        <v>3063</v>
      </c>
      <c r="B4451" s="630">
        <v>347</v>
      </c>
      <c r="C4451" s="631" t="str">
        <f t="shared" si="74"/>
        <v>Ô tô vận tải thùng 12 tấn347</v>
      </c>
      <c r="D4451" s="630"/>
      <c r="E4451" s="630"/>
      <c r="F4451" s="630"/>
      <c r="G4451" s="630"/>
    </row>
    <row r="4452" spans="1:7" ht="18.75" x14ac:dyDescent="0.25">
      <c r="A4452" s="629" t="s">
        <v>3063</v>
      </c>
      <c r="B4452" s="630">
        <v>348</v>
      </c>
      <c r="C4452" s="631" t="str">
        <f t="shared" si="74"/>
        <v>Ô tô vận tải thùng 12 tấn348</v>
      </c>
      <c r="D4452" s="630"/>
      <c r="E4452" s="630"/>
      <c r="F4452" s="630"/>
      <c r="G4452" s="630"/>
    </row>
    <row r="4453" spans="1:7" ht="18.75" x14ac:dyDescent="0.25">
      <c r="A4453" s="629" t="s">
        <v>3063</v>
      </c>
      <c r="B4453" s="630">
        <v>349</v>
      </c>
      <c r="C4453" s="631" t="str">
        <f t="shared" si="74"/>
        <v>Ô tô vận tải thùng 12 tấn349</v>
      </c>
      <c r="D4453" s="630"/>
      <c r="E4453" s="630"/>
      <c r="F4453" s="630"/>
      <c r="G4453" s="630"/>
    </row>
    <row r="4454" spans="1:7" ht="18.75" x14ac:dyDescent="0.25">
      <c r="A4454" s="629" t="s">
        <v>3063</v>
      </c>
      <c r="B4454" s="630">
        <v>350</v>
      </c>
      <c r="C4454" s="631" t="str">
        <f t="shared" si="74"/>
        <v>Ô tô vận tải thùng 12 tấn350</v>
      </c>
      <c r="D4454" s="630"/>
      <c r="E4454" s="630"/>
      <c r="F4454" s="630"/>
      <c r="G4454" s="630"/>
    </row>
    <row r="4455" spans="1:7" ht="18.75" x14ac:dyDescent="0.25">
      <c r="A4455" s="629" t="s">
        <v>3063</v>
      </c>
      <c r="B4455" s="630">
        <v>351</v>
      </c>
      <c r="C4455" s="631" t="str">
        <f t="shared" si="74"/>
        <v>Ô tô vận tải thùng 12 tấn351</v>
      </c>
      <c r="D4455" s="630"/>
      <c r="E4455" s="630"/>
      <c r="F4455" s="630"/>
      <c r="G4455" s="630"/>
    </row>
    <row r="4456" spans="1:7" ht="18.75" x14ac:dyDescent="0.25">
      <c r="A4456" s="629" t="s">
        <v>3063</v>
      </c>
      <c r="B4456" s="630">
        <v>352</v>
      </c>
      <c r="C4456" s="631" t="str">
        <f t="shared" si="74"/>
        <v>Ô tô vận tải thùng 12 tấn352</v>
      </c>
      <c r="D4456" s="630"/>
      <c r="E4456" s="630"/>
      <c r="F4456" s="630"/>
      <c r="G4456" s="630"/>
    </row>
    <row r="4457" spans="1:7" ht="18.75" x14ac:dyDescent="0.25">
      <c r="A4457" s="629" t="s">
        <v>3063</v>
      </c>
      <c r="B4457" s="630">
        <v>353</v>
      </c>
      <c r="C4457" s="631" t="str">
        <f t="shared" si="74"/>
        <v>Ô tô vận tải thùng 12 tấn353</v>
      </c>
      <c r="D4457" s="630"/>
      <c r="E4457" s="630"/>
      <c r="F4457" s="630"/>
      <c r="G4457" s="630"/>
    </row>
    <row r="4458" spans="1:7" ht="18.75" x14ac:dyDescent="0.25">
      <c r="A4458" s="629" t="s">
        <v>3063</v>
      </c>
      <c r="B4458" s="630">
        <v>354</v>
      </c>
      <c r="C4458" s="631" t="str">
        <f t="shared" si="74"/>
        <v>Ô tô vận tải thùng 12 tấn354</v>
      </c>
      <c r="D4458" s="630"/>
      <c r="E4458" s="630"/>
      <c r="F4458" s="630"/>
      <c r="G4458" s="630"/>
    </row>
    <row r="4459" spans="1:7" ht="18.75" x14ac:dyDescent="0.25">
      <c r="A4459" s="629" t="s">
        <v>3063</v>
      </c>
      <c r="B4459" s="630">
        <v>355</v>
      </c>
      <c r="C4459" s="631" t="str">
        <f t="shared" si="74"/>
        <v>Ô tô vận tải thùng 12 tấn355</v>
      </c>
      <c r="D4459" s="630"/>
      <c r="E4459" s="630"/>
      <c r="F4459" s="630"/>
      <c r="G4459" s="630"/>
    </row>
    <row r="4460" spans="1:7" ht="18.75" x14ac:dyDescent="0.25">
      <c r="A4460" s="629" t="s">
        <v>3063</v>
      </c>
      <c r="B4460" s="630">
        <v>356</v>
      </c>
      <c r="C4460" s="631" t="str">
        <f t="shared" si="74"/>
        <v>Ô tô vận tải thùng 12 tấn356</v>
      </c>
      <c r="D4460" s="630"/>
      <c r="E4460" s="630"/>
      <c r="F4460" s="630"/>
      <c r="G4460" s="630"/>
    </row>
    <row r="4461" spans="1:7" ht="18.75" x14ac:dyDescent="0.25">
      <c r="A4461" s="629" t="s">
        <v>3063</v>
      </c>
      <c r="B4461" s="630">
        <v>357</v>
      </c>
      <c r="C4461" s="631" t="str">
        <f t="shared" si="74"/>
        <v>Ô tô vận tải thùng 12 tấn357</v>
      </c>
      <c r="D4461" s="630"/>
      <c r="E4461" s="630"/>
      <c r="F4461" s="630"/>
      <c r="G4461" s="630"/>
    </row>
    <row r="4462" spans="1:7" ht="18.75" x14ac:dyDescent="0.25">
      <c r="A4462" s="629" t="s">
        <v>3063</v>
      </c>
      <c r="B4462" s="630">
        <v>358</v>
      </c>
      <c r="C4462" s="631" t="str">
        <f t="shared" si="74"/>
        <v>Ô tô vận tải thùng 12 tấn358</v>
      </c>
      <c r="D4462" s="630"/>
      <c r="E4462" s="630"/>
      <c r="F4462" s="630"/>
      <c r="G4462" s="630"/>
    </row>
    <row r="4463" spans="1:7" ht="18.75" x14ac:dyDescent="0.25">
      <c r="A4463" s="629" t="s">
        <v>3063</v>
      </c>
      <c r="B4463" s="630">
        <v>359</v>
      </c>
      <c r="C4463" s="631" t="str">
        <f t="shared" si="74"/>
        <v>Ô tô vận tải thùng 12 tấn359</v>
      </c>
      <c r="D4463" s="630"/>
      <c r="E4463" s="630"/>
      <c r="F4463" s="630"/>
      <c r="G4463" s="630"/>
    </row>
    <row r="4464" spans="1:7" ht="18.75" x14ac:dyDescent="0.25">
      <c r="A4464" s="629" t="s">
        <v>3063</v>
      </c>
      <c r="B4464" s="630">
        <v>360</v>
      </c>
      <c r="C4464" s="631" t="str">
        <f t="shared" si="74"/>
        <v>Ô tô vận tải thùng 12 tấn360</v>
      </c>
      <c r="D4464" s="630"/>
      <c r="E4464" s="630"/>
      <c r="F4464" s="630"/>
      <c r="G4464" s="630"/>
    </row>
    <row r="4465" spans="1:7" ht="18.75" x14ac:dyDescent="0.25">
      <c r="A4465" s="629" t="s">
        <v>3063</v>
      </c>
      <c r="B4465" s="630">
        <v>361</v>
      </c>
      <c r="C4465" s="631" t="str">
        <f t="shared" si="74"/>
        <v>Ô tô vận tải thùng 12 tấn361</v>
      </c>
      <c r="D4465" s="630"/>
      <c r="E4465" s="630"/>
      <c r="F4465" s="630"/>
      <c r="G4465" s="630"/>
    </row>
    <row r="4466" spans="1:7" ht="18.75" x14ac:dyDescent="0.25">
      <c r="A4466" s="629" t="s">
        <v>3063</v>
      </c>
      <c r="B4466" s="630">
        <v>362</v>
      </c>
      <c r="C4466" s="631" t="str">
        <f t="shared" si="74"/>
        <v>Ô tô vận tải thùng 12 tấn362</v>
      </c>
      <c r="D4466" s="630"/>
      <c r="E4466" s="630"/>
      <c r="F4466" s="630"/>
      <c r="G4466" s="630"/>
    </row>
    <row r="4467" spans="1:7" ht="18.75" x14ac:dyDescent="0.25">
      <c r="A4467" s="629" t="s">
        <v>3063</v>
      </c>
      <c r="B4467" s="630">
        <v>363</v>
      </c>
      <c r="C4467" s="631" t="str">
        <f t="shared" si="74"/>
        <v>Ô tô vận tải thùng 12 tấn363</v>
      </c>
      <c r="D4467" s="630"/>
      <c r="E4467" s="630"/>
      <c r="F4467" s="630"/>
      <c r="G4467" s="630"/>
    </row>
    <row r="4468" spans="1:7" ht="18.75" x14ac:dyDescent="0.25">
      <c r="A4468" s="629" t="s">
        <v>3063</v>
      </c>
      <c r="B4468" s="630">
        <v>364</v>
      </c>
      <c r="C4468" s="631" t="str">
        <f t="shared" si="74"/>
        <v>Ô tô vận tải thùng 12 tấn364</v>
      </c>
      <c r="D4468" s="630"/>
      <c r="E4468" s="630"/>
      <c r="F4468" s="630"/>
      <c r="G4468" s="630"/>
    </row>
    <row r="4469" spans="1:7" ht="18.75" x14ac:dyDescent="0.25">
      <c r="A4469" s="629" t="s">
        <v>3063</v>
      </c>
      <c r="B4469" s="630">
        <v>365</v>
      </c>
      <c r="C4469" s="631" t="str">
        <f t="shared" si="74"/>
        <v>Ô tô vận tải thùng 12 tấn365</v>
      </c>
      <c r="D4469" s="630"/>
      <c r="E4469" s="630"/>
      <c r="F4469" s="630"/>
      <c r="G4469" s="630"/>
    </row>
    <row r="4470" spans="1:7" ht="18.75" x14ac:dyDescent="0.25">
      <c r="A4470" s="629" t="s">
        <v>3063</v>
      </c>
      <c r="B4470" s="630">
        <v>366</v>
      </c>
      <c r="C4470" s="631" t="str">
        <f t="shared" si="74"/>
        <v>Ô tô vận tải thùng 12 tấn366</v>
      </c>
      <c r="D4470" s="630"/>
      <c r="E4470" s="630"/>
      <c r="F4470" s="630"/>
      <c r="G4470" s="630"/>
    </row>
    <row r="4471" spans="1:7" ht="18.75" x14ac:dyDescent="0.25">
      <c r="A4471" s="629" t="s">
        <v>3063</v>
      </c>
      <c r="B4471" s="630">
        <v>367</v>
      </c>
      <c r="C4471" s="631" t="str">
        <f t="shared" si="74"/>
        <v>Ô tô vận tải thùng 12 tấn367</v>
      </c>
      <c r="D4471" s="630"/>
      <c r="E4471" s="630"/>
      <c r="F4471" s="630"/>
      <c r="G4471" s="630"/>
    </row>
    <row r="4472" spans="1:7" ht="18.75" x14ac:dyDescent="0.25">
      <c r="A4472" s="629" t="s">
        <v>3063</v>
      </c>
      <c r="B4472" s="630">
        <v>368</v>
      </c>
      <c r="C4472" s="631" t="str">
        <f t="shared" si="74"/>
        <v>Ô tô vận tải thùng 12 tấn368</v>
      </c>
      <c r="D4472" s="630"/>
      <c r="E4472" s="630"/>
      <c r="F4472" s="630"/>
      <c r="G4472" s="630"/>
    </row>
    <row r="4473" spans="1:7" ht="18.75" x14ac:dyDescent="0.25">
      <c r="A4473" s="629" t="s">
        <v>3063</v>
      </c>
      <c r="B4473" s="630">
        <v>369</v>
      </c>
      <c r="C4473" s="631" t="str">
        <f t="shared" si="74"/>
        <v>Ô tô vận tải thùng 12 tấn369</v>
      </c>
      <c r="D4473" s="630"/>
      <c r="E4473" s="630"/>
      <c r="F4473" s="630"/>
      <c r="G4473" s="630"/>
    </row>
    <row r="4474" spans="1:7" ht="18.75" x14ac:dyDescent="0.25">
      <c r="A4474" s="629" t="s">
        <v>3063</v>
      </c>
      <c r="B4474" s="630">
        <v>370</v>
      </c>
      <c r="C4474" s="631" t="str">
        <f t="shared" si="74"/>
        <v>Ô tô vận tải thùng 12 tấn370</v>
      </c>
      <c r="D4474" s="630"/>
      <c r="E4474" s="630"/>
      <c r="F4474" s="630"/>
      <c r="G4474" s="630"/>
    </row>
    <row r="4475" spans="1:7" ht="18.75" x14ac:dyDescent="0.25">
      <c r="A4475" s="629" t="s">
        <v>3063</v>
      </c>
      <c r="B4475" s="630">
        <v>371</v>
      </c>
      <c r="C4475" s="631" t="str">
        <f t="shared" si="74"/>
        <v>Ô tô vận tải thùng 12 tấn371</v>
      </c>
      <c r="D4475" s="630"/>
      <c r="E4475" s="630"/>
      <c r="F4475" s="630"/>
      <c r="G4475" s="630"/>
    </row>
    <row r="4476" spans="1:7" ht="18.75" x14ac:dyDescent="0.25">
      <c r="A4476" s="629" t="s">
        <v>3063</v>
      </c>
      <c r="B4476" s="630">
        <v>372</v>
      </c>
      <c r="C4476" s="631" t="str">
        <f t="shared" si="74"/>
        <v>Ô tô vận tải thùng 12 tấn372</v>
      </c>
      <c r="D4476" s="630"/>
      <c r="E4476" s="630"/>
      <c r="F4476" s="630"/>
      <c r="G4476" s="630"/>
    </row>
    <row r="4477" spans="1:7" ht="18.75" x14ac:dyDescent="0.25">
      <c r="A4477" s="629" t="s">
        <v>3063</v>
      </c>
      <c r="B4477" s="630">
        <v>373</v>
      </c>
      <c r="C4477" s="631" t="str">
        <f t="shared" si="74"/>
        <v>Ô tô vận tải thùng 12 tấn373</v>
      </c>
      <c r="D4477" s="630"/>
      <c r="E4477" s="630"/>
      <c r="F4477" s="630"/>
      <c r="G4477" s="630"/>
    </row>
    <row r="4478" spans="1:7" ht="18.75" x14ac:dyDescent="0.25">
      <c r="A4478" s="629" t="s">
        <v>3063</v>
      </c>
      <c r="B4478" s="630">
        <v>374</v>
      </c>
      <c r="C4478" s="631" t="str">
        <f t="shared" si="74"/>
        <v>Ô tô vận tải thùng 12 tấn374</v>
      </c>
      <c r="D4478" s="630"/>
      <c r="E4478" s="630"/>
      <c r="F4478" s="630"/>
      <c r="G4478" s="630"/>
    </row>
    <row r="4479" spans="1:7" ht="18.75" x14ac:dyDescent="0.25">
      <c r="A4479" s="629" t="s">
        <v>3063</v>
      </c>
      <c r="B4479" s="630">
        <v>375</v>
      </c>
      <c r="C4479" s="631" t="str">
        <f t="shared" si="74"/>
        <v>Ô tô vận tải thùng 12 tấn375</v>
      </c>
      <c r="D4479" s="630"/>
      <c r="E4479" s="630"/>
      <c r="F4479" s="630"/>
      <c r="G4479" s="630"/>
    </row>
    <row r="4480" spans="1:7" ht="18.75" x14ac:dyDescent="0.25">
      <c r="A4480" s="629" t="s">
        <v>3063</v>
      </c>
      <c r="B4480" s="630">
        <v>376</v>
      </c>
      <c r="C4480" s="631" t="str">
        <f t="shared" si="74"/>
        <v>Ô tô vận tải thùng 12 tấn376</v>
      </c>
      <c r="D4480" s="630"/>
      <c r="E4480" s="630"/>
      <c r="F4480" s="630"/>
      <c r="G4480" s="630"/>
    </row>
    <row r="4481" spans="1:7" ht="18.75" x14ac:dyDescent="0.25">
      <c r="A4481" s="629" t="s">
        <v>3063</v>
      </c>
      <c r="B4481" s="630">
        <v>377</v>
      </c>
      <c r="C4481" s="631" t="str">
        <f t="shared" si="74"/>
        <v>Ô tô vận tải thùng 12 tấn377</v>
      </c>
      <c r="D4481" s="630"/>
      <c r="E4481" s="630"/>
      <c r="F4481" s="630"/>
      <c r="G4481" s="630"/>
    </row>
    <row r="4482" spans="1:7" ht="18.75" x14ac:dyDescent="0.25">
      <c r="A4482" s="629" t="s">
        <v>3063</v>
      </c>
      <c r="B4482" s="630">
        <v>378</v>
      </c>
      <c r="C4482" s="631" t="str">
        <f t="shared" si="74"/>
        <v>Ô tô vận tải thùng 12 tấn378</v>
      </c>
      <c r="D4482" s="630"/>
      <c r="E4482" s="630"/>
      <c r="F4482" s="630"/>
      <c r="G4482" s="630"/>
    </row>
    <row r="4483" spans="1:7" ht="18.75" x14ac:dyDescent="0.25">
      <c r="A4483" s="629" t="s">
        <v>3063</v>
      </c>
      <c r="B4483" s="630">
        <v>379</v>
      </c>
      <c r="C4483" s="631" t="str">
        <f t="shared" si="74"/>
        <v>Ô tô vận tải thùng 12 tấn379</v>
      </c>
      <c r="D4483" s="630"/>
      <c r="E4483" s="630"/>
      <c r="F4483" s="630"/>
      <c r="G4483" s="630"/>
    </row>
    <row r="4484" spans="1:7" ht="18.75" x14ac:dyDescent="0.25">
      <c r="A4484" s="629" t="s">
        <v>3063</v>
      </c>
      <c r="B4484" s="630">
        <v>380</v>
      </c>
      <c r="C4484" s="631" t="str">
        <f t="shared" si="74"/>
        <v>Ô tô vận tải thùng 12 tấn380</v>
      </c>
      <c r="D4484" s="630"/>
      <c r="E4484" s="630"/>
      <c r="F4484" s="630"/>
      <c r="G4484" s="630"/>
    </row>
    <row r="4485" spans="1:7" ht="18.75" x14ac:dyDescent="0.25">
      <c r="A4485" s="629" t="s">
        <v>3063</v>
      </c>
      <c r="B4485" s="630">
        <v>381</v>
      </c>
      <c r="C4485" s="631" t="str">
        <f t="shared" si="74"/>
        <v>Ô tô vận tải thùng 12 tấn381</v>
      </c>
      <c r="D4485" s="630"/>
      <c r="E4485" s="630"/>
      <c r="F4485" s="630"/>
      <c r="G4485" s="630"/>
    </row>
    <row r="4486" spans="1:7" ht="18.75" x14ac:dyDescent="0.25">
      <c r="A4486" s="629" t="s">
        <v>3063</v>
      </c>
      <c r="B4486" s="630">
        <v>382</v>
      </c>
      <c r="C4486" s="631" t="str">
        <f t="shared" si="74"/>
        <v>Ô tô vận tải thùng 12 tấn382</v>
      </c>
      <c r="D4486" s="630"/>
      <c r="E4486" s="630"/>
      <c r="F4486" s="630"/>
      <c r="G4486" s="630"/>
    </row>
    <row r="4487" spans="1:7" ht="18.75" x14ac:dyDescent="0.25">
      <c r="A4487" s="629" t="s">
        <v>3063</v>
      </c>
      <c r="B4487" s="630">
        <v>383</v>
      </c>
      <c r="C4487" s="631" t="str">
        <f t="shared" si="74"/>
        <v>Ô tô vận tải thùng 12 tấn383</v>
      </c>
      <c r="D4487" s="630"/>
      <c r="E4487" s="630"/>
      <c r="F4487" s="630"/>
      <c r="G4487" s="630"/>
    </row>
    <row r="4488" spans="1:7" ht="18.75" x14ac:dyDescent="0.25">
      <c r="A4488" s="629" t="s">
        <v>3063</v>
      </c>
      <c r="B4488" s="630">
        <v>384</v>
      </c>
      <c r="C4488" s="631" t="str">
        <f t="shared" si="74"/>
        <v>Ô tô vận tải thùng 12 tấn384</v>
      </c>
      <c r="D4488" s="630"/>
      <c r="E4488" s="630"/>
      <c r="F4488" s="630"/>
      <c r="G4488" s="630"/>
    </row>
    <row r="4489" spans="1:7" ht="18.75" x14ac:dyDescent="0.25">
      <c r="A4489" s="629" t="s">
        <v>3063</v>
      </c>
      <c r="B4489" s="630">
        <v>385</v>
      </c>
      <c r="C4489" s="631" t="str">
        <f t="shared" si="74"/>
        <v>Ô tô vận tải thùng 12 tấn385</v>
      </c>
      <c r="D4489" s="630"/>
      <c r="E4489" s="630"/>
      <c r="F4489" s="630"/>
      <c r="G4489" s="630"/>
    </row>
    <row r="4490" spans="1:7" ht="18.75" x14ac:dyDescent="0.25">
      <c r="A4490" s="629" t="s">
        <v>3063</v>
      </c>
      <c r="B4490" s="630">
        <v>386</v>
      </c>
      <c r="C4490" s="631" t="str">
        <f t="shared" ref="C4490:C4553" si="75">A4490&amp;B4490</f>
        <v>Ô tô vận tải thùng 12 tấn386</v>
      </c>
      <c r="D4490" s="630"/>
      <c r="E4490" s="630"/>
      <c r="F4490" s="630"/>
      <c r="G4490" s="630"/>
    </row>
    <row r="4491" spans="1:7" ht="18.75" x14ac:dyDescent="0.25">
      <c r="A4491" s="629" t="s">
        <v>3063</v>
      </c>
      <c r="B4491" s="630">
        <v>387</v>
      </c>
      <c r="C4491" s="631" t="str">
        <f t="shared" si="75"/>
        <v>Ô tô vận tải thùng 12 tấn387</v>
      </c>
      <c r="D4491" s="630"/>
      <c r="E4491" s="630"/>
      <c r="F4491" s="630"/>
      <c r="G4491" s="630"/>
    </row>
    <row r="4492" spans="1:7" ht="18.75" x14ac:dyDescent="0.25">
      <c r="A4492" s="629" t="s">
        <v>3063</v>
      </c>
      <c r="B4492" s="630">
        <v>388</v>
      </c>
      <c r="C4492" s="631" t="str">
        <f t="shared" si="75"/>
        <v>Ô tô vận tải thùng 12 tấn388</v>
      </c>
      <c r="D4492" s="630"/>
      <c r="E4492" s="630"/>
      <c r="F4492" s="630"/>
      <c r="G4492" s="630"/>
    </row>
    <row r="4493" spans="1:7" ht="18.75" x14ac:dyDescent="0.25">
      <c r="A4493" s="629" t="s">
        <v>3063</v>
      </c>
      <c r="B4493" s="630">
        <v>389</v>
      </c>
      <c r="C4493" s="631" t="str">
        <f t="shared" si="75"/>
        <v>Ô tô vận tải thùng 12 tấn389</v>
      </c>
      <c r="D4493" s="630"/>
      <c r="E4493" s="630"/>
      <c r="F4493" s="630"/>
      <c r="G4493" s="630"/>
    </row>
    <row r="4494" spans="1:7" ht="18.75" x14ac:dyDescent="0.25">
      <c r="A4494" s="629" t="s">
        <v>3063</v>
      </c>
      <c r="B4494" s="630">
        <v>390</v>
      </c>
      <c r="C4494" s="631" t="str">
        <f t="shared" si="75"/>
        <v>Ô tô vận tải thùng 12 tấn390</v>
      </c>
      <c r="D4494" s="630"/>
      <c r="E4494" s="630"/>
      <c r="F4494" s="630"/>
      <c r="G4494" s="630"/>
    </row>
    <row r="4495" spans="1:7" ht="18.75" x14ac:dyDescent="0.25">
      <c r="A4495" s="629" t="s">
        <v>3063</v>
      </c>
      <c r="B4495" s="630">
        <v>391</v>
      </c>
      <c r="C4495" s="631" t="str">
        <f t="shared" si="75"/>
        <v>Ô tô vận tải thùng 12 tấn391</v>
      </c>
      <c r="D4495" s="630"/>
      <c r="E4495" s="630"/>
      <c r="F4495" s="630"/>
      <c r="G4495" s="630"/>
    </row>
    <row r="4496" spans="1:7" ht="18.75" x14ac:dyDescent="0.25">
      <c r="A4496" s="629" t="s">
        <v>3063</v>
      </c>
      <c r="B4496" s="630">
        <v>392</v>
      </c>
      <c r="C4496" s="631" t="str">
        <f t="shared" si="75"/>
        <v>Ô tô vận tải thùng 12 tấn392</v>
      </c>
      <c r="D4496" s="630"/>
      <c r="E4496" s="630"/>
      <c r="F4496" s="630"/>
      <c r="G4496" s="630"/>
    </row>
    <row r="4497" spans="1:7" ht="18.75" x14ac:dyDescent="0.25">
      <c r="A4497" s="629" t="s">
        <v>3063</v>
      </c>
      <c r="B4497" s="630">
        <v>393</v>
      </c>
      <c r="C4497" s="631" t="str">
        <f t="shared" si="75"/>
        <v>Ô tô vận tải thùng 12 tấn393</v>
      </c>
      <c r="D4497" s="630"/>
      <c r="E4497" s="630"/>
      <c r="F4497" s="630"/>
      <c r="G4497" s="630"/>
    </row>
    <row r="4498" spans="1:7" ht="18.75" x14ac:dyDescent="0.25">
      <c r="A4498" s="629" t="s">
        <v>3063</v>
      </c>
      <c r="B4498" s="630">
        <v>394</v>
      </c>
      <c r="C4498" s="631" t="str">
        <f t="shared" si="75"/>
        <v>Ô tô vận tải thùng 12 tấn394</v>
      </c>
      <c r="D4498" s="630"/>
      <c r="E4498" s="630"/>
      <c r="F4498" s="630"/>
      <c r="G4498" s="630"/>
    </row>
    <row r="4499" spans="1:7" ht="18.75" x14ac:dyDescent="0.25">
      <c r="A4499" s="629" t="s">
        <v>3063</v>
      </c>
      <c r="B4499" s="630">
        <v>395</v>
      </c>
      <c r="C4499" s="631" t="str">
        <f t="shared" si="75"/>
        <v>Ô tô vận tải thùng 12 tấn395</v>
      </c>
      <c r="D4499" s="630"/>
      <c r="E4499" s="630"/>
      <c r="F4499" s="630"/>
      <c r="G4499" s="630"/>
    </row>
    <row r="4500" spans="1:7" ht="18.75" x14ac:dyDescent="0.25">
      <c r="A4500" s="629" t="s">
        <v>3063</v>
      </c>
      <c r="B4500" s="630">
        <v>396</v>
      </c>
      <c r="C4500" s="631" t="str">
        <f t="shared" si="75"/>
        <v>Ô tô vận tải thùng 12 tấn396</v>
      </c>
      <c r="D4500" s="630"/>
      <c r="E4500" s="630"/>
      <c r="F4500" s="630"/>
      <c r="G4500" s="630"/>
    </row>
    <row r="4501" spans="1:7" ht="18.75" x14ac:dyDescent="0.25">
      <c r="A4501" s="629" t="s">
        <v>3063</v>
      </c>
      <c r="B4501" s="630">
        <v>397</v>
      </c>
      <c r="C4501" s="631" t="str">
        <f t="shared" si="75"/>
        <v>Ô tô vận tải thùng 12 tấn397</v>
      </c>
      <c r="D4501" s="630"/>
      <c r="E4501" s="630"/>
      <c r="F4501" s="630"/>
      <c r="G4501" s="630"/>
    </row>
    <row r="4502" spans="1:7" ht="18.75" x14ac:dyDescent="0.25">
      <c r="A4502" s="629" t="s">
        <v>3063</v>
      </c>
      <c r="B4502" s="630">
        <v>398</v>
      </c>
      <c r="C4502" s="631" t="str">
        <f t="shared" si="75"/>
        <v>Ô tô vận tải thùng 12 tấn398</v>
      </c>
      <c r="D4502" s="630"/>
      <c r="E4502" s="630"/>
      <c r="F4502" s="630"/>
      <c r="G4502" s="630"/>
    </row>
    <row r="4503" spans="1:7" ht="18.75" x14ac:dyDescent="0.25">
      <c r="A4503" s="629" t="s">
        <v>3063</v>
      </c>
      <c r="B4503" s="630">
        <v>399</v>
      </c>
      <c r="C4503" s="631" t="str">
        <f t="shared" si="75"/>
        <v>Ô tô vận tải thùng 12 tấn399</v>
      </c>
      <c r="D4503" s="630"/>
      <c r="E4503" s="630"/>
      <c r="F4503" s="630"/>
      <c r="G4503" s="630"/>
    </row>
    <row r="4504" spans="1:7" ht="18.75" x14ac:dyDescent="0.25">
      <c r="A4504" s="629" t="s">
        <v>3063</v>
      </c>
      <c r="B4504" s="630">
        <v>400</v>
      </c>
      <c r="C4504" s="631" t="str">
        <f t="shared" si="75"/>
        <v>Ô tô vận tải thùng 12 tấn400</v>
      </c>
      <c r="D4504" s="630"/>
      <c r="E4504" s="630"/>
      <c r="F4504" s="630"/>
      <c r="G4504" s="630"/>
    </row>
    <row r="4505" spans="1:7" ht="18.75" x14ac:dyDescent="0.25">
      <c r="A4505" s="629" t="s">
        <v>3063</v>
      </c>
      <c r="B4505" s="630">
        <v>401</v>
      </c>
      <c r="C4505" s="631" t="str">
        <f t="shared" si="75"/>
        <v>Ô tô vận tải thùng 12 tấn401</v>
      </c>
      <c r="D4505" s="630"/>
      <c r="E4505" s="630"/>
      <c r="F4505" s="630"/>
      <c r="G4505" s="630"/>
    </row>
    <row r="4506" spans="1:7" ht="18.75" x14ac:dyDescent="0.25">
      <c r="A4506" s="629" t="s">
        <v>3063</v>
      </c>
      <c r="B4506" s="630">
        <v>402</v>
      </c>
      <c r="C4506" s="631" t="str">
        <f t="shared" si="75"/>
        <v>Ô tô vận tải thùng 12 tấn402</v>
      </c>
      <c r="D4506" s="630"/>
      <c r="E4506" s="630"/>
      <c r="F4506" s="630"/>
      <c r="G4506" s="630"/>
    </row>
    <row r="4507" spans="1:7" ht="18.75" x14ac:dyDescent="0.25">
      <c r="A4507" s="629" t="s">
        <v>3063</v>
      </c>
      <c r="B4507" s="630">
        <v>403</v>
      </c>
      <c r="C4507" s="631" t="str">
        <f t="shared" si="75"/>
        <v>Ô tô vận tải thùng 12 tấn403</v>
      </c>
      <c r="D4507" s="630"/>
      <c r="E4507" s="630"/>
      <c r="F4507" s="630"/>
      <c r="G4507" s="630"/>
    </row>
    <row r="4508" spans="1:7" ht="18.75" x14ac:dyDescent="0.25">
      <c r="A4508" s="629" t="s">
        <v>3063</v>
      </c>
      <c r="B4508" s="630">
        <v>404</v>
      </c>
      <c r="C4508" s="631" t="str">
        <f t="shared" si="75"/>
        <v>Ô tô vận tải thùng 12 tấn404</v>
      </c>
      <c r="D4508" s="630"/>
      <c r="E4508" s="630"/>
      <c r="F4508" s="630"/>
      <c r="G4508" s="630"/>
    </row>
    <row r="4509" spans="1:7" ht="18.75" x14ac:dyDescent="0.25">
      <c r="A4509" s="629" t="s">
        <v>3063</v>
      </c>
      <c r="B4509" s="630">
        <v>405</v>
      </c>
      <c r="C4509" s="631" t="str">
        <f t="shared" si="75"/>
        <v>Ô tô vận tải thùng 12 tấn405</v>
      </c>
      <c r="D4509" s="630"/>
      <c r="E4509" s="630"/>
      <c r="F4509" s="630"/>
      <c r="G4509" s="630"/>
    </row>
    <row r="4510" spans="1:7" ht="18.75" x14ac:dyDescent="0.25">
      <c r="A4510" s="629" t="s">
        <v>3063</v>
      </c>
      <c r="B4510" s="630">
        <v>406</v>
      </c>
      <c r="C4510" s="631" t="str">
        <f t="shared" si="75"/>
        <v>Ô tô vận tải thùng 12 tấn406</v>
      </c>
      <c r="D4510" s="630"/>
      <c r="E4510" s="630"/>
      <c r="F4510" s="630"/>
      <c r="G4510" s="630"/>
    </row>
    <row r="4511" spans="1:7" ht="18.75" x14ac:dyDescent="0.25">
      <c r="A4511" s="629" t="s">
        <v>3063</v>
      </c>
      <c r="B4511" s="630">
        <v>407</v>
      </c>
      <c r="C4511" s="631" t="str">
        <f t="shared" si="75"/>
        <v>Ô tô vận tải thùng 12 tấn407</v>
      </c>
      <c r="D4511" s="630"/>
      <c r="E4511" s="630"/>
      <c r="F4511" s="630"/>
      <c r="G4511" s="630"/>
    </row>
    <row r="4512" spans="1:7" ht="18.75" x14ac:dyDescent="0.25">
      <c r="A4512" s="629" t="s">
        <v>3063</v>
      </c>
      <c r="B4512" s="630">
        <v>408</v>
      </c>
      <c r="C4512" s="631" t="str">
        <f t="shared" si="75"/>
        <v>Ô tô vận tải thùng 12 tấn408</v>
      </c>
      <c r="D4512" s="630"/>
      <c r="E4512" s="630"/>
      <c r="F4512" s="630"/>
      <c r="G4512" s="630"/>
    </row>
    <row r="4513" spans="1:7" ht="18.75" x14ac:dyDescent="0.25">
      <c r="A4513" s="629" t="s">
        <v>3063</v>
      </c>
      <c r="B4513" s="630">
        <v>409</v>
      </c>
      <c r="C4513" s="631" t="str">
        <f t="shared" si="75"/>
        <v>Ô tô vận tải thùng 12 tấn409</v>
      </c>
      <c r="D4513" s="630"/>
      <c r="E4513" s="630"/>
      <c r="F4513" s="630"/>
      <c r="G4513" s="630"/>
    </row>
    <row r="4514" spans="1:7" ht="18.75" x14ac:dyDescent="0.25">
      <c r="A4514" s="629" t="s">
        <v>3063</v>
      </c>
      <c r="B4514" s="630">
        <v>410</v>
      </c>
      <c r="C4514" s="631" t="str">
        <f t="shared" si="75"/>
        <v>Ô tô vận tải thùng 12 tấn410</v>
      </c>
      <c r="D4514" s="630"/>
      <c r="E4514" s="630"/>
      <c r="F4514" s="630"/>
      <c r="G4514" s="630"/>
    </row>
    <row r="4515" spans="1:7" ht="18.75" x14ac:dyDescent="0.25">
      <c r="A4515" s="629" t="s">
        <v>3063</v>
      </c>
      <c r="B4515" s="630">
        <v>411</v>
      </c>
      <c r="C4515" s="631" t="str">
        <f t="shared" si="75"/>
        <v>Ô tô vận tải thùng 12 tấn411</v>
      </c>
      <c r="D4515" s="630"/>
      <c r="E4515" s="630"/>
      <c r="F4515" s="630"/>
      <c r="G4515" s="630"/>
    </row>
    <row r="4516" spans="1:7" ht="18.75" x14ac:dyDescent="0.25">
      <c r="A4516" s="629" t="s">
        <v>3063</v>
      </c>
      <c r="B4516" s="630">
        <v>412</v>
      </c>
      <c r="C4516" s="631" t="str">
        <f t="shared" si="75"/>
        <v>Ô tô vận tải thùng 12 tấn412</v>
      </c>
      <c r="D4516" s="630"/>
      <c r="E4516" s="630"/>
      <c r="F4516" s="630"/>
      <c r="G4516" s="630"/>
    </row>
    <row r="4517" spans="1:7" ht="18.75" x14ac:dyDescent="0.25">
      <c r="A4517" s="629" t="s">
        <v>3063</v>
      </c>
      <c r="B4517" s="630">
        <v>413</v>
      </c>
      <c r="C4517" s="631" t="str">
        <f t="shared" si="75"/>
        <v>Ô tô vận tải thùng 12 tấn413</v>
      </c>
      <c r="D4517" s="630"/>
      <c r="E4517" s="630"/>
      <c r="F4517" s="630"/>
      <c r="G4517" s="630"/>
    </row>
    <row r="4518" spans="1:7" ht="18.75" x14ac:dyDescent="0.25">
      <c r="A4518" s="629" t="s">
        <v>3063</v>
      </c>
      <c r="B4518" s="630">
        <v>414</v>
      </c>
      <c r="C4518" s="631" t="str">
        <f t="shared" si="75"/>
        <v>Ô tô vận tải thùng 12 tấn414</v>
      </c>
      <c r="D4518" s="630"/>
      <c r="E4518" s="630"/>
      <c r="F4518" s="630"/>
      <c r="G4518" s="630"/>
    </row>
    <row r="4519" spans="1:7" ht="18.75" x14ac:dyDescent="0.25">
      <c r="A4519" s="629" t="s">
        <v>3063</v>
      </c>
      <c r="B4519" s="630">
        <v>415</v>
      </c>
      <c r="C4519" s="631" t="str">
        <f t="shared" si="75"/>
        <v>Ô tô vận tải thùng 12 tấn415</v>
      </c>
      <c r="D4519" s="630"/>
      <c r="E4519" s="630"/>
      <c r="F4519" s="630"/>
      <c r="G4519" s="630"/>
    </row>
    <row r="4520" spans="1:7" ht="18.75" x14ac:dyDescent="0.25">
      <c r="A4520" s="629" t="s">
        <v>3063</v>
      </c>
      <c r="B4520" s="630">
        <v>416</v>
      </c>
      <c r="C4520" s="631" t="str">
        <f t="shared" si="75"/>
        <v>Ô tô vận tải thùng 12 tấn416</v>
      </c>
      <c r="D4520" s="630"/>
      <c r="E4520" s="630"/>
      <c r="F4520" s="630"/>
      <c r="G4520" s="630"/>
    </row>
    <row r="4521" spans="1:7" ht="18.75" x14ac:dyDescent="0.25">
      <c r="A4521" s="629" t="s">
        <v>3063</v>
      </c>
      <c r="B4521" s="630">
        <v>417</v>
      </c>
      <c r="C4521" s="631" t="str">
        <f t="shared" si="75"/>
        <v>Ô tô vận tải thùng 12 tấn417</v>
      </c>
      <c r="D4521" s="630"/>
      <c r="E4521" s="630"/>
      <c r="F4521" s="630"/>
      <c r="G4521" s="630"/>
    </row>
    <row r="4522" spans="1:7" ht="18.75" x14ac:dyDescent="0.25">
      <c r="A4522" s="629" t="s">
        <v>3063</v>
      </c>
      <c r="B4522" s="630">
        <v>418</v>
      </c>
      <c r="C4522" s="631" t="str">
        <f t="shared" si="75"/>
        <v>Ô tô vận tải thùng 12 tấn418</v>
      </c>
      <c r="D4522" s="630"/>
      <c r="E4522" s="630"/>
      <c r="F4522" s="630"/>
      <c r="G4522" s="630"/>
    </row>
    <row r="4523" spans="1:7" ht="18.75" x14ac:dyDescent="0.25">
      <c r="A4523" s="629" t="s">
        <v>3063</v>
      </c>
      <c r="B4523" s="630">
        <v>419</v>
      </c>
      <c r="C4523" s="631" t="str">
        <f t="shared" si="75"/>
        <v>Ô tô vận tải thùng 12 tấn419</v>
      </c>
      <c r="D4523" s="630"/>
      <c r="E4523" s="630"/>
      <c r="F4523" s="630"/>
      <c r="G4523" s="630"/>
    </row>
    <row r="4524" spans="1:7" ht="18.75" x14ac:dyDescent="0.25">
      <c r="A4524" s="629" t="s">
        <v>3063</v>
      </c>
      <c r="B4524" s="630">
        <v>420</v>
      </c>
      <c r="C4524" s="631" t="str">
        <f t="shared" si="75"/>
        <v>Ô tô vận tải thùng 12 tấn420</v>
      </c>
      <c r="D4524" s="630"/>
      <c r="E4524" s="630"/>
      <c r="F4524" s="630"/>
      <c r="G4524" s="630"/>
    </row>
    <row r="4525" spans="1:7" ht="18.75" x14ac:dyDescent="0.25">
      <c r="A4525" s="629" t="s">
        <v>3063</v>
      </c>
      <c r="B4525" s="630">
        <v>421</v>
      </c>
      <c r="C4525" s="631" t="str">
        <f t="shared" si="75"/>
        <v>Ô tô vận tải thùng 12 tấn421</v>
      </c>
      <c r="D4525" s="630"/>
      <c r="E4525" s="630"/>
      <c r="F4525" s="630"/>
      <c r="G4525" s="630"/>
    </row>
    <row r="4526" spans="1:7" ht="18.75" x14ac:dyDescent="0.25">
      <c r="A4526" s="629" t="s">
        <v>3063</v>
      </c>
      <c r="B4526" s="630">
        <v>422</v>
      </c>
      <c r="C4526" s="631" t="str">
        <f t="shared" si="75"/>
        <v>Ô tô vận tải thùng 12 tấn422</v>
      </c>
      <c r="D4526" s="630"/>
      <c r="E4526" s="630"/>
      <c r="F4526" s="630"/>
      <c r="G4526" s="630"/>
    </row>
    <row r="4527" spans="1:7" ht="18.75" x14ac:dyDescent="0.25">
      <c r="A4527" s="629" t="s">
        <v>3063</v>
      </c>
      <c r="B4527" s="630">
        <v>423</v>
      </c>
      <c r="C4527" s="631" t="str">
        <f t="shared" si="75"/>
        <v>Ô tô vận tải thùng 12 tấn423</v>
      </c>
      <c r="D4527" s="630"/>
      <c r="E4527" s="630"/>
      <c r="F4527" s="630"/>
      <c r="G4527" s="630"/>
    </row>
    <row r="4528" spans="1:7" ht="18.75" x14ac:dyDescent="0.25">
      <c r="A4528" s="629" t="s">
        <v>3063</v>
      </c>
      <c r="B4528" s="630">
        <v>424</v>
      </c>
      <c r="C4528" s="631" t="str">
        <f t="shared" si="75"/>
        <v>Ô tô vận tải thùng 12 tấn424</v>
      </c>
      <c r="D4528" s="630"/>
      <c r="E4528" s="630"/>
      <c r="F4528" s="630"/>
      <c r="G4528" s="630"/>
    </row>
    <row r="4529" spans="1:7" ht="18.75" x14ac:dyDescent="0.25">
      <c r="A4529" s="629" t="s">
        <v>3063</v>
      </c>
      <c r="B4529" s="630">
        <v>425</v>
      </c>
      <c r="C4529" s="631" t="str">
        <f t="shared" si="75"/>
        <v>Ô tô vận tải thùng 12 tấn425</v>
      </c>
      <c r="D4529" s="630"/>
      <c r="E4529" s="630"/>
      <c r="F4529" s="630"/>
      <c r="G4529" s="630"/>
    </row>
    <row r="4530" spans="1:7" ht="18.75" x14ac:dyDescent="0.25">
      <c r="A4530" s="629" t="s">
        <v>3063</v>
      </c>
      <c r="B4530" s="630">
        <v>426</v>
      </c>
      <c r="C4530" s="631" t="str">
        <f t="shared" si="75"/>
        <v>Ô tô vận tải thùng 12 tấn426</v>
      </c>
      <c r="D4530" s="630"/>
      <c r="E4530" s="630"/>
      <c r="F4530" s="630"/>
      <c r="G4530" s="630"/>
    </row>
    <row r="4531" spans="1:7" ht="18.75" x14ac:dyDescent="0.25">
      <c r="A4531" s="629" t="s">
        <v>3063</v>
      </c>
      <c r="B4531" s="630">
        <v>427</v>
      </c>
      <c r="C4531" s="631" t="str">
        <f t="shared" si="75"/>
        <v>Ô tô vận tải thùng 12 tấn427</v>
      </c>
      <c r="D4531" s="630"/>
      <c r="E4531" s="630"/>
      <c r="F4531" s="630"/>
      <c r="G4531" s="630"/>
    </row>
    <row r="4532" spans="1:7" ht="18.75" x14ac:dyDescent="0.25">
      <c r="A4532" s="629" t="s">
        <v>3063</v>
      </c>
      <c r="B4532" s="630">
        <v>428</v>
      </c>
      <c r="C4532" s="631" t="str">
        <f t="shared" si="75"/>
        <v>Ô tô vận tải thùng 12 tấn428</v>
      </c>
      <c r="D4532" s="630"/>
      <c r="E4532" s="630"/>
      <c r="F4532" s="630"/>
      <c r="G4532" s="630"/>
    </row>
    <row r="4533" spans="1:7" ht="18.75" x14ac:dyDescent="0.25">
      <c r="A4533" s="629" t="s">
        <v>3063</v>
      </c>
      <c r="B4533" s="630">
        <v>429</v>
      </c>
      <c r="C4533" s="631" t="str">
        <f t="shared" si="75"/>
        <v>Ô tô vận tải thùng 12 tấn429</v>
      </c>
      <c r="D4533" s="630"/>
      <c r="E4533" s="630"/>
      <c r="F4533" s="630"/>
      <c r="G4533" s="630"/>
    </row>
    <row r="4534" spans="1:7" ht="18.75" x14ac:dyDescent="0.25">
      <c r="A4534" s="629" t="s">
        <v>3063</v>
      </c>
      <c r="B4534" s="630">
        <v>430</v>
      </c>
      <c r="C4534" s="631" t="str">
        <f t="shared" si="75"/>
        <v>Ô tô vận tải thùng 12 tấn430</v>
      </c>
      <c r="D4534" s="630"/>
      <c r="E4534" s="630"/>
      <c r="F4534" s="630"/>
      <c r="G4534" s="630"/>
    </row>
    <row r="4535" spans="1:7" ht="18.75" x14ac:dyDescent="0.25">
      <c r="A4535" s="629" t="s">
        <v>3063</v>
      </c>
      <c r="B4535" s="630">
        <v>431</v>
      </c>
      <c r="C4535" s="631" t="str">
        <f t="shared" si="75"/>
        <v>Ô tô vận tải thùng 12 tấn431</v>
      </c>
      <c r="D4535" s="630"/>
      <c r="E4535" s="630"/>
      <c r="F4535" s="630"/>
      <c r="G4535" s="630"/>
    </row>
    <row r="4536" spans="1:7" ht="18.75" x14ac:dyDescent="0.25">
      <c r="A4536" s="629" t="s">
        <v>3063</v>
      </c>
      <c r="B4536" s="630">
        <v>432</v>
      </c>
      <c r="C4536" s="631" t="str">
        <f t="shared" si="75"/>
        <v>Ô tô vận tải thùng 12 tấn432</v>
      </c>
      <c r="D4536" s="630"/>
      <c r="E4536" s="630"/>
      <c r="F4536" s="630"/>
      <c r="G4536" s="630"/>
    </row>
    <row r="4537" spans="1:7" ht="18.75" x14ac:dyDescent="0.25">
      <c r="A4537" s="629" t="s">
        <v>3063</v>
      </c>
      <c r="B4537" s="630">
        <v>433</v>
      </c>
      <c r="C4537" s="631" t="str">
        <f t="shared" si="75"/>
        <v>Ô tô vận tải thùng 12 tấn433</v>
      </c>
      <c r="D4537" s="630"/>
      <c r="E4537" s="630"/>
      <c r="F4537" s="630"/>
      <c r="G4537" s="630"/>
    </row>
    <row r="4538" spans="1:7" ht="18.75" x14ac:dyDescent="0.25">
      <c r="A4538" s="629" t="s">
        <v>3063</v>
      </c>
      <c r="B4538" s="630">
        <v>434</v>
      </c>
      <c r="C4538" s="631" t="str">
        <f t="shared" si="75"/>
        <v>Ô tô vận tải thùng 12 tấn434</v>
      </c>
      <c r="D4538" s="630"/>
      <c r="E4538" s="630"/>
      <c r="F4538" s="630"/>
      <c r="G4538" s="630"/>
    </row>
    <row r="4539" spans="1:7" ht="18.75" x14ac:dyDescent="0.25">
      <c r="A4539" s="629" t="s">
        <v>3063</v>
      </c>
      <c r="B4539" s="630">
        <v>435</v>
      </c>
      <c r="C4539" s="631" t="str">
        <f t="shared" si="75"/>
        <v>Ô tô vận tải thùng 12 tấn435</v>
      </c>
      <c r="D4539" s="630"/>
      <c r="E4539" s="630"/>
      <c r="F4539" s="630"/>
      <c r="G4539" s="630"/>
    </row>
    <row r="4540" spans="1:7" ht="18.75" x14ac:dyDescent="0.25">
      <c r="A4540" s="629" t="s">
        <v>3063</v>
      </c>
      <c r="B4540" s="630">
        <v>436</v>
      </c>
      <c r="C4540" s="631" t="str">
        <f t="shared" si="75"/>
        <v>Ô tô vận tải thùng 12 tấn436</v>
      </c>
      <c r="D4540" s="630"/>
      <c r="E4540" s="630"/>
      <c r="F4540" s="630"/>
      <c r="G4540" s="630"/>
    </row>
    <row r="4541" spans="1:7" ht="18.75" x14ac:dyDescent="0.25">
      <c r="A4541" s="629" t="s">
        <v>3063</v>
      </c>
      <c r="B4541" s="630">
        <v>437</v>
      </c>
      <c r="C4541" s="631" t="str">
        <f t="shared" si="75"/>
        <v>Ô tô vận tải thùng 12 tấn437</v>
      </c>
      <c r="D4541" s="630"/>
      <c r="E4541" s="630"/>
      <c r="F4541" s="630"/>
      <c r="G4541" s="630"/>
    </row>
    <row r="4542" spans="1:7" ht="18.75" x14ac:dyDescent="0.25">
      <c r="A4542" s="629" t="s">
        <v>3063</v>
      </c>
      <c r="B4542" s="630">
        <v>438</v>
      </c>
      <c r="C4542" s="631" t="str">
        <f t="shared" si="75"/>
        <v>Ô tô vận tải thùng 12 tấn438</v>
      </c>
      <c r="D4542" s="630"/>
      <c r="E4542" s="630"/>
      <c r="F4542" s="630"/>
      <c r="G4542" s="630"/>
    </row>
    <row r="4543" spans="1:7" ht="18.75" x14ac:dyDescent="0.25">
      <c r="A4543" s="629" t="s">
        <v>3063</v>
      </c>
      <c r="B4543" s="630">
        <v>439</v>
      </c>
      <c r="C4543" s="631" t="str">
        <f t="shared" si="75"/>
        <v>Ô tô vận tải thùng 12 tấn439</v>
      </c>
      <c r="D4543" s="630"/>
      <c r="E4543" s="630"/>
      <c r="F4543" s="630"/>
      <c r="G4543" s="630"/>
    </row>
    <row r="4544" spans="1:7" ht="18.75" x14ac:dyDescent="0.25">
      <c r="A4544" s="629" t="s">
        <v>3063</v>
      </c>
      <c r="B4544" s="630">
        <v>440</v>
      </c>
      <c r="C4544" s="631" t="str">
        <f t="shared" si="75"/>
        <v>Ô tô vận tải thùng 12 tấn440</v>
      </c>
      <c r="D4544" s="630"/>
      <c r="E4544" s="630"/>
      <c r="F4544" s="630"/>
      <c r="G4544" s="630"/>
    </row>
    <row r="4545" spans="1:7" ht="18.75" x14ac:dyDescent="0.25">
      <c r="A4545" s="629" t="s">
        <v>3063</v>
      </c>
      <c r="B4545" s="630">
        <v>441</v>
      </c>
      <c r="C4545" s="631" t="str">
        <f t="shared" si="75"/>
        <v>Ô tô vận tải thùng 12 tấn441</v>
      </c>
      <c r="D4545" s="630"/>
      <c r="E4545" s="630"/>
      <c r="F4545" s="630"/>
      <c r="G4545" s="630"/>
    </row>
    <row r="4546" spans="1:7" ht="18.75" x14ac:dyDescent="0.25">
      <c r="A4546" s="629" t="s">
        <v>3063</v>
      </c>
      <c r="B4546" s="630">
        <v>442</v>
      </c>
      <c r="C4546" s="631" t="str">
        <f t="shared" si="75"/>
        <v>Ô tô vận tải thùng 12 tấn442</v>
      </c>
      <c r="D4546" s="630"/>
      <c r="E4546" s="630"/>
      <c r="F4546" s="630"/>
      <c r="G4546" s="630"/>
    </row>
    <row r="4547" spans="1:7" ht="18.75" x14ac:dyDescent="0.25">
      <c r="A4547" s="629" t="s">
        <v>3063</v>
      </c>
      <c r="B4547" s="630">
        <v>443</v>
      </c>
      <c r="C4547" s="631" t="str">
        <f t="shared" si="75"/>
        <v>Ô tô vận tải thùng 12 tấn443</v>
      </c>
      <c r="D4547" s="630"/>
      <c r="E4547" s="630"/>
      <c r="F4547" s="630"/>
      <c r="G4547" s="630"/>
    </row>
    <row r="4548" spans="1:7" ht="18.75" x14ac:dyDescent="0.25">
      <c r="A4548" s="629" t="s">
        <v>3063</v>
      </c>
      <c r="B4548" s="630">
        <v>444</v>
      </c>
      <c r="C4548" s="631" t="str">
        <f t="shared" si="75"/>
        <v>Ô tô vận tải thùng 12 tấn444</v>
      </c>
      <c r="D4548" s="630"/>
      <c r="E4548" s="630"/>
      <c r="F4548" s="630"/>
      <c r="G4548" s="630"/>
    </row>
    <row r="4549" spans="1:7" ht="18.75" x14ac:dyDescent="0.25">
      <c r="A4549" s="629" t="s">
        <v>3063</v>
      </c>
      <c r="B4549" s="630">
        <v>445</v>
      </c>
      <c r="C4549" s="631" t="str">
        <f t="shared" si="75"/>
        <v>Ô tô vận tải thùng 12 tấn445</v>
      </c>
      <c r="D4549" s="630"/>
      <c r="E4549" s="630"/>
      <c r="F4549" s="630"/>
      <c r="G4549" s="630"/>
    </row>
    <row r="4550" spans="1:7" ht="18.75" x14ac:dyDescent="0.25">
      <c r="A4550" s="629" t="s">
        <v>3063</v>
      </c>
      <c r="B4550" s="630">
        <v>446</v>
      </c>
      <c r="C4550" s="631" t="str">
        <f t="shared" si="75"/>
        <v>Ô tô vận tải thùng 12 tấn446</v>
      </c>
      <c r="D4550" s="630"/>
      <c r="E4550" s="630"/>
      <c r="F4550" s="630"/>
      <c r="G4550" s="630"/>
    </row>
    <row r="4551" spans="1:7" ht="18.75" x14ac:dyDescent="0.25">
      <c r="A4551" s="629" t="s">
        <v>3063</v>
      </c>
      <c r="B4551" s="630">
        <v>447</v>
      </c>
      <c r="C4551" s="631" t="str">
        <f t="shared" si="75"/>
        <v>Ô tô vận tải thùng 12 tấn447</v>
      </c>
      <c r="D4551" s="630"/>
      <c r="E4551" s="630"/>
      <c r="F4551" s="630"/>
      <c r="G4551" s="630"/>
    </row>
    <row r="4552" spans="1:7" ht="18.75" x14ac:dyDescent="0.25">
      <c r="A4552" s="629" t="s">
        <v>3063</v>
      </c>
      <c r="B4552" s="630">
        <v>448</v>
      </c>
      <c r="C4552" s="631" t="str">
        <f t="shared" si="75"/>
        <v>Ô tô vận tải thùng 12 tấn448</v>
      </c>
      <c r="D4552" s="630"/>
      <c r="E4552" s="630"/>
      <c r="F4552" s="630"/>
      <c r="G4552" s="630"/>
    </row>
    <row r="4553" spans="1:7" ht="18.75" x14ac:dyDescent="0.25">
      <c r="A4553" s="629" t="s">
        <v>3063</v>
      </c>
      <c r="B4553" s="630">
        <v>449</v>
      </c>
      <c r="C4553" s="631" t="str">
        <f t="shared" si="75"/>
        <v>Ô tô vận tải thùng 12 tấn449</v>
      </c>
      <c r="D4553" s="630"/>
      <c r="E4553" s="630"/>
      <c r="F4553" s="630"/>
      <c r="G4553" s="630"/>
    </row>
    <row r="4554" spans="1:7" ht="18.75" x14ac:dyDescent="0.25">
      <c r="A4554" s="629" t="s">
        <v>3063</v>
      </c>
      <c r="B4554" s="630">
        <v>450</v>
      </c>
      <c r="C4554" s="631" t="str">
        <f t="shared" ref="C4554:C4604" si="76">A4554&amp;B4554</f>
        <v>Ô tô vận tải thùng 12 tấn450</v>
      </c>
      <c r="D4554" s="630"/>
      <c r="E4554" s="630"/>
      <c r="F4554" s="630"/>
      <c r="G4554" s="630"/>
    </row>
    <row r="4555" spans="1:7" ht="18.75" x14ac:dyDescent="0.25">
      <c r="A4555" s="629" t="s">
        <v>3063</v>
      </c>
      <c r="B4555" s="630">
        <v>451</v>
      </c>
      <c r="C4555" s="631" t="str">
        <f t="shared" si="76"/>
        <v>Ô tô vận tải thùng 12 tấn451</v>
      </c>
      <c r="D4555" s="630"/>
      <c r="E4555" s="630"/>
      <c r="F4555" s="630"/>
      <c r="G4555" s="630"/>
    </row>
    <row r="4556" spans="1:7" ht="18.75" x14ac:dyDescent="0.25">
      <c r="A4556" s="629" t="s">
        <v>3063</v>
      </c>
      <c r="B4556" s="630">
        <v>452</v>
      </c>
      <c r="C4556" s="631" t="str">
        <f t="shared" si="76"/>
        <v>Ô tô vận tải thùng 12 tấn452</v>
      </c>
      <c r="D4556" s="630"/>
      <c r="E4556" s="630"/>
      <c r="F4556" s="630"/>
      <c r="G4556" s="630"/>
    </row>
    <row r="4557" spans="1:7" ht="18.75" x14ac:dyDescent="0.25">
      <c r="A4557" s="629" t="s">
        <v>3063</v>
      </c>
      <c r="B4557" s="630">
        <v>453</v>
      </c>
      <c r="C4557" s="631" t="str">
        <f t="shared" si="76"/>
        <v>Ô tô vận tải thùng 12 tấn453</v>
      </c>
      <c r="D4557" s="630"/>
      <c r="E4557" s="630"/>
      <c r="F4557" s="630"/>
      <c r="G4557" s="630"/>
    </row>
    <row r="4558" spans="1:7" ht="18.75" x14ac:dyDescent="0.25">
      <c r="A4558" s="629" t="s">
        <v>3063</v>
      </c>
      <c r="B4558" s="630">
        <v>454</v>
      </c>
      <c r="C4558" s="631" t="str">
        <f t="shared" si="76"/>
        <v>Ô tô vận tải thùng 12 tấn454</v>
      </c>
      <c r="D4558" s="630"/>
      <c r="E4558" s="630"/>
      <c r="F4558" s="630"/>
      <c r="G4558" s="630"/>
    </row>
    <row r="4559" spans="1:7" ht="18.75" x14ac:dyDescent="0.25">
      <c r="A4559" s="629" t="s">
        <v>3063</v>
      </c>
      <c r="B4559" s="630">
        <v>455</v>
      </c>
      <c r="C4559" s="631" t="str">
        <f t="shared" si="76"/>
        <v>Ô tô vận tải thùng 12 tấn455</v>
      </c>
      <c r="D4559" s="630"/>
      <c r="E4559" s="630"/>
      <c r="F4559" s="630"/>
      <c r="G4559" s="630"/>
    </row>
    <row r="4560" spans="1:7" ht="18.75" x14ac:dyDescent="0.25">
      <c r="A4560" s="629" t="s">
        <v>3063</v>
      </c>
      <c r="B4560" s="630">
        <v>456</v>
      </c>
      <c r="C4560" s="631" t="str">
        <f t="shared" si="76"/>
        <v>Ô tô vận tải thùng 12 tấn456</v>
      </c>
      <c r="D4560" s="630"/>
      <c r="E4560" s="630"/>
      <c r="F4560" s="630"/>
      <c r="G4560" s="630"/>
    </row>
    <row r="4561" spans="1:7" ht="18.75" x14ac:dyDescent="0.25">
      <c r="A4561" s="629" t="s">
        <v>3063</v>
      </c>
      <c r="B4561" s="630">
        <v>457</v>
      </c>
      <c r="C4561" s="631" t="str">
        <f t="shared" si="76"/>
        <v>Ô tô vận tải thùng 12 tấn457</v>
      </c>
      <c r="D4561" s="630"/>
      <c r="E4561" s="630"/>
      <c r="F4561" s="630"/>
      <c r="G4561" s="630"/>
    </row>
    <row r="4562" spans="1:7" ht="18.75" x14ac:dyDescent="0.25">
      <c r="A4562" s="629" t="s">
        <v>3063</v>
      </c>
      <c r="B4562" s="630">
        <v>458</v>
      </c>
      <c r="C4562" s="631" t="str">
        <f t="shared" si="76"/>
        <v>Ô tô vận tải thùng 12 tấn458</v>
      </c>
      <c r="D4562" s="630"/>
      <c r="E4562" s="630"/>
      <c r="F4562" s="630"/>
      <c r="G4562" s="630"/>
    </row>
    <row r="4563" spans="1:7" ht="18.75" x14ac:dyDescent="0.25">
      <c r="A4563" s="629" t="s">
        <v>3063</v>
      </c>
      <c r="B4563" s="630">
        <v>459</v>
      </c>
      <c r="C4563" s="631" t="str">
        <f t="shared" si="76"/>
        <v>Ô tô vận tải thùng 12 tấn459</v>
      </c>
      <c r="D4563" s="630"/>
      <c r="E4563" s="630"/>
      <c r="F4563" s="630"/>
      <c r="G4563" s="630"/>
    </row>
    <row r="4564" spans="1:7" ht="18.75" x14ac:dyDescent="0.25">
      <c r="A4564" s="629" t="s">
        <v>3063</v>
      </c>
      <c r="B4564" s="630">
        <v>460</v>
      </c>
      <c r="C4564" s="631" t="str">
        <f t="shared" si="76"/>
        <v>Ô tô vận tải thùng 12 tấn460</v>
      </c>
      <c r="D4564" s="630"/>
      <c r="E4564" s="630"/>
      <c r="F4564" s="630"/>
      <c r="G4564" s="630"/>
    </row>
    <row r="4565" spans="1:7" ht="18.75" x14ac:dyDescent="0.25">
      <c r="A4565" s="629" t="s">
        <v>3063</v>
      </c>
      <c r="B4565" s="630">
        <v>461</v>
      </c>
      <c r="C4565" s="631" t="str">
        <f t="shared" si="76"/>
        <v>Ô tô vận tải thùng 12 tấn461</v>
      </c>
      <c r="D4565" s="630"/>
      <c r="E4565" s="630"/>
      <c r="F4565" s="630"/>
      <c r="G4565" s="630"/>
    </row>
    <row r="4566" spans="1:7" ht="18.75" x14ac:dyDescent="0.25">
      <c r="A4566" s="629" t="s">
        <v>3063</v>
      </c>
      <c r="B4566" s="630">
        <v>462</v>
      </c>
      <c r="C4566" s="631" t="str">
        <f t="shared" si="76"/>
        <v>Ô tô vận tải thùng 12 tấn462</v>
      </c>
      <c r="D4566" s="630"/>
      <c r="E4566" s="630"/>
      <c r="F4566" s="630"/>
      <c r="G4566" s="630"/>
    </row>
    <row r="4567" spans="1:7" ht="18.75" x14ac:dyDescent="0.25">
      <c r="A4567" s="629" t="s">
        <v>3063</v>
      </c>
      <c r="B4567" s="630">
        <v>463</v>
      </c>
      <c r="C4567" s="631" t="str">
        <f t="shared" si="76"/>
        <v>Ô tô vận tải thùng 12 tấn463</v>
      </c>
      <c r="D4567" s="630"/>
      <c r="E4567" s="630"/>
      <c r="F4567" s="630"/>
      <c r="G4567" s="630"/>
    </row>
    <row r="4568" spans="1:7" ht="18.75" x14ac:dyDescent="0.25">
      <c r="A4568" s="629" t="s">
        <v>3063</v>
      </c>
      <c r="B4568" s="630">
        <v>464</v>
      </c>
      <c r="C4568" s="631" t="str">
        <f t="shared" si="76"/>
        <v>Ô tô vận tải thùng 12 tấn464</v>
      </c>
      <c r="D4568" s="630"/>
      <c r="E4568" s="630"/>
      <c r="F4568" s="630"/>
      <c r="G4568" s="630"/>
    </row>
    <row r="4569" spans="1:7" ht="18.75" x14ac:dyDescent="0.25">
      <c r="A4569" s="629" t="s">
        <v>3063</v>
      </c>
      <c r="B4569" s="630">
        <v>465</v>
      </c>
      <c r="C4569" s="631" t="str">
        <f t="shared" si="76"/>
        <v>Ô tô vận tải thùng 12 tấn465</v>
      </c>
      <c r="D4569" s="630"/>
      <c r="E4569" s="630"/>
      <c r="F4569" s="630"/>
      <c r="G4569" s="630"/>
    </row>
    <row r="4570" spans="1:7" ht="18.75" x14ac:dyDescent="0.25">
      <c r="A4570" s="629" t="s">
        <v>3063</v>
      </c>
      <c r="B4570" s="630">
        <v>466</v>
      </c>
      <c r="C4570" s="631" t="str">
        <f t="shared" si="76"/>
        <v>Ô tô vận tải thùng 12 tấn466</v>
      </c>
      <c r="D4570" s="630"/>
      <c r="E4570" s="630"/>
      <c r="F4570" s="630"/>
      <c r="G4570" s="630"/>
    </row>
    <row r="4571" spans="1:7" ht="18.75" x14ac:dyDescent="0.25">
      <c r="A4571" s="629" t="s">
        <v>3063</v>
      </c>
      <c r="B4571" s="630">
        <v>467</v>
      </c>
      <c r="C4571" s="631" t="str">
        <f t="shared" si="76"/>
        <v>Ô tô vận tải thùng 12 tấn467</v>
      </c>
      <c r="D4571" s="630"/>
      <c r="E4571" s="630"/>
      <c r="F4571" s="630"/>
      <c r="G4571" s="630"/>
    </row>
    <row r="4572" spans="1:7" ht="18.75" x14ac:dyDescent="0.25">
      <c r="A4572" s="629" t="s">
        <v>3063</v>
      </c>
      <c r="B4572" s="630">
        <v>468</v>
      </c>
      <c r="C4572" s="631" t="str">
        <f t="shared" si="76"/>
        <v>Ô tô vận tải thùng 12 tấn468</v>
      </c>
      <c r="D4572" s="630"/>
      <c r="E4572" s="630"/>
      <c r="F4572" s="630"/>
      <c r="G4572" s="630"/>
    </row>
    <row r="4573" spans="1:7" ht="18.75" x14ac:dyDescent="0.25">
      <c r="A4573" s="629" t="s">
        <v>3063</v>
      </c>
      <c r="B4573" s="630">
        <v>469</v>
      </c>
      <c r="C4573" s="631" t="str">
        <f t="shared" si="76"/>
        <v>Ô tô vận tải thùng 12 tấn469</v>
      </c>
      <c r="D4573" s="630"/>
      <c r="E4573" s="630"/>
      <c r="F4573" s="630"/>
      <c r="G4573" s="630"/>
    </row>
    <row r="4574" spans="1:7" ht="18.75" x14ac:dyDescent="0.25">
      <c r="A4574" s="629" t="s">
        <v>3063</v>
      </c>
      <c r="B4574" s="630">
        <v>470</v>
      </c>
      <c r="C4574" s="631" t="str">
        <f t="shared" si="76"/>
        <v>Ô tô vận tải thùng 12 tấn470</v>
      </c>
      <c r="D4574" s="630"/>
      <c r="E4574" s="630"/>
      <c r="F4574" s="630"/>
      <c r="G4574" s="630"/>
    </row>
    <row r="4575" spans="1:7" ht="18.75" x14ac:dyDescent="0.25">
      <c r="A4575" s="629" t="s">
        <v>3063</v>
      </c>
      <c r="B4575" s="630">
        <v>471</v>
      </c>
      <c r="C4575" s="631" t="str">
        <f t="shared" si="76"/>
        <v>Ô tô vận tải thùng 12 tấn471</v>
      </c>
      <c r="D4575" s="630"/>
      <c r="E4575" s="630"/>
      <c r="F4575" s="630"/>
      <c r="G4575" s="630"/>
    </row>
    <row r="4576" spans="1:7" ht="18.75" x14ac:dyDescent="0.25">
      <c r="A4576" s="629" t="s">
        <v>3063</v>
      </c>
      <c r="B4576" s="630">
        <v>472</v>
      </c>
      <c r="C4576" s="631" t="str">
        <f t="shared" si="76"/>
        <v>Ô tô vận tải thùng 12 tấn472</v>
      </c>
      <c r="D4576" s="630"/>
      <c r="E4576" s="630"/>
      <c r="F4576" s="630"/>
      <c r="G4576" s="630"/>
    </row>
    <row r="4577" spans="1:7" ht="18.75" x14ac:dyDescent="0.25">
      <c r="A4577" s="629" t="s">
        <v>3063</v>
      </c>
      <c r="B4577" s="630">
        <v>473</v>
      </c>
      <c r="C4577" s="631" t="str">
        <f t="shared" si="76"/>
        <v>Ô tô vận tải thùng 12 tấn473</v>
      </c>
      <c r="D4577" s="630"/>
      <c r="E4577" s="630"/>
      <c r="F4577" s="630"/>
      <c r="G4577" s="630"/>
    </row>
    <row r="4578" spans="1:7" ht="18.75" x14ac:dyDescent="0.25">
      <c r="A4578" s="629" t="s">
        <v>3063</v>
      </c>
      <c r="B4578" s="630">
        <v>474</v>
      </c>
      <c r="C4578" s="631" t="str">
        <f t="shared" si="76"/>
        <v>Ô tô vận tải thùng 12 tấn474</v>
      </c>
      <c r="D4578" s="630"/>
      <c r="E4578" s="630"/>
      <c r="F4578" s="630"/>
      <c r="G4578" s="630"/>
    </row>
    <row r="4579" spans="1:7" ht="18.75" x14ac:dyDescent="0.25">
      <c r="A4579" s="629" t="s">
        <v>3063</v>
      </c>
      <c r="B4579" s="630">
        <v>475</v>
      </c>
      <c r="C4579" s="631" t="str">
        <f t="shared" si="76"/>
        <v>Ô tô vận tải thùng 12 tấn475</v>
      </c>
      <c r="D4579" s="630"/>
      <c r="E4579" s="630"/>
      <c r="F4579" s="630"/>
      <c r="G4579" s="630"/>
    </row>
    <row r="4580" spans="1:7" ht="18.75" x14ac:dyDescent="0.25">
      <c r="A4580" s="629" t="s">
        <v>3063</v>
      </c>
      <c r="B4580" s="630">
        <v>476</v>
      </c>
      <c r="C4580" s="631" t="str">
        <f t="shared" si="76"/>
        <v>Ô tô vận tải thùng 12 tấn476</v>
      </c>
      <c r="D4580" s="630"/>
      <c r="E4580" s="630"/>
      <c r="F4580" s="630"/>
      <c r="G4580" s="630"/>
    </row>
    <row r="4581" spans="1:7" ht="18.75" x14ac:dyDescent="0.25">
      <c r="A4581" s="629" t="s">
        <v>3063</v>
      </c>
      <c r="B4581" s="630">
        <v>477</v>
      </c>
      <c r="C4581" s="631" t="str">
        <f t="shared" si="76"/>
        <v>Ô tô vận tải thùng 12 tấn477</v>
      </c>
      <c r="D4581" s="630"/>
      <c r="E4581" s="630"/>
      <c r="F4581" s="630"/>
      <c r="G4581" s="630"/>
    </row>
    <row r="4582" spans="1:7" ht="18.75" x14ac:dyDescent="0.25">
      <c r="A4582" s="629" t="s">
        <v>3063</v>
      </c>
      <c r="B4582" s="630">
        <v>478</v>
      </c>
      <c r="C4582" s="631" t="str">
        <f t="shared" si="76"/>
        <v>Ô tô vận tải thùng 12 tấn478</v>
      </c>
      <c r="D4582" s="630"/>
      <c r="E4582" s="630"/>
      <c r="F4582" s="630"/>
      <c r="G4582" s="630"/>
    </row>
    <row r="4583" spans="1:7" ht="18.75" x14ac:dyDescent="0.25">
      <c r="A4583" s="629" t="s">
        <v>3063</v>
      </c>
      <c r="B4583" s="630">
        <v>479</v>
      </c>
      <c r="C4583" s="631" t="str">
        <f t="shared" si="76"/>
        <v>Ô tô vận tải thùng 12 tấn479</v>
      </c>
      <c r="D4583" s="630"/>
      <c r="E4583" s="630"/>
      <c r="F4583" s="630"/>
      <c r="G4583" s="630"/>
    </row>
    <row r="4584" spans="1:7" ht="18.75" x14ac:dyDescent="0.25">
      <c r="A4584" s="629" t="s">
        <v>3063</v>
      </c>
      <c r="B4584" s="630">
        <v>480</v>
      </c>
      <c r="C4584" s="631" t="str">
        <f t="shared" si="76"/>
        <v>Ô tô vận tải thùng 12 tấn480</v>
      </c>
      <c r="D4584" s="630"/>
      <c r="E4584" s="630"/>
      <c r="F4584" s="630"/>
      <c r="G4584" s="630"/>
    </row>
    <row r="4585" spans="1:7" ht="18.75" x14ac:dyDescent="0.25">
      <c r="A4585" s="629" t="s">
        <v>3063</v>
      </c>
      <c r="B4585" s="630">
        <v>481</v>
      </c>
      <c r="C4585" s="631" t="str">
        <f t="shared" si="76"/>
        <v>Ô tô vận tải thùng 12 tấn481</v>
      </c>
      <c r="D4585" s="630"/>
      <c r="E4585" s="630"/>
      <c r="F4585" s="630"/>
      <c r="G4585" s="630"/>
    </row>
    <row r="4586" spans="1:7" ht="18.75" x14ac:dyDescent="0.25">
      <c r="A4586" s="629" t="s">
        <v>3063</v>
      </c>
      <c r="B4586" s="630">
        <v>482</v>
      </c>
      <c r="C4586" s="631" t="str">
        <f t="shared" si="76"/>
        <v>Ô tô vận tải thùng 12 tấn482</v>
      </c>
      <c r="D4586" s="630"/>
      <c r="E4586" s="630"/>
      <c r="F4586" s="630"/>
      <c r="G4586" s="630"/>
    </row>
    <row r="4587" spans="1:7" ht="18.75" x14ac:dyDescent="0.25">
      <c r="A4587" s="629" t="s">
        <v>3063</v>
      </c>
      <c r="B4587" s="630">
        <v>483</v>
      </c>
      <c r="C4587" s="631" t="str">
        <f t="shared" si="76"/>
        <v>Ô tô vận tải thùng 12 tấn483</v>
      </c>
      <c r="D4587" s="630"/>
      <c r="E4587" s="630"/>
      <c r="F4587" s="630"/>
      <c r="G4587" s="630"/>
    </row>
    <row r="4588" spans="1:7" ht="18.75" x14ac:dyDescent="0.25">
      <c r="A4588" s="629" t="s">
        <v>3063</v>
      </c>
      <c r="B4588" s="630">
        <v>484</v>
      </c>
      <c r="C4588" s="631" t="str">
        <f t="shared" si="76"/>
        <v>Ô tô vận tải thùng 12 tấn484</v>
      </c>
      <c r="D4588" s="630"/>
      <c r="E4588" s="630"/>
      <c r="F4588" s="630"/>
      <c r="G4588" s="630"/>
    </row>
    <row r="4589" spans="1:7" ht="18.75" x14ac:dyDescent="0.25">
      <c r="A4589" s="629" t="s">
        <v>3063</v>
      </c>
      <c r="B4589" s="630">
        <v>485</v>
      </c>
      <c r="C4589" s="631" t="str">
        <f t="shared" si="76"/>
        <v>Ô tô vận tải thùng 12 tấn485</v>
      </c>
      <c r="D4589" s="630"/>
      <c r="E4589" s="630"/>
      <c r="F4589" s="630"/>
      <c r="G4589" s="630"/>
    </row>
    <row r="4590" spans="1:7" ht="18.75" x14ac:dyDescent="0.25">
      <c r="A4590" s="629" t="s">
        <v>3063</v>
      </c>
      <c r="B4590" s="630">
        <v>486</v>
      </c>
      <c r="C4590" s="631" t="str">
        <f t="shared" si="76"/>
        <v>Ô tô vận tải thùng 12 tấn486</v>
      </c>
      <c r="D4590" s="630"/>
      <c r="E4590" s="630"/>
      <c r="F4590" s="630"/>
      <c r="G4590" s="630"/>
    </row>
    <row r="4591" spans="1:7" ht="18.75" x14ac:dyDescent="0.25">
      <c r="A4591" s="629" t="s">
        <v>3063</v>
      </c>
      <c r="B4591" s="630">
        <v>487</v>
      </c>
      <c r="C4591" s="631" t="str">
        <f t="shared" si="76"/>
        <v>Ô tô vận tải thùng 12 tấn487</v>
      </c>
      <c r="D4591" s="630"/>
      <c r="E4591" s="630"/>
      <c r="F4591" s="630"/>
      <c r="G4591" s="630"/>
    </row>
    <row r="4592" spans="1:7" ht="18.75" x14ac:dyDescent="0.25">
      <c r="A4592" s="629" t="s">
        <v>3063</v>
      </c>
      <c r="B4592" s="630">
        <v>488</v>
      </c>
      <c r="C4592" s="631" t="str">
        <f t="shared" si="76"/>
        <v>Ô tô vận tải thùng 12 tấn488</v>
      </c>
      <c r="D4592" s="630"/>
      <c r="E4592" s="630"/>
      <c r="F4592" s="630"/>
      <c r="G4592" s="630"/>
    </row>
    <row r="4593" spans="1:7" ht="18.75" x14ac:dyDescent="0.25">
      <c r="A4593" s="629" t="s">
        <v>3063</v>
      </c>
      <c r="B4593" s="630">
        <v>489</v>
      </c>
      <c r="C4593" s="631" t="str">
        <f t="shared" si="76"/>
        <v>Ô tô vận tải thùng 12 tấn489</v>
      </c>
      <c r="D4593" s="630"/>
      <c r="E4593" s="630"/>
      <c r="F4593" s="630"/>
      <c r="G4593" s="630"/>
    </row>
    <row r="4594" spans="1:7" ht="18.75" x14ac:dyDescent="0.25">
      <c r="A4594" s="629" t="s">
        <v>3063</v>
      </c>
      <c r="B4594" s="630">
        <v>490</v>
      </c>
      <c r="C4594" s="631" t="str">
        <f t="shared" si="76"/>
        <v>Ô tô vận tải thùng 12 tấn490</v>
      </c>
      <c r="D4594" s="630"/>
      <c r="E4594" s="630"/>
      <c r="F4594" s="630"/>
      <c r="G4594" s="630"/>
    </row>
    <row r="4595" spans="1:7" ht="18.75" x14ac:dyDescent="0.25">
      <c r="A4595" s="629" t="s">
        <v>3063</v>
      </c>
      <c r="B4595" s="630">
        <v>491</v>
      </c>
      <c r="C4595" s="631" t="str">
        <f t="shared" si="76"/>
        <v>Ô tô vận tải thùng 12 tấn491</v>
      </c>
      <c r="D4595" s="630"/>
      <c r="E4595" s="630"/>
      <c r="F4595" s="630"/>
      <c r="G4595" s="630"/>
    </row>
    <row r="4596" spans="1:7" ht="18.75" x14ac:dyDescent="0.25">
      <c r="A4596" s="629" t="s">
        <v>3063</v>
      </c>
      <c r="B4596" s="630">
        <v>492</v>
      </c>
      <c r="C4596" s="631" t="str">
        <f t="shared" si="76"/>
        <v>Ô tô vận tải thùng 12 tấn492</v>
      </c>
      <c r="D4596" s="630"/>
      <c r="E4596" s="630"/>
      <c r="F4596" s="630"/>
      <c r="G4596" s="630"/>
    </row>
    <row r="4597" spans="1:7" ht="18.75" x14ac:dyDescent="0.25">
      <c r="A4597" s="629" t="s">
        <v>3063</v>
      </c>
      <c r="B4597" s="630">
        <v>493</v>
      </c>
      <c r="C4597" s="631" t="str">
        <f t="shared" si="76"/>
        <v>Ô tô vận tải thùng 12 tấn493</v>
      </c>
      <c r="D4597" s="630"/>
      <c r="E4597" s="630"/>
      <c r="F4597" s="630"/>
      <c r="G4597" s="630"/>
    </row>
    <row r="4598" spans="1:7" ht="18.75" x14ac:dyDescent="0.25">
      <c r="A4598" s="629" t="s">
        <v>3063</v>
      </c>
      <c r="B4598" s="630">
        <v>494</v>
      </c>
      <c r="C4598" s="631" t="str">
        <f t="shared" si="76"/>
        <v>Ô tô vận tải thùng 12 tấn494</v>
      </c>
      <c r="D4598" s="630"/>
      <c r="E4598" s="630"/>
      <c r="F4598" s="630"/>
      <c r="G4598" s="630"/>
    </row>
    <row r="4599" spans="1:7" ht="18.75" x14ac:dyDescent="0.25">
      <c r="A4599" s="629" t="s">
        <v>3063</v>
      </c>
      <c r="B4599" s="630">
        <v>495</v>
      </c>
      <c r="C4599" s="631" t="str">
        <f t="shared" si="76"/>
        <v>Ô tô vận tải thùng 12 tấn495</v>
      </c>
      <c r="D4599" s="630"/>
      <c r="E4599" s="630"/>
      <c r="F4599" s="630"/>
      <c r="G4599" s="630"/>
    </row>
    <row r="4600" spans="1:7" ht="18.75" x14ac:dyDescent="0.25">
      <c r="A4600" s="629" t="s">
        <v>3063</v>
      </c>
      <c r="B4600" s="630">
        <v>496</v>
      </c>
      <c r="C4600" s="631" t="str">
        <f t="shared" si="76"/>
        <v>Ô tô vận tải thùng 12 tấn496</v>
      </c>
      <c r="D4600" s="630"/>
      <c r="E4600" s="630"/>
      <c r="F4600" s="630"/>
      <c r="G4600" s="630"/>
    </row>
    <row r="4601" spans="1:7" ht="18.75" x14ac:dyDescent="0.25">
      <c r="A4601" s="629" t="s">
        <v>3063</v>
      </c>
      <c r="B4601" s="630">
        <v>497</v>
      </c>
      <c r="C4601" s="631" t="str">
        <f t="shared" si="76"/>
        <v>Ô tô vận tải thùng 12 tấn497</v>
      </c>
      <c r="D4601" s="630"/>
      <c r="E4601" s="630"/>
      <c r="F4601" s="630"/>
      <c r="G4601" s="630"/>
    </row>
    <row r="4602" spans="1:7" ht="18.75" x14ac:dyDescent="0.25">
      <c r="A4602" s="629" t="s">
        <v>3063</v>
      </c>
      <c r="B4602" s="630">
        <v>498</v>
      </c>
      <c r="C4602" s="631" t="str">
        <f t="shared" si="76"/>
        <v>Ô tô vận tải thùng 12 tấn498</v>
      </c>
      <c r="D4602" s="630"/>
      <c r="E4602" s="630"/>
      <c r="F4602" s="630"/>
      <c r="G4602" s="630"/>
    </row>
    <row r="4603" spans="1:7" ht="18.75" x14ac:dyDescent="0.25">
      <c r="A4603" s="629" t="s">
        <v>3063</v>
      </c>
      <c r="B4603" s="630">
        <v>499</v>
      </c>
      <c r="C4603" s="631" t="str">
        <f t="shared" si="76"/>
        <v>Ô tô vận tải thùng 12 tấn499</v>
      </c>
      <c r="D4603" s="630"/>
      <c r="E4603" s="630"/>
      <c r="F4603" s="630"/>
      <c r="G4603" s="630"/>
    </row>
    <row r="4604" spans="1:7" ht="18.75" x14ac:dyDescent="0.25">
      <c r="A4604" s="629" t="s">
        <v>3063</v>
      </c>
      <c r="B4604" s="630">
        <v>500</v>
      </c>
      <c r="C4604" s="631" t="str">
        <f t="shared" si="76"/>
        <v>Ô tô vận tải thùng 12 tấn500</v>
      </c>
      <c r="D4604" s="630"/>
      <c r="E4604" s="630"/>
      <c r="F4604" s="630"/>
      <c r="G4604" s="630"/>
    </row>
    <row r="4605" spans="1:7" ht="18.75" x14ac:dyDescent="0.25">
      <c r="A4605" s="629" t="s">
        <v>3061</v>
      </c>
      <c r="B4605" s="630">
        <v>1</v>
      </c>
      <c r="C4605" s="631" t="str">
        <f>A4605&amp;B4605</f>
        <v>Ô tô vận tải thùng 15 tấn1</v>
      </c>
      <c r="D4605" s="633"/>
      <c r="E4605" s="633"/>
      <c r="F4605" s="633">
        <v>0.25</v>
      </c>
      <c r="G4605" s="633">
        <v>0.24</v>
      </c>
    </row>
    <row r="4606" spans="1:7" ht="18.75" x14ac:dyDescent="0.25">
      <c r="A4606" s="629" t="s">
        <v>3061</v>
      </c>
      <c r="B4606" s="630">
        <v>2</v>
      </c>
      <c r="C4606" s="631" t="str">
        <f t="shared" ref="C4606:C4669" si="77">A4606&amp;B4606</f>
        <v>Ô tô vận tải thùng 15 tấn2</v>
      </c>
      <c r="D4606" s="633"/>
      <c r="E4606" s="633"/>
      <c r="F4606" s="633">
        <v>0.12</v>
      </c>
      <c r="G4606" s="633">
        <v>0.11</v>
      </c>
    </row>
    <row r="4607" spans="1:7" ht="18.75" x14ac:dyDescent="0.25">
      <c r="A4607" s="629" t="s">
        <v>3061</v>
      </c>
      <c r="B4607" s="630">
        <v>3</v>
      </c>
      <c r="C4607" s="631" t="str">
        <f t="shared" si="77"/>
        <v>Ô tô vận tải thùng 15 tấn3</v>
      </c>
      <c r="D4607" s="633"/>
      <c r="E4607" s="633"/>
      <c r="F4607" s="633">
        <v>0.12</v>
      </c>
      <c r="G4607" s="633">
        <v>0.11</v>
      </c>
    </row>
    <row r="4608" spans="1:7" ht="18.75" x14ac:dyDescent="0.25">
      <c r="A4608" s="629" t="s">
        <v>3061</v>
      </c>
      <c r="B4608" s="630">
        <v>4</v>
      </c>
      <c r="C4608" s="631" t="str">
        <f t="shared" si="77"/>
        <v>Ô tô vận tải thùng 15 tấn4</v>
      </c>
      <c r="D4608" s="633"/>
      <c r="E4608" s="633"/>
      <c r="F4608" s="633">
        <v>0.12</v>
      </c>
      <c r="G4608" s="633">
        <v>0.11</v>
      </c>
    </row>
    <row r="4609" spans="1:7" ht="18.75" x14ac:dyDescent="0.25">
      <c r="A4609" s="629" t="s">
        <v>3061</v>
      </c>
      <c r="B4609" s="630">
        <v>5</v>
      </c>
      <c r="C4609" s="631" t="str">
        <f t="shared" si="77"/>
        <v>Ô tô vận tải thùng 15 tấn5</v>
      </c>
      <c r="D4609" s="633"/>
      <c r="E4609" s="633"/>
      <c r="F4609" s="633">
        <v>0.12</v>
      </c>
      <c r="G4609" s="633">
        <v>0.11</v>
      </c>
    </row>
    <row r="4610" spans="1:7" ht="18.75" x14ac:dyDescent="0.25">
      <c r="A4610" s="629" t="s">
        <v>3061</v>
      </c>
      <c r="B4610" s="630">
        <v>6</v>
      </c>
      <c r="C4610" s="631" t="str">
        <f t="shared" si="77"/>
        <v>Ô tô vận tải thùng 15 tấn6</v>
      </c>
      <c r="D4610" s="633"/>
      <c r="E4610" s="633"/>
      <c r="F4610" s="633">
        <v>0.1</v>
      </c>
      <c r="G4610" s="633">
        <v>0.09</v>
      </c>
    </row>
    <row r="4611" spans="1:7" ht="18.75" x14ac:dyDescent="0.25">
      <c r="A4611" s="629" t="s">
        <v>3061</v>
      </c>
      <c r="B4611" s="630">
        <v>7</v>
      </c>
      <c r="C4611" s="631" t="str">
        <f t="shared" si="77"/>
        <v>Ô tô vận tải thùng 15 tấn7</v>
      </c>
      <c r="D4611" s="633"/>
      <c r="E4611" s="633"/>
      <c r="F4611" s="633">
        <v>0.1</v>
      </c>
      <c r="G4611" s="633">
        <v>0.09</v>
      </c>
    </row>
    <row r="4612" spans="1:7" ht="18.75" x14ac:dyDescent="0.25">
      <c r="A4612" s="629" t="s">
        <v>3061</v>
      </c>
      <c r="B4612" s="630">
        <v>8</v>
      </c>
      <c r="C4612" s="631" t="str">
        <f t="shared" si="77"/>
        <v>Ô tô vận tải thùng 15 tấn8</v>
      </c>
      <c r="D4612" s="633"/>
      <c r="E4612" s="633"/>
      <c r="F4612" s="633">
        <v>0.1</v>
      </c>
      <c r="G4612" s="633">
        <v>0.09</v>
      </c>
    </row>
    <row r="4613" spans="1:7" ht="18.75" x14ac:dyDescent="0.25">
      <c r="A4613" s="629" t="s">
        <v>3061</v>
      </c>
      <c r="B4613" s="630">
        <v>9</v>
      </c>
      <c r="C4613" s="631" t="str">
        <f t="shared" si="77"/>
        <v>Ô tô vận tải thùng 15 tấn9</v>
      </c>
      <c r="D4613" s="633"/>
      <c r="E4613" s="633"/>
      <c r="F4613" s="633">
        <v>0.1</v>
      </c>
      <c r="G4613" s="633">
        <v>0.09</v>
      </c>
    </row>
    <row r="4614" spans="1:7" ht="18.75" x14ac:dyDescent="0.25">
      <c r="A4614" s="629" t="s">
        <v>3061</v>
      </c>
      <c r="B4614" s="630">
        <v>10</v>
      </c>
      <c r="C4614" s="631" t="str">
        <f t="shared" si="77"/>
        <v>Ô tô vận tải thùng 15 tấn10</v>
      </c>
      <c r="D4614" s="633"/>
      <c r="E4614" s="633"/>
      <c r="F4614" s="633">
        <v>0.1</v>
      </c>
      <c r="G4614" s="633">
        <v>0.09</v>
      </c>
    </row>
    <row r="4615" spans="1:7" ht="18.75" x14ac:dyDescent="0.25">
      <c r="A4615" s="629" t="s">
        <v>3061</v>
      </c>
      <c r="B4615" s="630">
        <v>11</v>
      </c>
      <c r="C4615" s="631" t="str">
        <f t="shared" si="77"/>
        <v>Ô tô vận tải thùng 15 tấn11</v>
      </c>
      <c r="D4615" s="633"/>
      <c r="E4615" s="633"/>
      <c r="F4615" s="633">
        <v>0.08</v>
      </c>
      <c r="G4615" s="633">
        <v>7.0000000000000007E-2</v>
      </c>
    </row>
    <row r="4616" spans="1:7" ht="18.75" x14ac:dyDescent="0.25">
      <c r="A4616" s="629" t="s">
        <v>3061</v>
      </c>
      <c r="B4616" s="630">
        <v>12</v>
      </c>
      <c r="C4616" s="631" t="str">
        <f t="shared" si="77"/>
        <v>Ô tô vận tải thùng 15 tấn12</v>
      </c>
      <c r="D4616" s="633"/>
      <c r="E4616" s="633"/>
      <c r="F4616" s="633">
        <v>0.08</v>
      </c>
      <c r="G4616" s="633">
        <v>7.0000000000000007E-2</v>
      </c>
    </row>
    <row r="4617" spans="1:7" ht="18.75" x14ac:dyDescent="0.25">
      <c r="A4617" s="629" t="s">
        <v>3061</v>
      </c>
      <c r="B4617" s="630">
        <v>13</v>
      </c>
      <c r="C4617" s="631" t="str">
        <f t="shared" si="77"/>
        <v>Ô tô vận tải thùng 15 tấn13</v>
      </c>
      <c r="D4617" s="633"/>
      <c r="E4617" s="633"/>
      <c r="F4617" s="633">
        <v>0.08</v>
      </c>
      <c r="G4617" s="633">
        <v>7.0000000000000007E-2</v>
      </c>
    </row>
    <row r="4618" spans="1:7" ht="18.75" x14ac:dyDescent="0.25">
      <c r="A4618" s="629" t="s">
        <v>3061</v>
      </c>
      <c r="B4618" s="630">
        <v>14</v>
      </c>
      <c r="C4618" s="631" t="str">
        <f t="shared" si="77"/>
        <v>Ô tô vận tải thùng 15 tấn14</v>
      </c>
      <c r="D4618" s="633"/>
      <c r="E4618" s="633"/>
      <c r="F4618" s="633">
        <v>0.08</v>
      </c>
      <c r="G4618" s="633">
        <v>7.0000000000000007E-2</v>
      </c>
    </row>
    <row r="4619" spans="1:7" ht="18.75" x14ac:dyDescent="0.25">
      <c r="A4619" s="629" t="s">
        <v>3061</v>
      </c>
      <c r="B4619" s="630">
        <v>15</v>
      </c>
      <c r="C4619" s="631" t="str">
        <f t="shared" si="77"/>
        <v>Ô tô vận tải thùng 15 tấn15</v>
      </c>
      <c r="D4619" s="633"/>
      <c r="E4619" s="633"/>
      <c r="F4619" s="633">
        <v>0.08</v>
      </c>
      <c r="G4619" s="633">
        <v>7.0000000000000007E-2</v>
      </c>
    </row>
    <row r="4620" spans="1:7" ht="18.75" x14ac:dyDescent="0.25">
      <c r="A4620" s="629" t="s">
        <v>3061</v>
      </c>
      <c r="B4620" s="630">
        <v>16</v>
      </c>
      <c r="C4620" s="631" t="str">
        <f t="shared" si="77"/>
        <v>Ô tô vận tải thùng 15 tấn16</v>
      </c>
      <c r="D4620" s="633"/>
      <c r="E4620" s="633"/>
      <c r="F4620" s="633">
        <v>7.0000000000000007E-2</v>
      </c>
      <c r="G4620" s="633">
        <v>0.06</v>
      </c>
    </row>
    <row r="4621" spans="1:7" ht="18.75" x14ac:dyDescent="0.25">
      <c r="A4621" s="629" t="s">
        <v>3061</v>
      </c>
      <c r="B4621" s="630">
        <v>17</v>
      </c>
      <c r="C4621" s="631" t="str">
        <f t="shared" si="77"/>
        <v>Ô tô vận tải thùng 15 tấn17</v>
      </c>
      <c r="D4621" s="633"/>
      <c r="E4621" s="633"/>
      <c r="F4621" s="633">
        <v>7.0000000000000007E-2</v>
      </c>
      <c r="G4621" s="633">
        <v>0.06</v>
      </c>
    </row>
    <row r="4622" spans="1:7" ht="18.75" x14ac:dyDescent="0.25">
      <c r="A4622" s="629" t="s">
        <v>3061</v>
      </c>
      <c r="B4622" s="630">
        <v>18</v>
      </c>
      <c r="C4622" s="631" t="str">
        <f t="shared" si="77"/>
        <v>Ô tô vận tải thùng 15 tấn18</v>
      </c>
      <c r="D4622" s="633"/>
      <c r="E4622" s="633"/>
      <c r="F4622" s="633">
        <v>7.0000000000000007E-2</v>
      </c>
      <c r="G4622" s="633">
        <v>0.06</v>
      </c>
    </row>
    <row r="4623" spans="1:7" ht="18.75" x14ac:dyDescent="0.25">
      <c r="A4623" s="629" t="s">
        <v>3061</v>
      </c>
      <c r="B4623" s="630">
        <v>19</v>
      </c>
      <c r="C4623" s="631" t="str">
        <f t="shared" si="77"/>
        <v>Ô tô vận tải thùng 15 tấn19</v>
      </c>
      <c r="D4623" s="633"/>
      <c r="E4623" s="633"/>
      <c r="F4623" s="633">
        <v>7.0000000000000007E-2</v>
      </c>
      <c r="G4623" s="633">
        <v>0.06</v>
      </c>
    </row>
    <row r="4624" spans="1:7" ht="18.75" x14ac:dyDescent="0.25">
      <c r="A4624" s="629" t="s">
        <v>3061</v>
      </c>
      <c r="B4624" s="630">
        <v>20</v>
      </c>
      <c r="C4624" s="631" t="str">
        <f t="shared" si="77"/>
        <v>Ô tô vận tải thùng 15 tấn20</v>
      </c>
      <c r="D4624" s="633"/>
      <c r="E4624" s="633"/>
      <c r="F4624" s="633">
        <v>7.0000000000000007E-2</v>
      </c>
      <c r="G4624" s="633">
        <v>0.06</v>
      </c>
    </row>
    <row r="4625" spans="1:7" ht="18.75" x14ac:dyDescent="0.25">
      <c r="A4625" s="629" t="s">
        <v>3061</v>
      </c>
      <c r="B4625" s="630">
        <v>21</v>
      </c>
      <c r="C4625" s="631" t="str">
        <f t="shared" si="77"/>
        <v>Ô tô vận tải thùng 15 tấn21</v>
      </c>
      <c r="D4625" s="630"/>
      <c r="E4625" s="630"/>
      <c r="F4625" s="630"/>
      <c r="G4625" s="630"/>
    </row>
    <row r="4626" spans="1:7" ht="18.75" x14ac:dyDescent="0.25">
      <c r="A4626" s="629" t="s">
        <v>3061</v>
      </c>
      <c r="B4626" s="630">
        <v>22</v>
      </c>
      <c r="C4626" s="631" t="str">
        <f t="shared" si="77"/>
        <v>Ô tô vận tải thùng 15 tấn22</v>
      </c>
      <c r="D4626" s="630"/>
      <c r="E4626" s="630"/>
      <c r="F4626" s="630"/>
      <c r="G4626" s="630"/>
    </row>
    <row r="4627" spans="1:7" ht="18.75" x14ac:dyDescent="0.25">
      <c r="A4627" s="629" t="s">
        <v>3061</v>
      </c>
      <c r="B4627" s="630">
        <v>23</v>
      </c>
      <c r="C4627" s="631" t="str">
        <f t="shared" si="77"/>
        <v>Ô tô vận tải thùng 15 tấn23</v>
      </c>
      <c r="D4627" s="630"/>
      <c r="E4627" s="630"/>
      <c r="F4627" s="630"/>
      <c r="G4627" s="630"/>
    </row>
    <row r="4628" spans="1:7" ht="18.75" x14ac:dyDescent="0.25">
      <c r="A4628" s="629" t="s">
        <v>3061</v>
      </c>
      <c r="B4628" s="630">
        <v>24</v>
      </c>
      <c r="C4628" s="631" t="str">
        <f t="shared" si="77"/>
        <v>Ô tô vận tải thùng 15 tấn24</v>
      </c>
      <c r="D4628" s="630"/>
      <c r="E4628" s="630"/>
      <c r="F4628" s="630"/>
      <c r="G4628" s="630"/>
    </row>
    <row r="4629" spans="1:7" ht="18.75" x14ac:dyDescent="0.25">
      <c r="A4629" s="629" t="s">
        <v>3061</v>
      </c>
      <c r="B4629" s="630">
        <v>25</v>
      </c>
      <c r="C4629" s="631" t="str">
        <f t="shared" si="77"/>
        <v>Ô tô vận tải thùng 15 tấn25</v>
      </c>
      <c r="D4629" s="630"/>
      <c r="E4629" s="630"/>
      <c r="F4629" s="630"/>
      <c r="G4629" s="630"/>
    </row>
    <row r="4630" spans="1:7" ht="18.75" x14ac:dyDescent="0.25">
      <c r="A4630" s="629" t="s">
        <v>3061</v>
      </c>
      <c r="B4630" s="630">
        <v>26</v>
      </c>
      <c r="C4630" s="631" t="str">
        <f t="shared" si="77"/>
        <v>Ô tô vận tải thùng 15 tấn26</v>
      </c>
      <c r="D4630" s="630"/>
      <c r="E4630" s="630"/>
      <c r="F4630" s="630"/>
      <c r="G4630" s="630"/>
    </row>
    <row r="4631" spans="1:7" ht="18.75" x14ac:dyDescent="0.25">
      <c r="A4631" s="629" t="s">
        <v>3061</v>
      </c>
      <c r="B4631" s="630">
        <v>27</v>
      </c>
      <c r="C4631" s="631" t="str">
        <f t="shared" si="77"/>
        <v>Ô tô vận tải thùng 15 tấn27</v>
      </c>
      <c r="D4631" s="630"/>
      <c r="E4631" s="630"/>
      <c r="F4631" s="630"/>
      <c r="G4631" s="630"/>
    </row>
    <row r="4632" spans="1:7" ht="18.75" x14ac:dyDescent="0.25">
      <c r="A4632" s="629" t="s">
        <v>3061</v>
      </c>
      <c r="B4632" s="630">
        <v>28</v>
      </c>
      <c r="C4632" s="631" t="str">
        <f t="shared" si="77"/>
        <v>Ô tô vận tải thùng 15 tấn28</v>
      </c>
      <c r="D4632" s="630"/>
      <c r="E4632" s="630"/>
      <c r="F4632" s="630"/>
      <c r="G4632" s="630"/>
    </row>
    <row r="4633" spans="1:7" ht="18.75" x14ac:dyDescent="0.25">
      <c r="A4633" s="629" t="s">
        <v>3061</v>
      </c>
      <c r="B4633" s="630">
        <v>29</v>
      </c>
      <c r="C4633" s="631" t="str">
        <f t="shared" si="77"/>
        <v>Ô tô vận tải thùng 15 tấn29</v>
      </c>
      <c r="D4633" s="630"/>
      <c r="E4633" s="630"/>
      <c r="F4633" s="630"/>
      <c r="G4633" s="630"/>
    </row>
    <row r="4634" spans="1:7" ht="18.75" x14ac:dyDescent="0.25">
      <c r="A4634" s="629" t="s">
        <v>3061</v>
      </c>
      <c r="B4634" s="630">
        <v>30</v>
      </c>
      <c r="C4634" s="631" t="str">
        <f t="shared" si="77"/>
        <v>Ô tô vận tải thùng 15 tấn30</v>
      </c>
      <c r="D4634" s="630"/>
      <c r="E4634" s="630"/>
      <c r="F4634" s="630"/>
      <c r="G4634" s="630"/>
    </row>
    <row r="4635" spans="1:7" ht="18.75" x14ac:dyDescent="0.25">
      <c r="A4635" s="629" t="s">
        <v>3061</v>
      </c>
      <c r="B4635" s="630">
        <v>31</v>
      </c>
      <c r="C4635" s="631" t="str">
        <f t="shared" si="77"/>
        <v>Ô tô vận tải thùng 15 tấn31</v>
      </c>
      <c r="D4635" s="630"/>
      <c r="E4635" s="630"/>
      <c r="F4635" s="630"/>
      <c r="G4635" s="630"/>
    </row>
    <row r="4636" spans="1:7" ht="18.75" x14ac:dyDescent="0.25">
      <c r="A4636" s="629" t="s">
        <v>3061</v>
      </c>
      <c r="B4636" s="630">
        <v>32</v>
      </c>
      <c r="C4636" s="631" t="str">
        <f t="shared" si="77"/>
        <v>Ô tô vận tải thùng 15 tấn32</v>
      </c>
      <c r="D4636" s="630"/>
      <c r="E4636" s="630"/>
      <c r="F4636" s="630"/>
      <c r="G4636" s="630"/>
    </row>
    <row r="4637" spans="1:7" ht="18.75" x14ac:dyDescent="0.25">
      <c r="A4637" s="629" t="s">
        <v>3061</v>
      </c>
      <c r="B4637" s="630">
        <v>33</v>
      </c>
      <c r="C4637" s="631" t="str">
        <f t="shared" si="77"/>
        <v>Ô tô vận tải thùng 15 tấn33</v>
      </c>
      <c r="D4637" s="630"/>
      <c r="E4637" s="630"/>
      <c r="F4637" s="630"/>
      <c r="G4637" s="630"/>
    </row>
    <row r="4638" spans="1:7" ht="18.75" x14ac:dyDescent="0.25">
      <c r="A4638" s="629" t="s">
        <v>3061</v>
      </c>
      <c r="B4638" s="630">
        <v>34</v>
      </c>
      <c r="C4638" s="631" t="str">
        <f t="shared" si="77"/>
        <v>Ô tô vận tải thùng 15 tấn34</v>
      </c>
      <c r="D4638" s="630"/>
      <c r="E4638" s="630"/>
      <c r="F4638" s="630"/>
      <c r="G4638" s="630"/>
    </row>
    <row r="4639" spans="1:7" ht="18.75" x14ac:dyDescent="0.25">
      <c r="A4639" s="629" t="s">
        <v>3061</v>
      </c>
      <c r="B4639" s="630">
        <v>35</v>
      </c>
      <c r="C4639" s="631" t="str">
        <f t="shared" si="77"/>
        <v>Ô tô vận tải thùng 15 tấn35</v>
      </c>
      <c r="D4639" s="630"/>
      <c r="E4639" s="630"/>
      <c r="F4639" s="630"/>
      <c r="G4639" s="630"/>
    </row>
    <row r="4640" spans="1:7" ht="18.75" x14ac:dyDescent="0.25">
      <c r="A4640" s="629" t="s">
        <v>3061</v>
      </c>
      <c r="B4640" s="630">
        <v>36</v>
      </c>
      <c r="C4640" s="631" t="str">
        <f t="shared" si="77"/>
        <v>Ô tô vận tải thùng 15 tấn36</v>
      </c>
      <c r="D4640" s="630"/>
      <c r="E4640" s="630"/>
      <c r="F4640" s="630"/>
      <c r="G4640" s="630"/>
    </row>
    <row r="4641" spans="1:7" ht="18.75" x14ac:dyDescent="0.25">
      <c r="A4641" s="629" t="s">
        <v>3061</v>
      </c>
      <c r="B4641" s="630">
        <v>37</v>
      </c>
      <c r="C4641" s="631" t="str">
        <f t="shared" si="77"/>
        <v>Ô tô vận tải thùng 15 tấn37</v>
      </c>
      <c r="D4641" s="630"/>
      <c r="E4641" s="630"/>
      <c r="F4641" s="630"/>
      <c r="G4641" s="630"/>
    </row>
    <row r="4642" spans="1:7" ht="18.75" x14ac:dyDescent="0.25">
      <c r="A4642" s="629" t="s">
        <v>3061</v>
      </c>
      <c r="B4642" s="630">
        <v>38</v>
      </c>
      <c r="C4642" s="631" t="str">
        <f t="shared" si="77"/>
        <v>Ô tô vận tải thùng 15 tấn38</v>
      </c>
      <c r="D4642" s="630"/>
      <c r="E4642" s="630"/>
      <c r="F4642" s="630"/>
      <c r="G4642" s="630"/>
    </row>
    <row r="4643" spans="1:7" ht="18.75" x14ac:dyDescent="0.25">
      <c r="A4643" s="629" t="s">
        <v>3061</v>
      </c>
      <c r="B4643" s="630">
        <v>39</v>
      </c>
      <c r="C4643" s="631" t="str">
        <f t="shared" si="77"/>
        <v>Ô tô vận tải thùng 15 tấn39</v>
      </c>
      <c r="D4643" s="630"/>
      <c r="E4643" s="630"/>
      <c r="F4643" s="630"/>
      <c r="G4643" s="630"/>
    </row>
    <row r="4644" spans="1:7" ht="18.75" x14ac:dyDescent="0.25">
      <c r="A4644" s="629" t="s">
        <v>3061</v>
      </c>
      <c r="B4644" s="630">
        <v>40</v>
      </c>
      <c r="C4644" s="631" t="str">
        <f t="shared" si="77"/>
        <v>Ô tô vận tải thùng 15 tấn40</v>
      </c>
      <c r="D4644" s="630"/>
      <c r="E4644" s="630"/>
      <c r="F4644" s="630"/>
      <c r="G4644" s="630"/>
    </row>
    <row r="4645" spans="1:7" ht="18.75" x14ac:dyDescent="0.25">
      <c r="A4645" s="629" t="s">
        <v>3061</v>
      </c>
      <c r="B4645" s="630">
        <v>41</v>
      </c>
      <c r="C4645" s="631" t="str">
        <f t="shared" si="77"/>
        <v>Ô tô vận tải thùng 15 tấn41</v>
      </c>
      <c r="D4645" s="630"/>
      <c r="E4645" s="630"/>
      <c r="F4645" s="630"/>
      <c r="G4645" s="630"/>
    </row>
    <row r="4646" spans="1:7" ht="18.75" x14ac:dyDescent="0.25">
      <c r="A4646" s="629" t="s">
        <v>3061</v>
      </c>
      <c r="B4646" s="630">
        <v>42</v>
      </c>
      <c r="C4646" s="631" t="str">
        <f t="shared" si="77"/>
        <v>Ô tô vận tải thùng 15 tấn42</v>
      </c>
      <c r="D4646" s="630"/>
      <c r="E4646" s="630"/>
      <c r="F4646" s="630"/>
      <c r="G4646" s="630"/>
    </row>
    <row r="4647" spans="1:7" ht="18.75" x14ac:dyDescent="0.25">
      <c r="A4647" s="629" t="s">
        <v>3061</v>
      </c>
      <c r="B4647" s="630">
        <v>43</v>
      </c>
      <c r="C4647" s="631" t="str">
        <f t="shared" si="77"/>
        <v>Ô tô vận tải thùng 15 tấn43</v>
      </c>
      <c r="D4647" s="630"/>
      <c r="E4647" s="630"/>
      <c r="F4647" s="630"/>
      <c r="G4647" s="630"/>
    </row>
    <row r="4648" spans="1:7" ht="18.75" x14ac:dyDescent="0.25">
      <c r="A4648" s="629" t="s">
        <v>3061</v>
      </c>
      <c r="B4648" s="630">
        <v>44</v>
      </c>
      <c r="C4648" s="631" t="str">
        <f t="shared" si="77"/>
        <v>Ô tô vận tải thùng 15 tấn44</v>
      </c>
      <c r="D4648" s="630"/>
      <c r="E4648" s="630"/>
      <c r="F4648" s="630"/>
      <c r="G4648" s="630"/>
    </row>
    <row r="4649" spans="1:7" ht="18.75" x14ac:dyDescent="0.25">
      <c r="A4649" s="629" t="s">
        <v>3061</v>
      </c>
      <c r="B4649" s="630">
        <v>45</v>
      </c>
      <c r="C4649" s="631" t="str">
        <f t="shared" si="77"/>
        <v>Ô tô vận tải thùng 15 tấn45</v>
      </c>
      <c r="D4649" s="630"/>
      <c r="E4649" s="630"/>
      <c r="F4649" s="630"/>
      <c r="G4649" s="630"/>
    </row>
    <row r="4650" spans="1:7" ht="18.75" x14ac:dyDescent="0.25">
      <c r="A4650" s="629" t="s">
        <v>3061</v>
      </c>
      <c r="B4650" s="630">
        <v>46</v>
      </c>
      <c r="C4650" s="631" t="str">
        <f t="shared" si="77"/>
        <v>Ô tô vận tải thùng 15 tấn46</v>
      </c>
      <c r="D4650" s="630"/>
      <c r="E4650" s="630"/>
      <c r="F4650" s="630"/>
      <c r="G4650" s="630"/>
    </row>
    <row r="4651" spans="1:7" ht="18.75" x14ac:dyDescent="0.25">
      <c r="A4651" s="629" t="s">
        <v>3061</v>
      </c>
      <c r="B4651" s="630">
        <v>47</v>
      </c>
      <c r="C4651" s="631" t="str">
        <f t="shared" si="77"/>
        <v>Ô tô vận tải thùng 15 tấn47</v>
      </c>
      <c r="D4651" s="630"/>
      <c r="E4651" s="630"/>
      <c r="F4651" s="630"/>
      <c r="G4651" s="630"/>
    </row>
    <row r="4652" spans="1:7" ht="18.75" x14ac:dyDescent="0.25">
      <c r="A4652" s="629" t="s">
        <v>3061</v>
      </c>
      <c r="B4652" s="630">
        <v>48</v>
      </c>
      <c r="C4652" s="631" t="str">
        <f t="shared" si="77"/>
        <v>Ô tô vận tải thùng 15 tấn48</v>
      </c>
      <c r="D4652" s="630"/>
      <c r="E4652" s="630"/>
      <c r="F4652" s="630"/>
      <c r="G4652" s="630"/>
    </row>
    <row r="4653" spans="1:7" ht="18.75" x14ac:dyDescent="0.25">
      <c r="A4653" s="629" t="s">
        <v>3061</v>
      </c>
      <c r="B4653" s="630">
        <v>49</v>
      </c>
      <c r="C4653" s="631" t="str">
        <f t="shared" si="77"/>
        <v>Ô tô vận tải thùng 15 tấn49</v>
      </c>
      <c r="D4653" s="630"/>
      <c r="E4653" s="630"/>
      <c r="F4653" s="630"/>
      <c r="G4653" s="630"/>
    </row>
    <row r="4654" spans="1:7" ht="18.75" x14ac:dyDescent="0.25">
      <c r="A4654" s="629" t="s">
        <v>3061</v>
      </c>
      <c r="B4654" s="630">
        <v>50</v>
      </c>
      <c r="C4654" s="631" t="str">
        <f t="shared" si="77"/>
        <v>Ô tô vận tải thùng 15 tấn50</v>
      </c>
      <c r="D4654" s="630"/>
      <c r="E4654" s="630"/>
      <c r="F4654" s="630"/>
      <c r="G4654" s="630"/>
    </row>
    <row r="4655" spans="1:7" ht="18.75" x14ac:dyDescent="0.25">
      <c r="A4655" s="629" t="s">
        <v>3061</v>
      </c>
      <c r="B4655" s="630">
        <v>51</v>
      </c>
      <c r="C4655" s="631" t="str">
        <f t="shared" si="77"/>
        <v>Ô tô vận tải thùng 15 tấn51</v>
      </c>
      <c r="D4655" s="630"/>
      <c r="E4655" s="630"/>
      <c r="F4655" s="630"/>
      <c r="G4655" s="630"/>
    </row>
    <row r="4656" spans="1:7" ht="18.75" x14ac:dyDescent="0.25">
      <c r="A4656" s="629" t="s">
        <v>3061</v>
      </c>
      <c r="B4656" s="630">
        <v>52</v>
      </c>
      <c r="C4656" s="631" t="str">
        <f t="shared" si="77"/>
        <v>Ô tô vận tải thùng 15 tấn52</v>
      </c>
      <c r="D4656" s="630"/>
      <c r="E4656" s="630"/>
      <c r="F4656" s="630"/>
      <c r="G4656" s="630"/>
    </row>
    <row r="4657" spans="1:7" ht="18.75" x14ac:dyDescent="0.25">
      <c r="A4657" s="629" t="s">
        <v>3061</v>
      </c>
      <c r="B4657" s="630">
        <v>53</v>
      </c>
      <c r="C4657" s="631" t="str">
        <f t="shared" si="77"/>
        <v>Ô tô vận tải thùng 15 tấn53</v>
      </c>
      <c r="D4657" s="630"/>
      <c r="E4657" s="630"/>
      <c r="F4657" s="630"/>
      <c r="G4657" s="630"/>
    </row>
    <row r="4658" spans="1:7" ht="18.75" x14ac:dyDescent="0.25">
      <c r="A4658" s="629" t="s">
        <v>3061</v>
      </c>
      <c r="B4658" s="630">
        <v>54</v>
      </c>
      <c r="C4658" s="631" t="str">
        <f t="shared" si="77"/>
        <v>Ô tô vận tải thùng 15 tấn54</v>
      </c>
      <c r="D4658" s="630"/>
      <c r="E4658" s="630"/>
      <c r="F4658" s="630"/>
      <c r="G4658" s="630"/>
    </row>
    <row r="4659" spans="1:7" ht="18.75" x14ac:dyDescent="0.25">
      <c r="A4659" s="629" t="s">
        <v>3061</v>
      </c>
      <c r="B4659" s="630">
        <v>55</v>
      </c>
      <c r="C4659" s="631" t="str">
        <f t="shared" si="77"/>
        <v>Ô tô vận tải thùng 15 tấn55</v>
      </c>
      <c r="D4659" s="630"/>
      <c r="E4659" s="630"/>
      <c r="F4659" s="630"/>
      <c r="G4659" s="630"/>
    </row>
    <row r="4660" spans="1:7" ht="18.75" x14ac:dyDescent="0.25">
      <c r="A4660" s="629" t="s">
        <v>3061</v>
      </c>
      <c r="B4660" s="630">
        <v>56</v>
      </c>
      <c r="C4660" s="631" t="str">
        <f t="shared" si="77"/>
        <v>Ô tô vận tải thùng 15 tấn56</v>
      </c>
      <c r="D4660" s="630"/>
      <c r="E4660" s="630"/>
      <c r="F4660" s="630"/>
      <c r="G4660" s="630"/>
    </row>
    <row r="4661" spans="1:7" ht="18.75" x14ac:dyDescent="0.25">
      <c r="A4661" s="629" t="s">
        <v>3061</v>
      </c>
      <c r="B4661" s="630">
        <v>57</v>
      </c>
      <c r="C4661" s="631" t="str">
        <f t="shared" si="77"/>
        <v>Ô tô vận tải thùng 15 tấn57</v>
      </c>
      <c r="D4661" s="630"/>
      <c r="E4661" s="630"/>
      <c r="F4661" s="630"/>
      <c r="G4661" s="630"/>
    </row>
    <row r="4662" spans="1:7" ht="18.75" x14ac:dyDescent="0.25">
      <c r="A4662" s="629" t="s">
        <v>3061</v>
      </c>
      <c r="B4662" s="630">
        <v>58</v>
      </c>
      <c r="C4662" s="631" t="str">
        <f t="shared" si="77"/>
        <v>Ô tô vận tải thùng 15 tấn58</v>
      </c>
      <c r="D4662" s="630"/>
      <c r="E4662" s="630"/>
      <c r="F4662" s="630"/>
      <c r="G4662" s="630"/>
    </row>
    <row r="4663" spans="1:7" ht="18.75" x14ac:dyDescent="0.25">
      <c r="A4663" s="629" t="s">
        <v>3061</v>
      </c>
      <c r="B4663" s="630">
        <v>59</v>
      </c>
      <c r="C4663" s="631" t="str">
        <f t="shared" si="77"/>
        <v>Ô tô vận tải thùng 15 tấn59</v>
      </c>
      <c r="D4663" s="630"/>
      <c r="E4663" s="630"/>
      <c r="F4663" s="630"/>
      <c r="G4663" s="630"/>
    </row>
    <row r="4664" spans="1:7" ht="18.75" x14ac:dyDescent="0.25">
      <c r="A4664" s="629" t="s">
        <v>3061</v>
      </c>
      <c r="B4664" s="630">
        <v>60</v>
      </c>
      <c r="C4664" s="631" t="str">
        <f t="shared" si="77"/>
        <v>Ô tô vận tải thùng 15 tấn60</v>
      </c>
      <c r="D4664" s="630"/>
      <c r="E4664" s="630"/>
      <c r="F4664" s="630"/>
      <c r="G4664" s="630"/>
    </row>
    <row r="4665" spans="1:7" ht="18.75" x14ac:dyDescent="0.25">
      <c r="A4665" s="629" t="s">
        <v>3061</v>
      </c>
      <c r="B4665" s="630">
        <v>61</v>
      </c>
      <c r="C4665" s="631" t="str">
        <f t="shared" si="77"/>
        <v>Ô tô vận tải thùng 15 tấn61</v>
      </c>
      <c r="D4665" s="630"/>
      <c r="E4665" s="630"/>
      <c r="F4665" s="630"/>
      <c r="G4665" s="630"/>
    </row>
    <row r="4666" spans="1:7" ht="18.75" x14ac:dyDescent="0.25">
      <c r="A4666" s="629" t="s">
        <v>3061</v>
      </c>
      <c r="B4666" s="630">
        <v>62</v>
      </c>
      <c r="C4666" s="631" t="str">
        <f t="shared" si="77"/>
        <v>Ô tô vận tải thùng 15 tấn62</v>
      </c>
      <c r="D4666" s="630"/>
      <c r="E4666" s="630"/>
      <c r="F4666" s="630"/>
      <c r="G4666" s="630"/>
    </row>
    <row r="4667" spans="1:7" ht="18.75" x14ac:dyDescent="0.25">
      <c r="A4667" s="629" t="s">
        <v>3061</v>
      </c>
      <c r="B4667" s="630">
        <v>63</v>
      </c>
      <c r="C4667" s="631" t="str">
        <f t="shared" si="77"/>
        <v>Ô tô vận tải thùng 15 tấn63</v>
      </c>
      <c r="D4667" s="630"/>
      <c r="E4667" s="630"/>
      <c r="F4667" s="630"/>
      <c r="G4667" s="630"/>
    </row>
    <row r="4668" spans="1:7" ht="18.75" x14ac:dyDescent="0.25">
      <c r="A4668" s="629" t="s">
        <v>3061</v>
      </c>
      <c r="B4668" s="630">
        <v>64</v>
      </c>
      <c r="C4668" s="631" t="str">
        <f t="shared" si="77"/>
        <v>Ô tô vận tải thùng 15 tấn64</v>
      </c>
      <c r="D4668" s="630"/>
      <c r="E4668" s="630"/>
      <c r="F4668" s="630"/>
      <c r="G4668" s="630"/>
    </row>
    <row r="4669" spans="1:7" ht="18.75" x14ac:dyDescent="0.25">
      <c r="A4669" s="629" t="s">
        <v>3061</v>
      </c>
      <c r="B4669" s="630">
        <v>65</v>
      </c>
      <c r="C4669" s="631" t="str">
        <f t="shared" si="77"/>
        <v>Ô tô vận tải thùng 15 tấn65</v>
      </c>
      <c r="D4669" s="630"/>
      <c r="E4669" s="630"/>
      <c r="F4669" s="630"/>
      <c r="G4669" s="630"/>
    </row>
    <row r="4670" spans="1:7" ht="18.75" x14ac:dyDescent="0.25">
      <c r="A4670" s="629" t="s">
        <v>3061</v>
      </c>
      <c r="B4670" s="630">
        <v>66</v>
      </c>
      <c r="C4670" s="631" t="str">
        <f t="shared" ref="C4670:C4733" si="78">A4670&amp;B4670</f>
        <v>Ô tô vận tải thùng 15 tấn66</v>
      </c>
      <c r="D4670" s="630"/>
      <c r="E4670" s="630"/>
      <c r="F4670" s="630"/>
      <c r="G4670" s="630"/>
    </row>
    <row r="4671" spans="1:7" ht="18.75" x14ac:dyDescent="0.25">
      <c r="A4671" s="629" t="s">
        <v>3061</v>
      </c>
      <c r="B4671" s="630">
        <v>67</v>
      </c>
      <c r="C4671" s="631" t="str">
        <f t="shared" si="78"/>
        <v>Ô tô vận tải thùng 15 tấn67</v>
      </c>
      <c r="D4671" s="630"/>
      <c r="E4671" s="630"/>
      <c r="F4671" s="630"/>
      <c r="G4671" s="630"/>
    </row>
    <row r="4672" spans="1:7" ht="18.75" x14ac:dyDescent="0.25">
      <c r="A4672" s="629" t="s">
        <v>3061</v>
      </c>
      <c r="B4672" s="630">
        <v>68</v>
      </c>
      <c r="C4672" s="631" t="str">
        <f t="shared" si="78"/>
        <v>Ô tô vận tải thùng 15 tấn68</v>
      </c>
      <c r="D4672" s="630"/>
      <c r="E4672" s="630"/>
      <c r="F4672" s="630"/>
      <c r="G4672" s="630"/>
    </row>
    <row r="4673" spans="1:7" ht="18.75" x14ac:dyDescent="0.25">
      <c r="A4673" s="629" t="s">
        <v>3061</v>
      </c>
      <c r="B4673" s="630">
        <v>69</v>
      </c>
      <c r="C4673" s="631" t="str">
        <f t="shared" si="78"/>
        <v>Ô tô vận tải thùng 15 tấn69</v>
      </c>
      <c r="D4673" s="630"/>
      <c r="E4673" s="630"/>
      <c r="F4673" s="630"/>
      <c r="G4673" s="630"/>
    </row>
    <row r="4674" spans="1:7" ht="18.75" x14ac:dyDescent="0.25">
      <c r="A4674" s="629" t="s">
        <v>3061</v>
      </c>
      <c r="B4674" s="630">
        <v>70</v>
      </c>
      <c r="C4674" s="631" t="str">
        <f t="shared" si="78"/>
        <v>Ô tô vận tải thùng 15 tấn70</v>
      </c>
      <c r="D4674" s="630"/>
      <c r="E4674" s="630"/>
      <c r="F4674" s="630"/>
      <c r="G4674" s="630"/>
    </row>
    <row r="4675" spans="1:7" ht="18.75" x14ac:dyDescent="0.25">
      <c r="A4675" s="629" t="s">
        <v>3061</v>
      </c>
      <c r="B4675" s="630">
        <v>71</v>
      </c>
      <c r="C4675" s="631" t="str">
        <f t="shared" si="78"/>
        <v>Ô tô vận tải thùng 15 tấn71</v>
      </c>
      <c r="D4675" s="630"/>
      <c r="E4675" s="630"/>
      <c r="F4675" s="630"/>
      <c r="G4675" s="630"/>
    </row>
    <row r="4676" spans="1:7" ht="18.75" x14ac:dyDescent="0.25">
      <c r="A4676" s="629" t="s">
        <v>3061</v>
      </c>
      <c r="B4676" s="630">
        <v>72</v>
      </c>
      <c r="C4676" s="631" t="str">
        <f t="shared" si="78"/>
        <v>Ô tô vận tải thùng 15 tấn72</v>
      </c>
      <c r="D4676" s="630"/>
      <c r="E4676" s="630"/>
      <c r="F4676" s="630"/>
      <c r="G4676" s="630"/>
    </row>
    <row r="4677" spans="1:7" ht="18.75" x14ac:dyDescent="0.25">
      <c r="A4677" s="629" t="s">
        <v>3061</v>
      </c>
      <c r="B4677" s="630">
        <v>73</v>
      </c>
      <c r="C4677" s="631" t="str">
        <f t="shared" si="78"/>
        <v>Ô tô vận tải thùng 15 tấn73</v>
      </c>
      <c r="D4677" s="630"/>
      <c r="E4677" s="630"/>
      <c r="F4677" s="630"/>
      <c r="G4677" s="630"/>
    </row>
    <row r="4678" spans="1:7" ht="18.75" x14ac:dyDescent="0.25">
      <c r="A4678" s="629" t="s">
        <v>3061</v>
      </c>
      <c r="B4678" s="630">
        <v>74</v>
      </c>
      <c r="C4678" s="631" t="str">
        <f t="shared" si="78"/>
        <v>Ô tô vận tải thùng 15 tấn74</v>
      </c>
      <c r="D4678" s="630"/>
      <c r="E4678" s="630"/>
      <c r="F4678" s="630"/>
      <c r="G4678" s="630"/>
    </row>
    <row r="4679" spans="1:7" ht="18.75" x14ac:dyDescent="0.25">
      <c r="A4679" s="629" t="s">
        <v>3061</v>
      </c>
      <c r="B4679" s="630">
        <v>75</v>
      </c>
      <c r="C4679" s="631" t="str">
        <f t="shared" si="78"/>
        <v>Ô tô vận tải thùng 15 tấn75</v>
      </c>
      <c r="D4679" s="630"/>
      <c r="E4679" s="630"/>
      <c r="F4679" s="630"/>
      <c r="G4679" s="630"/>
    </row>
    <row r="4680" spans="1:7" ht="18.75" x14ac:dyDescent="0.25">
      <c r="A4680" s="629" t="s">
        <v>3061</v>
      </c>
      <c r="B4680" s="630">
        <v>76</v>
      </c>
      <c r="C4680" s="631" t="str">
        <f t="shared" si="78"/>
        <v>Ô tô vận tải thùng 15 tấn76</v>
      </c>
      <c r="D4680" s="630"/>
      <c r="E4680" s="630"/>
      <c r="F4680" s="630"/>
      <c r="G4680" s="630"/>
    </row>
    <row r="4681" spans="1:7" ht="18.75" x14ac:dyDescent="0.25">
      <c r="A4681" s="629" t="s">
        <v>3061</v>
      </c>
      <c r="B4681" s="630">
        <v>77</v>
      </c>
      <c r="C4681" s="631" t="str">
        <f t="shared" si="78"/>
        <v>Ô tô vận tải thùng 15 tấn77</v>
      </c>
      <c r="D4681" s="630"/>
      <c r="E4681" s="630"/>
      <c r="F4681" s="630"/>
      <c r="G4681" s="630"/>
    </row>
    <row r="4682" spans="1:7" ht="18.75" x14ac:dyDescent="0.25">
      <c r="A4682" s="629" t="s">
        <v>3061</v>
      </c>
      <c r="B4682" s="630">
        <v>78</v>
      </c>
      <c r="C4682" s="631" t="str">
        <f t="shared" si="78"/>
        <v>Ô tô vận tải thùng 15 tấn78</v>
      </c>
      <c r="D4682" s="630"/>
      <c r="E4682" s="630"/>
      <c r="F4682" s="630"/>
      <c r="G4682" s="630"/>
    </row>
    <row r="4683" spans="1:7" ht="18.75" x14ac:dyDescent="0.25">
      <c r="A4683" s="629" t="s">
        <v>3061</v>
      </c>
      <c r="B4683" s="630">
        <v>79</v>
      </c>
      <c r="C4683" s="631" t="str">
        <f t="shared" si="78"/>
        <v>Ô tô vận tải thùng 15 tấn79</v>
      </c>
      <c r="D4683" s="630"/>
      <c r="E4683" s="630"/>
      <c r="F4683" s="630"/>
      <c r="G4683" s="630"/>
    </row>
    <row r="4684" spans="1:7" ht="18.75" x14ac:dyDescent="0.25">
      <c r="A4684" s="629" t="s">
        <v>3061</v>
      </c>
      <c r="B4684" s="630">
        <v>80</v>
      </c>
      <c r="C4684" s="631" t="str">
        <f t="shared" si="78"/>
        <v>Ô tô vận tải thùng 15 tấn80</v>
      </c>
      <c r="D4684" s="630"/>
      <c r="E4684" s="630"/>
      <c r="F4684" s="630"/>
      <c r="G4684" s="630"/>
    </row>
    <row r="4685" spans="1:7" ht="18.75" x14ac:dyDescent="0.25">
      <c r="A4685" s="629" t="s">
        <v>3061</v>
      </c>
      <c r="B4685" s="630">
        <v>81</v>
      </c>
      <c r="C4685" s="631" t="str">
        <f t="shared" si="78"/>
        <v>Ô tô vận tải thùng 15 tấn81</v>
      </c>
      <c r="D4685" s="630"/>
      <c r="E4685" s="630"/>
      <c r="F4685" s="630"/>
      <c r="G4685" s="630"/>
    </row>
    <row r="4686" spans="1:7" ht="18.75" x14ac:dyDescent="0.25">
      <c r="A4686" s="629" t="s">
        <v>3061</v>
      </c>
      <c r="B4686" s="630">
        <v>82</v>
      </c>
      <c r="C4686" s="631" t="str">
        <f t="shared" si="78"/>
        <v>Ô tô vận tải thùng 15 tấn82</v>
      </c>
      <c r="D4686" s="630"/>
      <c r="E4686" s="630"/>
      <c r="F4686" s="630"/>
      <c r="G4686" s="630"/>
    </row>
    <row r="4687" spans="1:7" ht="18.75" x14ac:dyDescent="0.25">
      <c r="A4687" s="629" t="s">
        <v>3061</v>
      </c>
      <c r="B4687" s="630">
        <v>83</v>
      </c>
      <c r="C4687" s="631" t="str">
        <f t="shared" si="78"/>
        <v>Ô tô vận tải thùng 15 tấn83</v>
      </c>
      <c r="D4687" s="630"/>
      <c r="E4687" s="630"/>
      <c r="F4687" s="630"/>
      <c r="G4687" s="630"/>
    </row>
    <row r="4688" spans="1:7" ht="18.75" x14ac:dyDescent="0.25">
      <c r="A4688" s="629" t="s">
        <v>3061</v>
      </c>
      <c r="B4688" s="630">
        <v>84</v>
      </c>
      <c r="C4688" s="631" t="str">
        <f t="shared" si="78"/>
        <v>Ô tô vận tải thùng 15 tấn84</v>
      </c>
      <c r="D4688" s="630"/>
      <c r="E4688" s="630"/>
      <c r="F4688" s="630"/>
      <c r="G4688" s="630"/>
    </row>
    <row r="4689" spans="1:7" ht="18.75" x14ac:dyDescent="0.25">
      <c r="A4689" s="629" t="s">
        <v>3061</v>
      </c>
      <c r="B4689" s="630">
        <v>85</v>
      </c>
      <c r="C4689" s="631" t="str">
        <f t="shared" si="78"/>
        <v>Ô tô vận tải thùng 15 tấn85</v>
      </c>
      <c r="D4689" s="630"/>
      <c r="E4689" s="630"/>
      <c r="F4689" s="630"/>
      <c r="G4689" s="630"/>
    </row>
    <row r="4690" spans="1:7" ht="18.75" x14ac:dyDescent="0.25">
      <c r="A4690" s="629" t="s">
        <v>3061</v>
      </c>
      <c r="B4690" s="630">
        <v>86</v>
      </c>
      <c r="C4690" s="631" t="str">
        <f t="shared" si="78"/>
        <v>Ô tô vận tải thùng 15 tấn86</v>
      </c>
      <c r="D4690" s="630"/>
      <c r="E4690" s="630"/>
      <c r="F4690" s="630"/>
      <c r="G4690" s="630"/>
    </row>
    <row r="4691" spans="1:7" ht="18.75" x14ac:dyDescent="0.25">
      <c r="A4691" s="629" t="s">
        <v>3061</v>
      </c>
      <c r="B4691" s="630">
        <v>87</v>
      </c>
      <c r="C4691" s="631" t="str">
        <f t="shared" si="78"/>
        <v>Ô tô vận tải thùng 15 tấn87</v>
      </c>
      <c r="D4691" s="630"/>
      <c r="E4691" s="630"/>
      <c r="F4691" s="630"/>
      <c r="G4691" s="630"/>
    </row>
    <row r="4692" spans="1:7" ht="18.75" x14ac:dyDescent="0.25">
      <c r="A4692" s="629" t="s">
        <v>3061</v>
      </c>
      <c r="B4692" s="630">
        <v>88</v>
      </c>
      <c r="C4692" s="631" t="str">
        <f t="shared" si="78"/>
        <v>Ô tô vận tải thùng 15 tấn88</v>
      </c>
      <c r="D4692" s="630"/>
      <c r="E4692" s="630"/>
      <c r="F4692" s="630"/>
      <c r="G4692" s="630"/>
    </row>
    <row r="4693" spans="1:7" ht="18.75" x14ac:dyDescent="0.25">
      <c r="A4693" s="629" t="s">
        <v>3061</v>
      </c>
      <c r="B4693" s="630">
        <v>89</v>
      </c>
      <c r="C4693" s="631" t="str">
        <f t="shared" si="78"/>
        <v>Ô tô vận tải thùng 15 tấn89</v>
      </c>
      <c r="D4693" s="630"/>
      <c r="E4693" s="630"/>
      <c r="F4693" s="630"/>
      <c r="G4693" s="630"/>
    </row>
    <row r="4694" spans="1:7" ht="18.75" x14ac:dyDescent="0.25">
      <c r="A4694" s="629" t="s">
        <v>3061</v>
      </c>
      <c r="B4694" s="630">
        <v>90</v>
      </c>
      <c r="C4694" s="631" t="str">
        <f t="shared" si="78"/>
        <v>Ô tô vận tải thùng 15 tấn90</v>
      </c>
      <c r="D4694" s="630"/>
      <c r="E4694" s="630"/>
      <c r="F4694" s="630"/>
      <c r="G4694" s="630"/>
    </row>
    <row r="4695" spans="1:7" ht="18.75" x14ac:dyDescent="0.25">
      <c r="A4695" s="629" t="s">
        <v>3061</v>
      </c>
      <c r="B4695" s="630">
        <v>91</v>
      </c>
      <c r="C4695" s="631" t="str">
        <f t="shared" si="78"/>
        <v>Ô tô vận tải thùng 15 tấn91</v>
      </c>
      <c r="D4695" s="630"/>
      <c r="E4695" s="630"/>
      <c r="F4695" s="630"/>
      <c r="G4695" s="630"/>
    </row>
    <row r="4696" spans="1:7" ht="18.75" x14ac:dyDescent="0.25">
      <c r="A4696" s="629" t="s">
        <v>3061</v>
      </c>
      <c r="B4696" s="630">
        <v>92</v>
      </c>
      <c r="C4696" s="631" t="str">
        <f t="shared" si="78"/>
        <v>Ô tô vận tải thùng 15 tấn92</v>
      </c>
      <c r="D4696" s="630"/>
      <c r="E4696" s="630"/>
      <c r="F4696" s="630"/>
      <c r="G4696" s="630"/>
    </row>
    <row r="4697" spans="1:7" ht="18.75" x14ac:dyDescent="0.25">
      <c r="A4697" s="629" t="s">
        <v>3061</v>
      </c>
      <c r="B4697" s="630">
        <v>93</v>
      </c>
      <c r="C4697" s="631" t="str">
        <f t="shared" si="78"/>
        <v>Ô tô vận tải thùng 15 tấn93</v>
      </c>
      <c r="D4697" s="630"/>
      <c r="E4697" s="630"/>
      <c r="F4697" s="630"/>
      <c r="G4697" s="630"/>
    </row>
    <row r="4698" spans="1:7" ht="18.75" x14ac:dyDescent="0.25">
      <c r="A4698" s="629" t="s">
        <v>3061</v>
      </c>
      <c r="B4698" s="630">
        <v>94</v>
      </c>
      <c r="C4698" s="631" t="str">
        <f t="shared" si="78"/>
        <v>Ô tô vận tải thùng 15 tấn94</v>
      </c>
      <c r="D4698" s="630"/>
      <c r="E4698" s="630"/>
      <c r="F4698" s="630"/>
      <c r="G4698" s="630"/>
    </row>
    <row r="4699" spans="1:7" ht="18.75" x14ac:dyDescent="0.25">
      <c r="A4699" s="629" t="s">
        <v>3061</v>
      </c>
      <c r="B4699" s="630">
        <v>95</v>
      </c>
      <c r="C4699" s="631" t="str">
        <f t="shared" si="78"/>
        <v>Ô tô vận tải thùng 15 tấn95</v>
      </c>
      <c r="D4699" s="630"/>
      <c r="E4699" s="630"/>
      <c r="F4699" s="630"/>
      <c r="G4699" s="630"/>
    </row>
    <row r="4700" spans="1:7" ht="18.75" x14ac:dyDescent="0.25">
      <c r="A4700" s="629" t="s">
        <v>3061</v>
      </c>
      <c r="B4700" s="630">
        <v>96</v>
      </c>
      <c r="C4700" s="631" t="str">
        <f t="shared" si="78"/>
        <v>Ô tô vận tải thùng 15 tấn96</v>
      </c>
      <c r="D4700" s="630"/>
      <c r="E4700" s="630"/>
      <c r="F4700" s="630"/>
      <c r="G4700" s="630"/>
    </row>
    <row r="4701" spans="1:7" ht="18.75" x14ac:dyDescent="0.25">
      <c r="A4701" s="629" t="s">
        <v>3061</v>
      </c>
      <c r="B4701" s="630">
        <v>97</v>
      </c>
      <c r="C4701" s="631" t="str">
        <f t="shared" si="78"/>
        <v>Ô tô vận tải thùng 15 tấn97</v>
      </c>
      <c r="D4701" s="630"/>
      <c r="E4701" s="630"/>
      <c r="F4701" s="630"/>
      <c r="G4701" s="630"/>
    </row>
    <row r="4702" spans="1:7" ht="18.75" x14ac:dyDescent="0.25">
      <c r="A4702" s="629" t="s">
        <v>3061</v>
      </c>
      <c r="B4702" s="630">
        <v>98</v>
      </c>
      <c r="C4702" s="631" t="str">
        <f t="shared" si="78"/>
        <v>Ô tô vận tải thùng 15 tấn98</v>
      </c>
      <c r="D4702" s="630"/>
      <c r="E4702" s="630"/>
      <c r="F4702" s="630"/>
      <c r="G4702" s="630"/>
    </row>
    <row r="4703" spans="1:7" ht="18.75" x14ac:dyDescent="0.25">
      <c r="A4703" s="629" t="s">
        <v>3061</v>
      </c>
      <c r="B4703" s="630">
        <v>99</v>
      </c>
      <c r="C4703" s="631" t="str">
        <f t="shared" si="78"/>
        <v>Ô tô vận tải thùng 15 tấn99</v>
      </c>
      <c r="D4703" s="630"/>
      <c r="E4703" s="630"/>
      <c r="F4703" s="630"/>
      <c r="G4703" s="630"/>
    </row>
    <row r="4704" spans="1:7" ht="18.75" x14ac:dyDescent="0.25">
      <c r="A4704" s="629" t="s">
        <v>3061</v>
      </c>
      <c r="B4704" s="630">
        <v>100</v>
      </c>
      <c r="C4704" s="631" t="str">
        <f t="shared" si="78"/>
        <v>Ô tô vận tải thùng 15 tấn100</v>
      </c>
      <c r="D4704" s="630"/>
      <c r="E4704" s="630"/>
      <c r="F4704" s="630"/>
      <c r="G4704" s="630"/>
    </row>
    <row r="4705" spans="1:7" ht="18.75" x14ac:dyDescent="0.25">
      <c r="A4705" s="629" t="s">
        <v>3061</v>
      </c>
      <c r="B4705" s="630">
        <v>101</v>
      </c>
      <c r="C4705" s="631" t="str">
        <f t="shared" si="78"/>
        <v>Ô tô vận tải thùng 15 tấn101</v>
      </c>
      <c r="D4705" s="630"/>
      <c r="E4705" s="630"/>
      <c r="F4705" s="630"/>
      <c r="G4705" s="630"/>
    </row>
    <row r="4706" spans="1:7" ht="18.75" x14ac:dyDescent="0.25">
      <c r="A4706" s="629" t="s">
        <v>3061</v>
      </c>
      <c r="B4706" s="630">
        <v>102</v>
      </c>
      <c r="C4706" s="631" t="str">
        <f t="shared" si="78"/>
        <v>Ô tô vận tải thùng 15 tấn102</v>
      </c>
      <c r="D4706" s="630"/>
      <c r="E4706" s="630"/>
      <c r="F4706" s="630"/>
      <c r="G4706" s="630"/>
    </row>
    <row r="4707" spans="1:7" ht="18.75" x14ac:dyDescent="0.25">
      <c r="A4707" s="629" t="s">
        <v>3061</v>
      </c>
      <c r="B4707" s="630">
        <v>103</v>
      </c>
      <c r="C4707" s="631" t="str">
        <f t="shared" si="78"/>
        <v>Ô tô vận tải thùng 15 tấn103</v>
      </c>
      <c r="D4707" s="630"/>
      <c r="E4707" s="630"/>
      <c r="F4707" s="630"/>
      <c r="G4707" s="630"/>
    </row>
    <row r="4708" spans="1:7" ht="18.75" x14ac:dyDescent="0.25">
      <c r="A4708" s="629" t="s">
        <v>3061</v>
      </c>
      <c r="B4708" s="630">
        <v>104</v>
      </c>
      <c r="C4708" s="631" t="str">
        <f t="shared" si="78"/>
        <v>Ô tô vận tải thùng 15 tấn104</v>
      </c>
      <c r="D4708" s="630"/>
      <c r="E4708" s="630"/>
      <c r="F4708" s="630"/>
      <c r="G4708" s="630"/>
    </row>
    <row r="4709" spans="1:7" ht="18.75" x14ac:dyDescent="0.25">
      <c r="A4709" s="629" t="s">
        <v>3061</v>
      </c>
      <c r="B4709" s="630">
        <v>105</v>
      </c>
      <c r="C4709" s="631" t="str">
        <f t="shared" si="78"/>
        <v>Ô tô vận tải thùng 15 tấn105</v>
      </c>
      <c r="D4709" s="630"/>
      <c r="E4709" s="630"/>
      <c r="F4709" s="630"/>
      <c r="G4709" s="630"/>
    </row>
    <row r="4710" spans="1:7" ht="18.75" x14ac:dyDescent="0.25">
      <c r="A4710" s="629" t="s">
        <v>3061</v>
      </c>
      <c r="B4710" s="630">
        <v>106</v>
      </c>
      <c r="C4710" s="631" t="str">
        <f t="shared" si="78"/>
        <v>Ô tô vận tải thùng 15 tấn106</v>
      </c>
      <c r="D4710" s="630"/>
      <c r="E4710" s="630"/>
      <c r="F4710" s="630"/>
      <c r="G4710" s="630"/>
    </row>
    <row r="4711" spans="1:7" ht="18.75" x14ac:dyDescent="0.25">
      <c r="A4711" s="629" t="s">
        <v>3061</v>
      </c>
      <c r="B4711" s="630">
        <v>107</v>
      </c>
      <c r="C4711" s="631" t="str">
        <f t="shared" si="78"/>
        <v>Ô tô vận tải thùng 15 tấn107</v>
      </c>
      <c r="D4711" s="630"/>
      <c r="E4711" s="630"/>
      <c r="F4711" s="630"/>
      <c r="G4711" s="630"/>
    </row>
    <row r="4712" spans="1:7" ht="18.75" x14ac:dyDescent="0.25">
      <c r="A4712" s="629" t="s">
        <v>3061</v>
      </c>
      <c r="B4712" s="630">
        <v>108</v>
      </c>
      <c r="C4712" s="631" t="str">
        <f t="shared" si="78"/>
        <v>Ô tô vận tải thùng 15 tấn108</v>
      </c>
      <c r="D4712" s="630"/>
      <c r="E4712" s="630"/>
      <c r="F4712" s="630"/>
      <c r="G4712" s="630"/>
    </row>
    <row r="4713" spans="1:7" ht="18.75" x14ac:dyDescent="0.25">
      <c r="A4713" s="629" t="s">
        <v>3061</v>
      </c>
      <c r="B4713" s="630">
        <v>109</v>
      </c>
      <c r="C4713" s="631" t="str">
        <f t="shared" si="78"/>
        <v>Ô tô vận tải thùng 15 tấn109</v>
      </c>
      <c r="D4713" s="630"/>
      <c r="E4713" s="630"/>
      <c r="F4713" s="630"/>
      <c r="G4713" s="630"/>
    </row>
    <row r="4714" spans="1:7" ht="18.75" x14ac:dyDescent="0.25">
      <c r="A4714" s="629" t="s">
        <v>3061</v>
      </c>
      <c r="B4714" s="630">
        <v>110</v>
      </c>
      <c r="C4714" s="631" t="str">
        <f t="shared" si="78"/>
        <v>Ô tô vận tải thùng 15 tấn110</v>
      </c>
      <c r="D4714" s="630"/>
      <c r="E4714" s="630"/>
      <c r="F4714" s="630"/>
      <c r="G4714" s="630"/>
    </row>
    <row r="4715" spans="1:7" ht="18.75" x14ac:dyDescent="0.25">
      <c r="A4715" s="629" t="s">
        <v>3061</v>
      </c>
      <c r="B4715" s="630">
        <v>111</v>
      </c>
      <c r="C4715" s="631" t="str">
        <f t="shared" si="78"/>
        <v>Ô tô vận tải thùng 15 tấn111</v>
      </c>
      <c r="D4715" s="630"/>
      <c r="E4715" s="630"/>
      <c r="F4715" s="630"/>
      <c r="G4715" s="630"/>
    </row>
    <row r="4716" spans="1:7" ht="18.75" x14ac:dyDescent="0.25">
      <c r="A4716" s="629" t="s">
        <v>3061</v>
      </c>
      <c r="B4716" s="630">
        <v>112</v>
      </c>
      <c r="C4716" s="631" t="str">
        <f t="shared" si="78"/>
        <v>Ô tô vận tải thùng 15 tấn112</v>
      </c>
      <c r="D4716" s="630"/>
      <c r="E4716" s="630"/>
      <c r="F4716" s="630"/>
      <c r="G4716" s="630"/>
    </row>
    <row r="4717" spans="1:7" ht="18.75" x14ac:dyDescent="0.25">
      <c r="A4717" s="629" t="s">
        <v>3061</v>
      </c>
      <c r="B4717" s="630">
        <v>113</v>
      </c>
      <c r="C4717" s="631" t="str">
        <f t="shared" si="78"/>
        <v>Ô tô vận tải thùng 15 tấn113</v>
      </c>
      <c r="D4717" s="630"/>
      <c r="E4717" s="630"/>
      <c r="F4717" s="630"/>
      <c r="G4717" s="630"/>
    </row>
    <row r="4718" spans="1:7" ht="18.75" x14ac:dyDescent="0.25">
      <c r="A4718" s="629" t="s">
        <v>3061</v>
      </c>
      <c r="B4718" s="630">
        <v>114</v>
      </c>
      <c r="C4718" s="631" t="str">
        <f t="shared" si="78"/>
        <v>Ô tô vận tải thùng 15 tấn114</v>
      </c>
      <c r="D4718" s="630"/>
      <c r="E4718" s="630"/>
      <c r="F4718" s="630"/>
      <c r="G4718" s="630"/>
    </row>
    <row r="4719" spans="1:7" ht="18.75" x14ac:dyDescent="0.25">
      <c r="A4719" s="629" t="s">
        <v>3061</v>
      </c>
      <c r="B4719" s="630">
        <v>115</v>
      </c>
      <c r="C4719" s="631" t="str">
        <f t="shared" si="78"/>
        <v>Ô tô vận tải thùng 15 tấn115</v>
      </c>
      <c r="D4719" s="630"/>
      <c r="E4719" s="630"/>
      <c r="F4719" s="630"/>
      <c r="G4719" s="630"/>
    </row>
    <row r="4720" spans="1:7" ht="18.75" x14ac:dyDescent="0.25">
      <c r="A4720" s="629" t="s">
        <v>3061</v>
      </c>
      <c r="B4720" s="630">
        <v>116</v>
      </c>
      <c r="C4720" s="631" t="str">
        <f t="shared" si="78"/>
        <v>Ô tô vận tải thùng 15 tấn116</v>
      </c>
      <c r="D4720" s="630"/>
      <c r="E4720" s="630"/>
      <c r="F4720" s="630"/>
      <c r="G4720" s="630"/>
    </row>
    <row r="4721" spans="1:7" ht="18.75" x14ac:dyDescent="0.25">
      <c r="A4721" s="629" t="s">
        <v>3061</v>
      </c>
      <c r="B4721" s="630">
        <v>117</v>
      </c>
      <c r="C4721" s="631" t="str">
        <f t="shared" si="78"/>
        <v>Ô tô vận tải thùng 15 tấn117</v>
      </c>
      <c r="D4721" s="630"/>
      <c r="E4721" s="630"/>
      <c r="F4721" s="630"/>
      <c r="G4721" s="630"/>
    </row>
    <row r="4722" spans="1:7" ht="18.75" x14ac:dyDescent="0.25">
      <c r="A4722" s="629" t="s">
        <v>3061</v>
      </c>
      <c r="B4722" s="630">
        <v>118</v>
      </c>
      <c r="C4722" s="631" t="str">
        <f t="shared" si="78"/>
        <v>Ô tô vận tải thùng 15 tấn118</v>
      </c>
      <c r="D4722" s="630"/>
      <c r="E4722" s="630"/>
      <c r="F4722" s="630"/>
      <c r="G4722" s="630"/>
    </row>
    <row r="4723" spans="1:7" ht="18.75" x14ac:dyDescent="0.25">
      <c r="A4723" s="629" t="s">
        <v>3061</v>
      </c>
      <c r="B4723" s="630">
        <v>119</v>
      </c>
      <c r="C4723" s="631" t="str">
        <f t="shared" si="78"/>
        <v>Ô tô vận tải thùng 15 tấn119</v>
      </c>
      <c r="D4723" s="630"/>
      <c r="E4723" s="630"/>
      <c r="F4723" s="630"/>
      <c r="G4723" s="630"/>
    </row>
    <row r="4724" spans="1:7" ht="18.75" x14ac:dyDescent="0.25">
      <c r="A4724" s="629" t="s">
        <v>3061</v>
      </c>
      <c r="B4724" s="630">
        <v>120</v>
      </c>
      <c r="C4724" s="631" t="str">
        <f t="shared" si="78"/>
        <v>Ô tô vận tải thùng 15 tấn120</v>
      </c>
      <c r="D4724" s="630"/>
      <c r="E4724" s="630"/>
      <c r="F4724" s="630"/>
      <c r="G4724" s="630"/>
    </row>
    <row r="4725" spans="1:7" ht="18.75" x14ac:dyDescent="0.25">
      <c r="A4725" s="629" t="s">
        <v>3061</v>
      </c>
      <c r="B4725" s="630">
        <v>121</v>
      </c>
      <c r="C4725" s="631" t="str">
        <f t="shared" si="78"/>
        <v>Ô tô vận tải thùng 15 tấn121</v>
      </c>
      <c r="D4725" s="630"/>
      <c r="E4725" s="630"/>
      <c r="F4725" s="630"/>
      <c r="G4725" s="630"/>
    </row>
    <row r="4726" spans="1:7" ht="18.75" x14ac:dyDescent="0.25">
      <c r="A4726" s="629" t="s">
        <v>3061</v>
      </c>
      <c r="B4726" s="630">
        <v>122</v>
      </c>
      <c r="C4726" s="631" t="str">
        <f t="shared" si="78"/>
        <v>Ô tô vận tải thùng 15 tấn122</v>
      </c>
      <c r="D4726" s="630"/>
      <c r="E4726" s="630"/>
      <c r="F4726" s="630"/>
      <c r="G4726" s="630"/>
    </row>
    <row r="4727" spans="1:7" ht="18.75" x14ac:dyDescent="0.25">
      <c r="A4727" s="629" t="s">
        <v>3061</v>
      </c>
      <c r="B4727" s="630">
        <v>123</v>
      </c>
      <c r="C4727" s="631" t="str">
        <f t="shared" si="78"/>
        <v>Ô tô vận tải thùng 15 tấn123</v>
      </c>
      <c r="D4727" s="630"/>
      <c r="E4727" s="630"/>
      <c r="F4727" s="630"/>
      <c r="G4727" s="630"/>
    </row>
    <row r="4728" spans="1:7" ht="18.75" x14ac:dyDescent="0.25">
      <c r="A4728" s="629" t="s">
        <v>3061</v>
      </c>
      <c r="B4728" s="630">
        <v>124</v>
      </c>
      <c r="C4728" s="631" t="str">
        <f t="shared" si="78"/>
        <v>Ô tô vận tải thùng 15 tấn124</v>
      </c>
      <c r="D4728" s="630"/>
      <c r="E4728" s="630"/>
      <c r="F4728" s="630"/>
      <c r="G4728" s="630"/>
    </row>
    <row r="4729" spans="1:7" ht="18.75" x14ac:dyDescent="0.25">
      <c r="A4729" s="629" t="s">
        <v>3061</v>
      </c>
      <c r="B4729" s="630">
        <v>125</v>
      </c>
      <c r="C4729" s="631" t="str">
        <f t="shared" si="78"/>
        <v>Ô tô vận tải thùng 15 tấn125</v>
      </c>
      <c r="D4729" s="630"/>
      <c r="E4729" s="630"/>
      <c r="F4729" s="630"/>
      <c r="G4729" s="630"/>
    </row>
    <row r="4730" spans="1:7" ht="18.75" x14ac:dyDescent="0.25">
      <c r="A4730" s="629" t="s">
        <v>3061</v>
      </c>
      <c r="B4730" s="630">
        <v>126</v>
      </c>
      <c r="C4730" s="631" t="str">
        <f t="shared" si="78"/>
        <v>Ô tô vận tải thùng 15 tấn126</v>
      </c>
      <c r="D4730" s="630"/>
      <c r="E4730" s="630"/>
      <c r="F4730" s="630"/>
      <c r="G4730" s="630"/>
    </row>
    <row r="4731" spans="1:7" ht="18.75" x14ac:dyDescent="0.25">
      <c r="A4731" s="629" t="s">
        <v>3061</v>
      </c>
      <c r="B4731" s="630">
        <v>127</v>
      </c>
      <c r="C4731" s="631" t="str">
        <f t="shared" si="78"/>
        <v>Ô tô vận tải thùng 15 tấn127</v>
      </c>
      <c r="D4731" s="630"/>
      <c r="E4731" s="630"/>
      <c r="F4731" s="630"/>
      <c r="G4731" s="630"/>
    </row>
    <row r="4732" spans="1:7" ht="18.75" x14ac:dyDescent="0.25">
      <c r="A4732" s="629" t="s">
        <v>3061</v>
      </c>
      <c r="B4732" s="630">
        <v>128</v>
      </c>
      <c r="C4732" s="631" t="str">
        <f t="shared" si="78"/>
        <v>Ô tô vận tải thùng 15 tấn128</v>
      </c>
      <c r="D4732" s="630"/>
      <c r="E4732" s="630"/>
      <c r="F4732" s="630"/>
      <c r="G4732" s="630"/>
    </row>
    <row r="4733" spans="1:7" ht="18.75" x14ac:dyDescent="0.25">
      <c r="A4733" s="629" t="s">
        <v>3061</v>
      </c>
      <c r="B4733" s="630">
        <v>129</v>
      </c>
      <c r="C4733" s="631" t="str">
        <f t="shared" si="78"/>
        <v>Ô tô vận tải thùng 15 tấn129</v>
      </c>
      <c r="D4733" s="630"/>
      <c r="E4733" s="630"/>
      <c r="F4733" s="630"/>
      <c r="G4733" s="630"/>
    </row>
    <row r="4734" spans="1:7" ht="18.75" x14ac:dyDescent="0.25">
      <c r="A4734" s="629" t="s">
        <v>3061</v>
      </c>
      <c r="B4734" s="630">
        <v>130</v>
      </c>
      <c r="C4734" s="631" t="str">
        <f t="shared" ref="C4734:C4797" si="79">A4734&amp;B4734</f>
        <v>Ô tô vận tải thùng 15 tấn130</v>
      </c>
      <c r="D4734" s="630"/>
      <c r="E4734" s="630"/>
      <c r="F4734" s="630"/>
      <c r="G4734" s="630"/>
    </row>
    <row r="4735" spans="1:7" ht="18.75" x14ac:dyDescent="0.25">
      <c r="A4735" s="629" t="s">
        <v>3061</v>
      </c>
      <c r="B4735" s="630">
        <v>131</v>
      </c>
      <c r="C4735" s="631" t="str">
        <f t="shared" si="79"/>
        <v>Ô tô vận tải thùng 15 tấn131</v>
      </c>
      <c r="D4735" s="630"/>
      <c r="E4735" s="630"/>
      <c r="F4735" s="630"/>
      <c r="G4735" s="630"/>
    </row>
    <row r="4736" spans="1:7" ht="18.75" x14ac:dyDescent="0.25">
      <c r="A4736" s="629" t="s">
        <v>3061</v>
      </c>
      <c r="B4736" s="630">
        <v>132</v>
      </c>
      <c r="C4736" s="631" t="str">
        <f t="shared" si="79"/>
        <v>Ô tô vận tải thùng 15 tấn132</v>
      </c>
      <c r="D4736" s="630"/>
      <c r="E4736" s="630"/>
      <c r="F4736" s="630"/>
      <c r="G4736" s="630"/>
    </row>
    <row r="4737" spans="1:7" ht="18.75" x14ac:dyDescent="0.25">
      <c r="A4737" s="629" t="s">
        <v>3061</v>
      </c>
      <c r="B4737" s="630">
        <v>133</v>
      </c>
      <c r="C4737" s="631" t="str">
        <f t="shared" si="79"/>
        <v>Ô tô vận tải thùng 15 tấn133</v>
      </c>
      <c r="D4737" s="630"/>
      <c r="E4737" s="630"/>
      <c r="F4737" s="630"/>
      <c r="G4737" s="630"/>
    </row>
    <row r="4738" spans="1:7" ht="18.75" x14ac:dyDescent="0.25">
      <c r="A4738" s="629" t="s">
        <v>3061</v>
      </c>
      <c r="B4738" s="630">
        <v>134</v>
      </c>
      <c r="C4738" s="631" t="str">
        <f t="shared" si="79"/>
        <v>Ô tô vận tải thùng 15 tấn134</v>
      </c>
      <c r="D4738" s="630"/>
      <c r="E4738" s="630"/>
      <c r="F4738" s="630"/>
      <c r="G4738" s="630"/>
    </row>
    <row r="4739" spans="1:7" ht="18.75" x14ac:dyDescent="0.25">
      <c r="A4739" s="629" t="s">
        <v>3061</v>
      </c>
      <c r="B4739" s="630">
        <v>135</v>
      </c>
      <c r="C4739" s="631" t="str">
        <f t="shared" si="79"/>
        <v>Ô tô vận tải thùng 15 tấn135</v>
      </c>
      <c r="D4739" s="630"/>
      <c r="E4739" s="630"/>
      <c r="F4739" s="630"/>
      <c r="G4739" s="630"/>
    </row>
    <row r="4740" spans="1:7" ht="18.75" x14ac:dyDescent="0.25">
      <c r="A4740" s="629" t="s">
        <v>3061</v>
      </c>
      <c r="B4740" s="630">
        <v>136</v>
      </c>
      <c r="C4740" s="631" t="str">
        <f t="shared" si="79"/>
        <v>Ô tô vận tải thùng 15 tấn136</v>
      </c>
      <c r="D4740" s="630"/>
      <c r="E4740" s="630"/>
      <c r="F4740" s="630"/>
      <c r="G4740" s="630"/>
    </row>
    <row r="4741" spans="1:7" ht="18.75" x14ac:dyDescent="0.25">
      <c r="A4741" s="629" t="s">
        <v>3061</v>
      </c>
      <c r="B4741" s="630">
        <v>137</v>
      </c>
      <c r="C4741" s="631" t="str">
        <f t="shared" si="79"/>
        <v>Ô tô vận tải thùng 15 tấn137</v>
      </c>
      <c r="D4741" s="630"/>
      <c r="E4741" s="630"/>
      <c r="F4741" s="630"/>
      <c r="G4741" s="630"/>
    </row>
    <row r="4742" spans="1:7" ht="18.75" x14ac:dyDescent="0.25">
      <c r="A4742" s="629" t="s">
        <v>3061</v>
      </c>
      <c r="B4742" s="630">
        <v>138</v>
      </c>
      <c r="C4742" s="631" t="str">
        <f t="shared" si="79"/>
        <v>Ô tô vận tải thùng 15 tấn138</v>
      </c>
      <c r="D4742" s="630"/>
      <c r="E4742" s="630"/>
      <c r="F4742" s="630"/>
      <c r="G4742" s="630"/>
    </row>
    <row r="4743" spans="1:7" ht="18.75" x14ac:dyDescent="0.25">
      <c r="A4743" s="629" t="s">
        <v>3061</v>
      </c>
      <c r="B4743" s="630">
        <v>139</v>
      </c>
      <c r="C4743" s="631" t="str">
        <f t="shared" si="79"/>
        <v>Ô tô vận tải thùng 15 tấn139</v>
      </c>
      <c r="D4743" s="630"/>
      <c r="E4743" s="630"/>
      <c r="F4743" s="630"/>
      <c r="G4743" s="630"/>
    </row>
    <row r="4744" spans="1:7" ht="18.75" x14ac:dyDescent="0.25">
      <c r="A4744" s="629" t="s">
        <v>3061</v>
      </c>
      <c r="B4744" s="630">
        <v>140</v>
      </c>
      <c r="C4744" s="631" t="str">
        <f t="shared" si="79"/>
        <v>Ô tô vận tải thùng 15 tấn140</v>
      </c>
      <c r="D4744" s="630"/>
      <c r="E4744" s="630"/>
      <c r="F4744" s="630"/>
      <c r="G4744" s="630"/>
    </row>
    <row r="4745" spans="1:7" ht="18.75" x14ac:dyDescent="0.25">
      <c r="A4745" s="629" t="s">
        <v>3061</v>
      </c>
      <c r="B4745" s="630">
        <v>141</v>
      </c>
      <c r="C4745" s="631" t="str">
        <f t="shared" si="79"/>
        <v>Ô tô vận tải thùng 15 tấn141</v>
      </c>
      <c r="D4745" s="630"/>
      <c r="E4745" s="630"/>
      <c r="F4745" s="630"/>
      <c r="G4745" s="630"/>
    </row>
    <row r="4746" spans="1:7" ht="18.75" x14ac:dyDescent="0.25">
      <c r="A4746" s="629" t="s">
        <v>3061</v>
      </c>
      <c r="B4746" s="630">
        <v>142</v>
      </c>
      <c r="C4746" s="631" t="str">
        <f t="shared" si="79"/>
        <v>Ô tô vận tải thùng 15 tấn142</v>
      </c>
      <c r="D4746" s="630"/>
      <c r="E4746" s="630"/>
      <c r="F4746" s="630"/>
      <c r="G4746" s="630"/>
    </row>
    <row r="4747" spans="1:7" ht="18.75" x14ac:dyDescent="0.25">
      <c r="A4747" s="629" t="s">
        <v>3061</v>
      </c>
      <c r="B4747" s="630">
        <v>143</v>
      </c>
      <c r="C4747" s="631" t="str">
        <f t="shared" si="79"/>
        <v>Ô tô vận tải thùng 15 tấn143</v>
      </c>
      <c r="D4747" s="630"/>
      <c r="E4747" s="630"/>
      <c r="F4747" s="630"/>
      <c r="G4747" s="630"/>
    </row>
    <row r="4748" spans="1:7" ht="18.75" x14ac:dyDescent="0.25">
      <c r="A4748" s="629" t="s">
        <v>3061</v>
      </c>
      <c r="B4748" s="630">
        <v>144</v>
      </c>
      <c r="C4748" s="631" t="str">
        <f t="shared" si="79"/>
        <v>Ô tô vận tải thùng 15 tấn144</v>
      </c>
      <c r="D4748" s="630"/>
      <c r="E4748" s="630"/>
      <c r="F4748" s="630"/>
      <c r="G4748" s="630"/>
    </row>
    <row r="4749" spans="1:7" ht="18.75" x14ac:dyDescent="0.25">
      <c r="A4749" s="629" t="s">
        <v>3061</v>
      </c>
      <c r="B4749" s="630">
        <v>145</v>
      </c>
      <c r="C4749" s="631" t="str">
        <f t="shared" si="79"/>
        <v>Ô tô vận tải thùng 15 tấn145</v>
      </c>
      <c r="D4749" s="630"/>
      <c r="E4749" s="630"/>
      <c r="F4749" s="630"/>
      <c r="G4749" s="630"/>
    </row>
    <row r="4750" spans="1:7" ht="18.75" x14ac:dyDescent="0.25">
      <c r="A4750" s="629" t="s">
        <v>3061</v>
      </c>
      <c r="B4750" s="630">
        <v>146</v>
      </c>
      <c r="C4750" s="631" t="str">
        <f t="shared" si="79"/>
        <v>Ô tô vận tải thùng 15 tấn146</v>
      </c>
      <c r="D4750" s="630"/>
      <c r="E4750" s="630"/>
      <c r="F4750" s="630"/>
      <c r="G4750" s="630"/>
    </row>
    <row r="4751" spans="1:7" ht="18.75" x14ac:dyDescent="0.25">
      <c r="A4751" s="629" t="s">
        <v>3061</v>
      </c>
      <c r="B4751" s="630">
        <v>147</v>
      </c>
      <c r="C4751" s="631" t="str">
        <f t="shared" si="79"/>
        <v>Ô tô vận tải thùng 15 tấn147</v>
      </c>
      <c r="D4751" s="630"/>
      <c r="E4751" s="630"/>
      <c r="F4751" s="630"/>
      <c r="G4751" s="630"/>
    </row>
    <row r="4752" spans="1:7" ht="18.75" x14ac:dyDescent="0.25">
      <c r="A4752" s="629" t="s">
        <v>3061</v>
      </c>
      <c r="B4752" s="630">
        <v>148</v>
      </c>
      <c r="C4752" s="631" t="str">
        <f t="shared" si="79"/>
        <v>Ô tô vận tải thùng 15 tấn148</v>
      </c>
      <c r="D4752" s="630"/>
      <c r="E4752" s="630"/>
      <c r="F4752" s="630"/>
      <c r="G4752" s="630"/>
    </row>
    <row r="4753" spans="1:7" ht="18.75" x14ac:dyDescent="0.25">
      <c r="A4753" s="629" t="s">
        <v>3061</v>
      </c>
      <c r="B4753" s="630">
        <v>149</v>
      </c>
      <c r="C4753" s="631" t="str">
        <f t="shared" si="79"/>
        <v>Ô tô vận tải thùng 15 tấn149</v>
      </c>
      <c r="D4753" s="630"/>
      <c r="E4753" s="630"/>
      <c r="F4753" s="630"/>
      <c r="G4753" s="630"/>
    </row>
    <row r="4754" spans="1:7" ht="18.75" x14ac:dyDescent="0.25">
      <c r="A4754" s="629" t="s">
        <v>3061</v>
      </c>
      <c r="B4754" s="630">
        <v>150</v>
      </c>
      <c r="C4754" s="631" t="str">
        <f t="shared" si="79"/>
        <v>Ô tô vận tải thùng 15 tấn150</v>
      </c>
      <c r="D4754" s="630"/>
      <c r="E4754" s="630"/>
      <c r="F4754" s="630"/>
      <c r="G4754" s="630"/>
    </row>
    <row r="4755" spans="1:7" ht="18.75" x14ac:dyDescent="0.25">
      <c r="A4755" s="629" t="s">
        <v>3061</v>
      </c>
      <c r="B4755" s="630">
        <v>151</v>
      </c>
      <c r="C4755" s="631" t="str">
        <f t="shared" si="79"/>
        <v>Ô tô vận tải thùng 15 tấn151</v>
      </c>
      <c r="D4755" s="630"/>
      <c r="E4755" s="630"/>
      <c r="F4755" s="630"/>
      <c r="G4755" s="630"/>
    </row>
    <row r="4756" spans="1:7" ht="18.75" x14ac:dyDescent="0.25">
      <c r="A4756" s="629" t="s">
        <v>3061</v>
      </c>
      <c r="B4756" s="630">
        <v>152</v>
      </c>
      <c r="C4756" s="631" t="str">
        <f t="shared" si="79"/>
        <v>Ô tô vận tải thùng 15 tấn152</v>
      </c>
      <c r="D4756" s="630"/>
      <c r="E4756" s="630"/>
      <c r="F4756" s="630"/>
      <c r="G4756" s="630"/>
    </row>
    <row r="4757" spans="1:7" ht="18.75" x14ac:dyDescent="0.25">
      <c r="A4757" s="629" t="s">
        <v>3061</v>
      </c>
      <c r="B4757" s="630">
        <v>153</v>
      </c>
      <c r="C4757" s="631" t="str">
        <f t="shared" si="79"/>
        <v>Ô tô vận tải thùng 15 tấn153</v>
      </c>
      <c r="D4757" s="630"/>
      <c r="E4757" s="630"/>
      <c r="F4757" s="630"/>
      <c r="G4757" s="630"/>
    </row>
    <row r="4758" spans="1:7" ht="18.75" x14ac:dyDescent="0.25">
      <c r="A4758" s="629" t="s">
        <v>3061</v>
      </c>
      <c r="B4758" s="630">
        <v>154</v>
      </c>
      <c r="C4758" s="631" t="str">
        <f t="shared" si="79"/>
        <v>Ô tô vận tải thùng 15 tấn154</v>
      </c>
      <c r="D4758" s="630"/>
      <c r="E4758" s="630"/>
      <c r="F4758" s="630"/>
      <c r="G4758" s="630"/>
    </row>
    <row r="4759" spans="1:7" ht="18.75" x14ac:dyDescent="0.25">
      <c r="A4759" s="629" t="s">
        <v>3061</v>
      </c>
      <c r="B4759" s="630">
        <v>155</v>
      </c>
      <c r="C4759" s="631" t="str">
        <f t="shared" si="79"/>
        <v>Ô tô vận tải thùng 15 tấn155</v>
      </c>
      <c r="D4759" s="630"/>
      <c r="E4759" s="630"/>
      <c r="F4759" s="630"/>
      <c r="G4759" s="630"/>
    </row>
    <row r="4760" spans="1:7" ht="18.75" x14ac:dyDescent="0.25">
      <c r="A4760" s="629" t="s">
        <v>3061</v>
      </c>
      <c r="B4760" s="630">
        <v>156</v>
      </c>
      <c r="C4760" s="631" t="str">
        <f t="shared" si="79"/>
        <v>Ô tô vận tải thùng 15 tấn156</v>
      </c>
      <c r="D4760" s="630"/>
      <c r="E4760" s="630"/>
      <c r="F4760" s="630"/>
      <c r="G4760" s="630"/>
    </row>
    <row r="4761" spans="1:7" ht="18.75" x14ac:dyDescent="0.25">
      <c r="A4761" s="629" t="s">
        <v>3061</v>
      </c>
      <c r="B4761" s="630">
        <v>157</v>
      </c>
      <c r="C4761" s="631" t="str">
        <f t="shared" si="79"/>
        <v>Ô tô vận tải thùng 15 tấn157</v>
      </c>
      <c r="D4761" s="630"/>
      <c r="E4761" s="630"/>
      <c r="F4761" s="630"/>
      <c r="G4761" s="630"/>
    </row>
    <row r="4762" spans="1:7" ht="18.75" x14ac:dyDescent="0.25">
      <c r="A4762" s="629" t="s">
        <v>3061</v>
      </c>
      <c r="B4762" s="630">
        <v>158</v>
      </c>
      <c r="C4762" s="631" t="str">
        <f t="shared" si="79"/>
        <v>Ô tô vận tải thùng 15 tấn158</v>
      </c>
      <c r="D4762" s="630"/>
      <c r="E4762" s="630"/>
      <c r="F4762" s="630"/>
      <c r="G4762" s="630"/>
    </row>
    <row r="4763" spans="1:7" ht="18.75" x14ac:dyDescent="0.25">
      <c r="A4763" s="629" t="s">
        <v>3061</v>
      </c>
      <c r="B4763" s="630">
        <v>159</v>
      </c>
      <c r="C4763" s="631" t="str">
        <f t="shared" si="79"/>
        <v>Ô tô vận tải thùng 15 tấn159</v>
      </c>
      <c r="D4763" s="630"/>
      <c r="E4763" s="630"/>
      <c r="F4763" s="630"/>
      <c r="G4763" s="630"/>
    </row>
    <row r="4764" spans="1:7" ht="18.75" x14ac:dyDescent="0.25">
      <c r="A4764" s="629" t="s">
        <v>3061</v>
      </c>
      <c r="B4764" s="630">
        <v>160</v>
      </c>
      <c r="C4764" s="631" t="str">
        <f t="shared" si="79"/>
        <v>Ô tô vận tải thùng 15 tấn160</v>
      </c>
      <c r="D4764" s="630"/>
      <c r="E4764" s="630"/>
      <c r="F4764" s="630"/>
      <c r="G4764" s="630"/>
    </row>
    <row r="4765" spans="1:7" ht="18.75" x14ac:dyDescent="0.25">
      <c r="A4765" s="629" t="s">
        <v>3061</v>
      </c>
      <c r="B4765" s="630">
        <v>161</v>
      </c>
      <c r="C4765" s="631" t="str">
        <f t="shared" si="79"/>
        <v>Ô tô vận tải thùng 15 tấn161</v>
      </c>
      <c r="D4765" s="630"/>
      <c r="E4765" s="630"/>
      <c r="F4765" s="630"/>
      <c r="G4765" s="630"/>
    </row>
    <row r="4766" spans="1:7" ht="18.75" x14ac:dyDescent="0.25">
      <c r="A4766" s="629" t="s">
        <v>3061</v>
      </c>
      <c r="B4766" s="630">
        <v>162</v>
      </c>
      <c r="C4766" s="631" t="str">
        <f t="shared" si="79"/>
        <v>Ô tô vận tải thùng 15 tấn162</v>
      </c>
      <c r="D4766" s="630"/>
      <c r="E4766" s="630"/>
      <c r="F4766" s="630"/>
      <c r="G4766" s="630"/>
    </row>
    <row r="4767" spans="1:7" ht="18.75" x14ac:dyDescent="0.25">
      <c r="A4767" s="629" t="s">
        <v>3061</v>
      </c>
      <c r="B4767" s="630">
        <v>163</v>
      </c>
      <c r="C4767" s="631" t="str">
        <f t="shared" si="79"/>
        <v>Ô tô vận tải thùng 15 tấn163</v>
      </c>
      <c r="D4767" s="630"/>
      <c r="E4767" s="630"/>
      <c r="F4767" s="630"/>
      <c r="G4767" s="630"/>
    </row>
    <row r="4768" spans="1:7" ht="18.75" x14ac:dyDescent="0.25">
      <c r="A4768" s="629" t="s">
        <v>3061</v>
      </c>
      <c r="B4768" s="630">
        <v>164</v>
      </c>
      <c r="C4768" s="631" t="str">
        <f t="shared" si="79"/>
        <v>Ô tô vận tải thùng 15 tấn164</v>
      </c>
      <c r="D4768" s="630"/>
      <c r="E4768" s="630"/>
      <c r="F4768" s="630"/>
      <c r="G4768" s="630"/>
    </row>
    <row r="4769" spans="1:7" ht="18.75" x14ac:dyDescent="0.25">
      <c r="A4769" s="629" t="s">
        <v>3061</v>
      </c>
      <c r="B4769" s="630">
        <v>165</v>
      </c>
      <c r="C4769" s="631" t="str">
        <f t="shared" si="79"/>
        <v>Ô tô vận tải thùng 15 tấn165</v>
      </c>
      <c r="D4769" s="630"/>
      <c r="E4769" s="630"/>
      <c r="F4769" s="630"/>
      <c r="G4769" s="630"/>
    </row>
    <row r="4770" spans="1:7" ht="18.75" x14ac:dyDescent="0.25">
      <c r="A4770" s="629" t="s">
        <v>3061</v>
      </c>
      <c r="B4770" s="630">
        <v>166</v>
      </c>
      <c r="C4770" s="631" t="str">
        <f t="shared" si="79"/>
        <v>Ô tô vận tải thùng 15 tấn166</v>
      </c>
      <c r="D4770" s="630"/>
      <c r="E4770" s="630"/>
      <c r="F4770" s="630"/>
      <c r="G4770" s="630"/>
    </row>
    <row r="4771" spans="1:7" ht="18.75" x14ac:dyDescent="0.25">
      <c r="A4771" s="629" t="s">
        <v>3061</v>
      </c>
      <c r="B4771" s="630">
        <v>167</v>
      </c>
      <c r="C4771" s="631" t="str">
        <f t="shared" si="79"/>
        <v>Ô tô vận tải thùng 15 tấn167</v>
      </c>
      <c r="D4771" s="630"/>
      <c r="E4771" s="630"/>
      <c r="F4771" s="630"/>
      <c r="G4771" s="630"/>
    </row>
    <row r="4772" spans="1:7" ht="18.75" x14ac:dyDescent="0.25">
      <c r="A4772" s="629" t="s">
        <v>3061</v>
      </c>
      <c r="B4772" s="630">
        <v>168</v>
      </c>
      <c r="C4772" s="631" t="str">
        <f t="shared" si="79"/>
        <v>Ô tô vận tải thùng 15 tấn168</v>
      </c>
      <c r="D4772" s="630"/>
      <c r="E4772" s="630"/>
      <c r="F4772" s="630"/>
      <c r="G4772" s="630"/>
    </row>
    <row r="4773" spans="1:7" ht="18.75" x14ac:dyDescent="0.25">
      <c r="A4773" s="629" t="s">
        <v>3061</v>
      </c>
      <c r="B4773" s="630">
        <v>169</v>
      </c>
      <c r="C4773" s="631" t="str">
        <f t="shared" si="79"/>
        <v>Ô tô vận tải thùng 15 tấn169</v>
      </c>
      <c r="D4773" s="630"/>
      <c r="E4773" s="630"/>
      <c r="F4773" s="630"/>
      <c r="G4773" s="630"/>
    </row>
    <row r="4774" spans="1:7" ht="18.75" x14ac:dyDescent="0.25">
      <c r="A4774" s="629" t="s">
        <v>3061</v>
      </c>
      <c r="B4774" s="630">
        <v>170</v>
      </c>
      <c r="C4774" s="631" t="str">
        <f t="shared" si="79"/>
        <v>Ô tô vận tải thùng 15 tấn170</v>
      </c>
      <c r="D4774" s="630"/>
      <c r="E4774" s="630"/>
      <c r="F4774" s="630"/>
      <c r="G4774" s="630"/>
    </row>
    <row r="4775" spans="1:7" ht="18.75" x14ac:dyDescent="0.25">
      <c r="A4775" s="629" t="s">
        <v>3061</v>
      </c>
      <c r="B4775" s="630">
        <v>171</v>
      </c>
      <c r="C4775" s="631" t="str">
        <f t="shared" si="79"/>
        <v>Ô tô vận tải thùng 15 tấn171</v>
      </c>
      <c r="D4775" s="630"/>
      <c r="E4775" s="630"/>
      <c r="F4775" s="630"/>
      <c r="G4775" s="630"/>
    </row>
    <row r="4776" spans="1:7" ht="18.75" x14ac:dyDescent="0.25">
      <c r="A4776" s="629" t="s">
        <v>3061</v>
      </c>
      <c r="B4776" s="630">
        <v>172</v>
      </c>
      <c r="C4776" s="631" t="str">
        <f t="shared" si="79"/>
        <v>Ô tô vận tải thùng 15 tấn172</v>
      </c>
      <c r="D4776" s="630"/>
      <c r="E4776" s="630"/>
      <c r="F4776" s="630"/>
      <c r="G4776" s="630"/>
    </row>
    <row r="4777" spans="1:7" ht="18.75" x14ac:dyDescent="0.25">
      <c r="A4777" s="629" t="s">
        <v>3061</v>
      </c>
      <c r="B4777" s="630">
        <v>173</v>
      </c>
      <c r="C4777" s="631" t="str">
        <f t="shared" si="79"/>
        <v>Ô tô vận tải thùng 15 tấn173</v>
      </c>
      <c r="D4777" s="630"/>
      <c r="E4777" s="630"/>
      <c r="F4777" s="630"/>
      <c r="G4777" s="630"/>
    </row>
    <row r="4778" spans="1:7" ht="18.75" x14ac:dyDescent="0.25">
      <c r="A4778" s="629" t="s">
        <v>3061</v>
      </c>
      <c r="B4778" s="630">
        <v>174</v>
      </c>
      <c r="C4778" s="631" t="str">
        <f t="shared" si="79"/>
        <v>Ô tô vận tải thùng 15 tấn174</v>
      </c>
      <c r="D4778" s="630"/>
      <c r="E4778" s="630"/>
      <c r="F4778" s="630"/>
      <c r="G4778" s="630"/>
    </row>
    <row r="4779" spans="1:7" ht="18.75" x14ac:dyDescent="0.25">
      <c r="A4779" s="629" t="s">
        <v>3061</v>
      </c>
      <c r="B4779" s="630">
        <v>175</v>
      </c>
      <c r="C4779" s="631" t="str">
        <f t="shared" si="79"/>
        <v>Ô tô vận tải thùng 15 tấn175</v>
      </c>
      <c r="D4779" s="630"/>
      <c r="E4779" s="630"/>
      <c r="F4779" s="630"/>
      <c r="G4779" s="630"/>
    </row>
    <row r="4780" spans="1:7" ht="18.75" x14ac:dyDescent="0.25">
      <c r="A4780" s="629" t="s">
        <v>3061</v>
      </c>
      <c r="B4780" s="630">
        <v>176</v>
      </c>
      <c r="C4780" s="631" t="str">
        <f t="shared" si="79"/>
        <v>Ô tô vận tải thùng 15 tấn176</v>
      </c>
      <c r="D4780" s="630"/>
      <c r="E4780" s="630"/>
      <c r="F4780" s="630"/>
      <c r="G4780" s="630"/>
    </row>
    <row r="4781" spans="1:7" ht="18.75" x14ac:dyDescent="0.25">
      <c r="A4781" s="629" t="s">
        <v>3061</v>
      </c>
      <c r="B4781" s="630">
        <v>177</v>
      </c>
      <c r="C4781" s="631" t="str">
        <f t="shared" si="79"/>
        <v>Ô tô vận tải thùng 15 tấn177</v>
      </c>
      <c r="D4781" s="630"/>
      <c r="E4781" s="630"/>
      <c r="F4781" s="630"/>
      <c r="G4781" s="630"/>
    </row>
    <row r="4782" spans="1:7" ht="18.75" x14ac:dyDescent="0.25">
      <c r="A4782" s="629" t="s">
        <v>3061</v>
      </c>
      <c r="B4782" s="630">
        <v>178</v>
      </c>
      <c r="C4782" s="631" t="str">
        <f t="shared" si="79"/>
        <v>Ô tô vận tải thùng 15 tấn178</v>
      </c>
      <c r="D4782" s="630"/>
      <c r="E4782" s="630"/>
      <c r="F4782" s="630"/>
      <c r="G4782" s="630"/>
    </row>
    <row r="4783" spans="1:7" ht="18.75" x14ac:dyDescent="0.25">
      <c r="A4783" s="629" t="s">
        <v>3061</v>
      </c>
      <c r="B4783" s="630">
        <v>179</v>
      </c>
      <c r="C4783" s="631" t="str">
        <f t="shared" si="79"/>
        <v>Ô tô vận tải thùng 15 tấn179</v>
      </c>
      <c r="D4783" s="630"/>
      <c r="E4783" s="630"/>
      <c r="F4783" s="630"/>
      <c r="G4783" s="630"/>
    </row>
    <row r="4784" spans="1:7" ht="18.75" x14ac:dyDescent="0.25">
      <c r="A4784" s="629" t="s">
        <v>3061</v>
      </c>
      <c r="B4784" s="630">
        <v>180</v>
      </c>
      <c r="C4784" s="631" t="str">
        <f t="shared" si="79"/>
        <v>Ô tô vận tải thùng 15 tấn180</v>
      </c>
      <c r="D4784" s="630"/>
      <c r="E4784" s="630"/>
      <c r="F4784" s="630"/>
      <c r="G4784" s="630"/>
    </row>
    <row r="4785" spans="1:7" ht="18.75" x14ac:dyDescent="0.25">
      <c r="A4785" s="629" t="s">
        <v>3061</v>
      </c>
      <c r="B4785" s="630">
        <v>181</v>
      </c>
      <c r="C4785" s="631" t="str">
        <f t="shared" si="79"/>
        <v>Ô tô vận tải thùng 15 tấn181</v>
      </c>
      <c r="D4785" s="630"/>
      <c r="E4785" s="630"/>
      <c r="F4785" s="630"/>
      <c r="G4785" s="630"/>
    </row>
    <row r="4786" spans="1:7" ht="18.75" x14ac:dyDescent="0.25">
      <c r="A4786" s="629" t="s">
        <v>3061</v>
      </c>
      <c r="B4786" s="630">
        <v>182</v>
      </c>
      <c r="C4786" s="631" t="str">
        <f t="shared" si="79"/>
        <v>Ô tô vận tải thùng 15 tấn182</v>
      </c>
      <c r="D4786" s="630"/>
      <c r="E4786" s="630"/>
      <c r="F4786" s="630"/>
      <c r="G4786" s="630"/>
    </row>
    <row r="4787" spans="1:7" ht="18.75" x14ac:dyDescent="0.25">
      <c r="A4787" s="629" t="s">
        <v>3061</v>
      </c>
      <c r="B4787" s="630">
        <v>183</v>
      </c>
      <c r="C4787" s="631" t="str">
        <f t="shared" si="79"/>
        <v>Ô tô vận tải thùng 15 tấn183</v>
      </c>
      <c r="D4787" s="630"/>
      <c r="E4787" s="630"/>
      <c r="F4787" s="630"/>
      <c r="G4787" s="630"/>
    </row>
    <row r="4788" spans="1:7" ht="18.75" x14ac:dyDescent="0.25">
      <c r="A4788" s="629" t="s">
        <v>3061</v>
      </c>
      <c r="B4788" s="630">
        <v>184</v>
      </c>
      <c r="C4788" s="631" t="str">
        <f t="shared" si="79"/>
        <v>Ô tô vận tải thùng 15 tấn184</v>
      </c>
      <c r="D4788" s="630"/>
      <c r="E4788" s="630"/>
      <c r="F4788" s="630"/>
      <c r="G4788" s="630"/>
    </row>
    <row r="4789" spans="1:7" ht="18.75" x14ac:dyDescent="0.25">
      <c r="A4789" s="629" t="s">
        <v>3061</v>
      </c>
      <c r="B4789" s="630">
        <v>185</v>
      </c>
      <c r="C4789" s="631" t="str">
        <f t="shared" si="79"/>
        <v>Ô tô vận tải thùng 15 tấn185</v>
      </c>
      <c r="D4789" s="630"/>
      <c r="E4789" s="630"/>
      <c r="F4789" s="630"/>
      <c r="G4789" s="630"/>
    </row>
    <row r="4790" spans="1:7" ht="18.75" x14ac:dyDescent="0.25">
      <c r="A4790" s="629" t="s">
        <v>3061</v>
      </c>
      <c r="B4790" s="630">
        <v>186</v>
      </c>
      <c r="C4790" s="631" t="str">
        <f t="shared" si="79"/>
        <v>Ô tô vận tải thùng 15 tấn186</v>
      </c>
      <c r="D4790" s="630"/>
      <c r="E4790" s="630"/>
      <c r="F4790" s="630"/>
      <c r="G4790" s="630"/>
    </row>
    <row r="4791" spans="1:7" ht="18.75" x14ac:dyDescent="0.25">
      <c r="A4791" s="629" t="s">
        <v>3061</v>
      </c>
      <c r="B4791" s="630">
        <v>187</v>
      </c>
      <c r="C4791" s="631" t="str">
        <f t="shared" si="79"/>
        <v>Ô tô vận tải thùng 15 tấn187</v>
      </c>
      <c r="D4791" s="630"/>
      <c r="E4791" s="630"/>
      <c r="F4791" s="630"/>
      <c r="G4791" s="630"/>
    </row>
    <row r="4792" spans="1:7" ht="18.75" x14ac:dyDescent="0.25">
      <c r="A4792" s="629" t="s">
        <v>3061</v>
      </c>
      <c r="B4792" s="630">
        <v>188</v>
      </c>
      <c r="C4792" s="631" t="str">
        <f t="shared" si="79"/>
        <v>Ô tô vận tải thùng 15 tấn188</v>
      </c>
      <c r="D4792" s="630"/>
      <c r="E4792" s="630"/>
      <c r="F4792" s="630"/>
      <c r="G4792" s="630"/>
    </row>
    <row r="4793" spans="1:7" ht="18.75" x14ac:dyDescent="0.25">
      <c r="A4793" s="629" t="s">
        <v>3061</v>
      </c>
      <c r="B4793" s="630">
        <v>189</v>
      </c>
      <c r="C4793" s="631" t="str">
        <f t="shared" si="79"/>
        <v>Ô tô vận tải thùng 15 tấn189</v>
      </c>
      <c r="D4793" s="630"/>
      <c r="E4793" s="630"/>
      <c r="F4793" s="630"/>
      <c r="G4793" s="630"/>
    </row>
    <row r="4794" spans="1:7" ht="18.75" x14ac:dyDescent="0.25">
      <c r="A4794" s="629" t="s">
        <v>3061</v>
      </c>
      <c r="B4794" s="630">
        <v>190</v>
      </c>
      <c r="C4794" s="631" t="str">
        <f t="shared" si="79"/>
        <v>Ô tô vận tải thùng 15 tấn190</v>
      </c>
      <c r="D4794" s="630"/>
      <c r="E4794" s="630"/>
      <c r="F4794" s="630"/>
      <c r="G4794" s="630"/>
    </row>
    <row r="4795" spans="1:7" ht="18.75" x14ac:dyDescent="0.25">
      <c r="A4795" s="629" t="s">
        <v>3061</v>
      </c>
      <c r="B4795" s="630">
        <v>191</v>
      </c>
      <c r="C4795" s="631" t="str">
        <f t="shared" si="79"/>
        <v>Ô tô vận tải thùng 15 tấn191</v>
      </c>
      <c r="D4795" s="630"/>
      <c r="E4795" s="630"/>
      <c r="F4795" s="630"/>
      <c r="G4795" s="630"/>
    </row>
    <row r="4796" spans="1:7" ht="18.75" x14ac:dyDescent="0.25">
      <c r="A4796" s="629" t="s">
        <v>3061</v>
      </c>
      <c r="B4796" s="630">
        <v>192</v>
      </c>
      <c r="C4796" s="631" t="str">
        <f t="shared" si="79"/>
        <v>Ô tô vận tải thùng 15 tấn192</v>
      </c>
      <c r="D4796" s="630"/>
      <c r="E4796" s="630"/>
      <c r="F4796" s="630"/>
      <c r="G4796" s="630"/>
    </row>
    <row r="4797" spans="1:7" ht="18.75" x14ac:dyDescent="0.25">
      <c r="A4797" s="629" t="s">
        <v>3061</v>
      </c>
      <c r="B4797" s="630">
        <v>193</v>
      </c>
      <c r="C4797" s="631" t="str">
        <f t="shared" si="79"/>
        <v>Ô tô vận tải thùng 15 tấn193</v>
      </c>
      <c r="D4797" s="630"/>
      <c r="E4797" s="630"/>
      <c r="F4797" s="630"/>
      <c r="G4797" s="630"/>
    </row>
    <row r="4798" spans="1:7" ht="18.75" x14ac:dyDescent="0.25">
      <c r="A4798" s="629" t="s">
        <v>3061</v>
      </c>
      <c r="B4798" s="630">
        <v>194</v>
      </c>
      <c r="C4798" s="631" t="str">
        <f t="shared" ref="C4798:C4861" si="80">A4798&amp;B4798</f>
        <v>Ô tô vận tải thùng 15 tấn194</v>
      </c>
      <c r="D4798" s="630"/>
      <c r="E4798" s="630"/>
      <c r="F4798" s="630"/>
      <c r="G4798" s="630"/>
    </row>
    <row r="4799" spans="1:7" ht="18.75" x14ac:dyDescent="0.25">
      <c r="A4799" s="629" t="s">
        <v>3061</v>
      </c>
      <c r="B4799" s="630">
        <v>195</v>
      </c>
      <c r="C4799" s="631" t="str">
        <f t="shared" si="80"/>
        <v>Ô tô vận tải thùng 15 tấn195</v>
      </c>
      <c r="D4799" s="630"/>
      <c r="E4799" s="630"/>
      <c r="F4799" s="630"/>
      <c r="G4799" s="630"/>
    </row>
    <row r="4800" spans="1:7" ht="18.75" x14ac:dyDescent="0.25">
      <c r="A4800" s="629" t="s">
        <v>3061</v>
      </c>
      <c r="B4800" s="630">
        <v>196</v>
      </c>
      <c r="C4800" s="631" t="str">
        <f t="shared" si="80"/>
        <v>Ô tô vận tải thùng 15 tấn196</v>
      </c>
      <c r="D4800" s="630"/>
      <c r="E4800" s="630"/>
      <c r="F4800" s="630"/>
      <c r="G4800" s="630"/>
    </row>
    <row r="4801" spans="1:7" ht="18.75" x14ac:dyDescent="0.25">
      <c r="A4801" s="629" t="s">
        <v>3061</v>
      </c>
      <c r="B4801" s="630">
        <v>197</v>
      </c>
      <c r="C4801" s="631" t="str">
        <f t="shared" si="80"/>
        <v>Ô tô vận tải thùng 15 tấn197</v>
      </c>
      <c r="D4801" s="630"/>
      <c r="E4801" s="630"/>
      <c r="F4801" s="630"/>
      <c r="G4801" s="630"/>
    </row>
    <row r="4802" spans="1:7" ht="18.75" x14ac:dyDescent="0.25">
      <c r="A4802" s="629" t="s">
        <v>3061</v>
      </c>
      <c r="B4802" s="630">
        <v>198</v>
      </c>
      <c r="C4802" s="631" t="str">
        <f t="shared" si="80"/>
        <v>Ô tô vận tải thùng 15 tấn198</v>
      </c>
      <c r="D4802" s="630"/>
      <c r="E4802" s="630"/>
      <c r="F4802" s="630"/>
      <c r="G4802" s="630"/>
    </row>
    <row r="4803" spans="1:7" ht="18.75" x14ac:dyDescent="0.25">
      <c r="A4803" s="629" t="s">
        <v>3061</v>
      </c>
      <c r="B4803" s="630">
        <v>199</v>
      </c>
      <c r="C4803" s="631" t="str">
        <f t="shared" si="80"/>
        <v>Ô tô vận tải thùng 15 tấn199</v>
      </c>
      <c r="D4803" s="630"/>
      <c r="E4803" s="630"/>
      <c r="F4803" s="630"/>
      <c r="G4803" s="630"/>
    </row>
    <row r="4804" spans="1:7" ht="18.75" x14ac:dyDescent="0.25">
      <c r="A4804" s="629" t="s">
        <v>3061</v>
      </c>
      <c r="B4804" s="630">
        <v>200</v>
      </c>
      <c r="C4804" s="631" t="str">
        <f t="shared" si="80"/>
        <v>Ô tô vận tải thùng 15 tấn200</v>
      </c>
      <c r="D4804" s="630"/>
      <c r="E4804" s="630"/>
      <c r="F4804" s="630"/>
      <c r="G4804" s="630"/>
    </row>
    <row r="4805" spans="1:7" ht="18.75" x14ac:dyDescent="0.25">
      <c r="A4805" s="629" t="s">
        <v>3061</v>
      </c>
      <c r="B4805" s="630">
        <v>201</v>
      </c>
      <c r="C4805" s="631" t="str">
        <f t="shared" si="80"/>
        <v>Ô tô vận tải thùng 15 tấn201</v>
      </c>
      <c r="D4805" s="630"/>
      <c r="E4805" s="630"/>
      <c r="F4805" s="630"/>
      <c r="G4805" s="630"/>
    </row>
    <row r="4806" spans="1:7" ht="18.75" x14ac:dyDescent="0.25">
      <c r="A4806" s="629" t="s">
        <v>3061</v>
      </c>
      <c r="B4806" s="630">
        <v>202</v>
      </c>
      <c r="C4806" s="631" t="str">
        <f t="shared" si="80"/>
        <v>Ô tô vận tải thùng 15 tấn202</v>
      </c>
      <c r="D4806" s="630"/>
      <c r="E4806" s="630"/>
      <c r="F4806" s="630"/>
      <c r="G4806" s="630"/>
    </row>
    <row r="4807" spans="1:7" ht="18.75" x14ac:dyDescent="0.25">
      <c r="A4807" s="629" t="s">
        <v>3061</v>
      </c>
      <c r="B4807" s="630">
        <v>203</v>
      </c>
      <c r="C4807" s="631" t="str">
        <f t="shared" si="80"/>
        <v>Ô tô vận tải thùng 15 tấn203</v>
      </c>
      <c r="D4807" s="630"/>
      <c r="E4807" s="630"/>
      <c r="F4807" s="630"/>
      <c r="G4807" s="630"/>
    </row>
    <row r="4808" spans="1:7" ht="18.75" x14ac:dyDescent="0.25">
      <c r="A4808" s="629" t="s">
        <v>3061</v>
      </c>
      <c r="B4808" s="630">
        <v>204</v>
      </c>
      <c r="C4808" s="631" t="str">
        <f t="shared" si="80"/>
        <v>Ô tô vận tải thùng 15 tấn204</v>
      </c>
      <c r="D4808" s="630"/>
      <c r="E4808" s="630"/>
      <c r="F4808" s="630"/>
      <c r="G4808" s="630"/>
    </row>
    <row r="4809" spans="1:7" ht="18.75" x14ac:dyDescent="0.25">
      <c r="A4809" s="629" t="s">
        <v>3061</v>
      </c>
      <c r="B4809" s="630">
        <v>205</v>
      </c>
      <c r="C4809" s="631" t="str">
        <f t="shared" si="80"/>
        <v>Ô tô vận tải thùng 15 tấn205</v>
      </c>
      <c r="D4809" s="630"/>
      <c r="E4809" s="630"/>
      <c r="F4809" s="630"/>
      <c r="G4809" s="630"/>
    </row>
    <row r="4810" spans="1:7" ht="18.75" x14ac:dyDescent="0.25">
      <c r="A4810" s="629" t="s">
        <v>3061</v>
      </c>
      <c r="B4810" s="630">
        <v>206</v>
      </c>
      <c r="C4810" s="631" t="str">
        <f t="shared" si="80"/>
        <v>Ô tô vận tải thùng 15 tấn206</v>
      </c>
      <c r="D4810" s="630"/>
      <c r="E4810" s="630"/>
      <c r="F4810" s="630"/>
      <c r="G4810" s="630"/>
    </row>
    <row r="4811" spans="1:7" ht="18.75" x14ac:dyDescent="0.25">
      <c r="A4811" s="629" t="s">
        <v>3061</v>
      </c>
      <c r="B4811" s="630">
        <v>207</v>
      </c>
      <c r="C4811" s="631" t="str">
        <f t="shared" si="80"/>
        <v>Ô tô vận tải thùng 15 tấn207</v>
      </c>
      <c r="D4811" s="630"/>
      <c r="E4811" s="630"/>
      <c r="F4811" s="630"/>
      <c r="G4811" s="630"/>
    </row>
    <row r="4812" spans="1:7" ht="18.75" x14ac:dyDescent="0.25">
      <c r="A4812" s="629" t="s">
        <v>3061</v>
      </c>
      <c r="B4812" s="630">
        <v>208</v>
      </c>
      <c r="C4812" s="631" t="str">
        <f t="shared" si="80"/>
        <v>Ô tô vận tải thùng 15 tấn208</v>
      </c>
      <c r="D4812" s="630"/>
      <c r="E4812" s="630"/>
      <c r="F4812" s="630"/>
      <c r="G4812" s="630"/>
    </row>
    <row r="4813" spans="1:7" ht="18.75" x14ac:dyDescent="0.25">
      <c r="A4813" s="629" t="s">
        <v>3061</v>
      </c>
      <c r="B4813" s="630">
        <v>209</v>
      </c>
      <c r="C4813" s="631" t="str">
        <f t="shared" si="80"/>
        <v>Ô tô vận tải thùng 15 tấn209</v>
      </c>
      <c r="D4813" s="630"/>
      <c r="E4813" s="630"/>
      <c r="F4813" s="630"/>
      <c r="G4813" s="630"/>
    </row>
    <row r="4814" spans="1:7" ht="18.75" x14ac:dyDescent="0.25">
      <c r="A4814" s="629" t="s">
        <v>3061</v>
      </c>
      <c r="B4814" s="630">
        <v>210</v>
      </c>
      <c r="C4814" s="631" t="str">
        <f t="shared" si="80"/>
        <v>Ô tô vận tải thùng 15 tấn210</v>
      </c>
      <c r="D4814" s="630"/>
      <c r="E4814" s="630"/>
      <c r="F4814" s="630"/>
      <c r="G4814" s="630"/>
    </row>
    <row r="4815" spans="1:7" ht="18.75" x14ac:dyDescent="0.25">
      <c r="A4815" s="629" t="s">
        <v>3061</v>
      </c>
      <c r="B4815" s="630">
        <v>211</v>
      </c>
      <c r="C4815" s="631" t="str">
        <f t="shared" si="80"/>
        <v>Ô tô vận tải thùng 15 tấn211</v>
      </c>
      <c r="D4815" s="630"/>
      <c r="E4815" s="630"/>
      <c r="F4815" s="630"/>
      <c r="G4815" s="630"/>
    </row>
    <row r="4816" spans="1:7" ht="18.75" x14ac:dyDescent="0.25">
      <c r="A4816" s="629" t="s">
        <v>3061</v>
      </c>
      <c r="B4816" s="630">
        <v>212</v>
      </c>
      <c r="C4816" s="631" t="str">
        <f t="shared" si="80"/>
        <v>Ô tô vận tải thùng 15 tấn212</v>
      </c>
      <c r="D4816" s="630"/>
      <c r="E4816" s="630"/>
      <c r="F4816" s="630"/>
      <c r="G4816" s="630"/>
    </row>
    <row r="4817" spans="1:7" ht="18.75" x14ac:dyDescent="0.25">
      <c r="A4817" s="629" t="s">
        <v>3061</v>
      </c>
      <c r="B4817" s="630">
        <v>213</v>
      </c>
      <c r="C4817" s="631" t="str">
        <f t="shared" si="80"/>
        <v>Ô tô vận tải thùng 15 tấn213</v>
      </c>
      <c r="D4817" s="630"/>
      <c r="E4817" s="630"/>
      <c r="F4817" s="630"/>
      <c r="G4817" s="630"/>
    </row>
    <row r="4818" spans="1:7" ht="18.75" x14ac:dyDescent="0.25">
      <c r="A4818" s="629" t="s">
        <v>3061</v>
      </c>
      <c r="B4818" s="630">
        <v>214</v>
      </c>
      <c r="C4818" s="631" t="str">
        <f t="shared" si="80"/>
        <v>Ô tô vận tải thùng 15 tấn214</v>
      </c>
      <c r="D4818" s="630"/>
      <c r="E4818" s="630"/>
      <c r="F4818" s="630"/>
      <c r="G4818" s="630"/>
    </row>
    <row r="4819" spans="1:7" ht="18.75" x14ac:dyDescent="0.25">
      <c r="A4819" s="629" t="s">
        <v>3061</v>
      </c>
      <c r="B4819" s="630">
        <v>215</v>
      </c>
      <c r="C4819" s="631" t="str">
        <f t="shared" si="80"/>
        <v>Ô tô vận tải thùng 15 tấn215</v>
      </c>
      <c r="D4819" s="630"/>
      <c r="E4819" s="630"/>
      <c r="F4819" s="630"/>
      <c r="G4819" s="630"/>
    </row>
    <row r="4820" spans="1:7" ht="18.75" x14ac:dyDescent="0.25">
      <c r="A4820" s="629" t="s">
        <v>3061</v>
      </c>
      <c r="B4820" s="630">
        <v>216</v>
      </c>
      <c r="C4820" s="631" t="str">
        <f t="shared" si="80"/>
        <v>Ô tô vận tải thùng 15 tấn216</v>
      </c>
      <c r="D4820" s="630"/>
      <c r="E4820" s="630"/>
      <c r="F4820" s="630"/>
      <c r="G4820" s="630"/>
    </row>
    <row r="4821" spans="1:7" ht="18.75" x14ac:dyDescent="0.25">
      <c r="A4821" s="629" t="s">
        <v>3061</v>
      </c>
      <c r="B4821" s="630">
        <v>217</v>
      </c>
      <c r="C4821" s="631" t="str">
        <f t="shared" si="80"/>
        <v>Ô tô vận tải thùng 15 tấn217</v>
      </c>
      <c r="D4821" s="630"/>
      <c r="E4821" s="630"/>
      <c r="F4821" s="630"/>
      <c r="G4821" s="630"/>
    </row>
    <row r="4822" spans="1:7" ht="18.75" x14ac:dyDescent="0.25">
      <c r="A4822" s="629" t="s">
        <v>3061</v>
      </c>
      <c r="B4822" s="630">
        <v>218</v>
      </c>
      <c r="C4822" s="631" t="str">
        <f t="shared" si="80"/>
        <v>Ô tô vận tải thùng 15 tấn218</v>
      </c>
      <c r="D4822" s="630"/>
      <c r="E4822" s="630"/>
      <c r="F4822" s="630"/>
      <c r="G4822" s="630"/>
    </row>
    <row r="4823" spans="1:7" ht="18.75" x14ac:dyDescent="0.25">
      <c r="A4823" s="629" t="s">
        <v>3061</v>
      </c>
      <c r="B4823" s="630">
        <v>219</v>
      </c>
      <c r="C4823" s="631" t="str">
        <f t="shared" si="80"/>
        <v>Ô tô vận tải thùng 15 tấn219</v>
      </c>
      <c r="D4823" s="630"/>
      <c r="E4823" s="630"/>
      <c r="F4823" s="630"/>
      <c r="G4823" s="630"/>
    </row>
    <row r="4824" spans="1:7" ht="18.75" x14ac:dyDescent="0.25">
      <c r="A4824" s="629" t="s">
        <v>3061</v>
      </c>
      <c r="B4824" s="630">
        <v>220</v>
      </c>
      <c r="C4824" s="631" t="str">
        <f t="shared" si="80"/>
        <v>Ô tô vận tải thùng 15 tấn220</v>
      </c>
      <c r="D4824" s="630"/>
      <c r="E4824" s="630"/>
      <c r="F4824" s="630"/>
      <c r="G4824" s="630"/>
    </row>
    <row r="4825" spans="1:7" ht="18.75" x14ac:dyDescent="0.25">
      <c r="A4825" s="629" t="s">
        <v>3061</v>
      </c>
      <c r="B4825" s="630">
        <v>221</v>
      </c>
      <c r="C4825" s="631" t="str">
        <f t="shared" si="80"/>
        <v>Ô tô vận tải thùng 15 tấn221</v>
      </c>
      <c r="D4825" s="630"/>
      <c r="E4825" s="630"/>
      <c r="F4825" s="630"/>
      <c r="G4825" s="630"/>
    </row>
    <row r="4826" spans="1:7" ht="18.75" x14ac:dyDescent="0.25">
      <c r="A4826" s="629" t="s">
        <v>3061</v>
      </c>
      <c r="B4826" s="630">
        <v>222</v>
      </c>
      <c r="C4826" s="631" t="str">
        <f t="shared" si="80"/>
        <v>Ô tô vận tải thùng 15 tấn222</v>
      </c>
      <c r="D4826" s="630"/>
      <c r="E4826" s="630"/>
      <c r="F4826" s="630"/>
      <c r="G4826" s="630"/>
    </row>
    <row r="4827" spans="1:7" ht="18.75" x14ac:dyDescent="0.25">
      <c r="A4827" s="629" t="s">
        <v>3061</v>
      </c>
      <c r="B4827" s="630">
        <v>223</v>
      </c>
      <c r="C4827" s="631" t="str">
        <f t="shared" si="80"/>
        <v>Ô tô vận tải thùng 15 tấn223</v>
      </c>
      <c r="D4827" s="630"/>
      <c r="E4827" s="630"/>
      <c r="F4827" s="630"/>
      <c r="G4827" s="630"/>
    </row>
    <row r="4828" spans="1:7" ht="18.75" x14ac:dyDescent="0.25">
      <c r="A4828" s="629" t="s">
        <v>3061</v>
      </c>
      <c r="B4828" s="630">
        <v>224</v>
      </c>
      <c r="C4828" s="631" t="str">
        <f t="shared" si="80"/>
        <v>Ô tô vận tải thùng 15 tấn224</v>
      </c>
      <c r="D4828" s="630"/>
      <c r="E4828" s="630"/>
      <c r="F4828" s="630"/>
      <c r="G4828" s="630"/>
    </row>
    <row r="4829" spans="1:7" ht="18.75" x14ac:dyDescent="0.25">
      <c r="A4829" s="629" t="s">
        <v>3061</v>
      </c>
      <c r="B4829" s="630">
        <v>225</v>
      </c>
      <c r="C4829" s="631" t="str">
        <f t="shared" si="80"/>
        <v>Ô tô vận tải thùng 15 tấn225</v>
      </c>
      <c r="D4829" s="630"/>
      <c r="E4829" s="630"/>
      <c r="F4829" s="630"/>
      <c r="G4829" s="630"/>
    </row>
    <row r="4830" spans="1:7" ht="18.75" x14ac:dyDescent="0.25">
      <c r="A4830" s="629" t="s">
        <v>3061</v>
      </c>
      <c r="B4830" s="630">
        <v>226</v>
      </c>
      <c r="C4830" s="631" t="str">
        <f t="shared" si="80"/>
        <v>Ô tô vận tải thùng 15 tấn226</v>
      </c>
      <c r="D4830" s="630"/>
      <c r="E4830" s="630"/>
      <c r="F4830" s="630"/>
      <c r="G4830" s="630"/>
    </row>
    <row r="4831" spans="1:7" ht="18.75" x14ac:dyDescent="0.25">
      <c r="A4831" s="629" t="s">
        <v>3061</v>
      </c>
      <c r="B4831" s="630">
        <v>227</v>
      </c>
      <c r="C4831" s="631" t="str">
        <f t="shared" si="80"/>
        <v>Ô tô vận tải thùng 15 tấn227</v>
      </c>
      <c r="D4831" s="630"/>
      <c r="E4831" s="630"/>
      <c r="F4831" s="630"/>
      <c r="G4831" s="630"/>
    </row>
    <row r="4832" spans="1:7" ht="18.75" x14ac:dyDescent="0.25">
      <c r="A4832" s="629" t="s">
        <v>3061</v>
      </c>
      <c r="B4832" s="630">
        <v>228</v>
      </c>
      <c r="C4832" s="631" t="str">
        <f t="shared" si="80"/>
        <v>Ô tô vận tải thùng 15 tấn228</v>
      </c>
      <c r="D4832" s="630"/>
      <c r="E4832" s="630"/>
      <c r="F4832" s="630"/>
      <c r="G4832" s="630"/>
    </row>
    <row r="4833" spans="1:7" ht="18.75" x14ac:dyDescent="0.25">
      <c r="A4833" s="629" t="s">
        <v>3061</v>
      </c>
      <c r="B4833" s="630">
        <v>229</v>
      </c>
      <c r="C4833" s="631" t="str">
        <f t="shared" si="80"/>
        <v>Ô tô vận tải thùng 15 tấn229</v>
      </c>
      <c r="D4833" s="630"/>
      <c r="E4833" s="630"/>
      <c r="F4833" s="630"/>
      <c r="G4833" s="630"/>
    </row>
    <row r="4834" spans="1:7" ht="18.75" x14ac:dyDescent="0.25">
      <c r="A4834" s="629" t="s">
        <v>3061</v>
      </c>
      <c r="B4834" s="630">
        <v>230</v>
      </c>
      <c r="C4834" s="631" t="str">
        <f t="shared" si="80"/>
        <v>Ô tô vận tải thùng 15 tấn230</v>
      </c>
      <c r="D4834" s="630"/>
      <c r="E4834" s="630"/>
      <c r="F4834" s="630"/>
      <c r="G4834" s="630"/>
    </row>
    <row r="4835" spans="1:7" ht="18.75" x14ac:dyDescent="0.25">
      <c r="A4835" s="629" t="s">
        <v>3061</v>
      </c>
      <c r="B4835" s="630">
        <v>231</v>
      </c>
      <c r="C4835" s="631" t="str">
        <f t="shared" si="80"/>
        <v>Ô tô vận tải thùng 15 tấn231</v>
      </c>
      <c r="D4835" s="630"/>
      <c r="E4835" s="630"/>
      <c r="F4835" s="630"/>
      <c r="G4835" s="630"/>
    </row>
    <row r="4836" spans="1:7" ht="18.75" x14ac:dyDescent="0.25">
      <c r="A4836" s="629" t="s">
        <v>3061</v>
      </c>
      <c r="B4836" s="630">
        <v>232</v>
      </c>
      <c r="C4836" s="631" t="str">
        <f t="shared" si="80"/>
        <v>Ô tô vận tải thùng 15 tấn232</v>
      </c>
      <c r="D4836" s="630"/>
      <c r="E4836" s="630"/>
      <c r="F4836" s="630"/>
      <c r="G4836" s="630"/>
    </row>
    <row r="4837" spans="1:7" ht="18.75" x14ac:dyDescent="0.25">
      <c r="A4837" s="629" t="s">
        <v>3061</v>
      </c>
      <c r="B4837" s="630">
        <v>233</v>
      </c>
      <c r="C4837" s="631" t="str">
        <f t="shared" si="80"/>
        <v>Ô tô vận tải thùng 15 tấn233</v>
      </c>
      <c r="D4837" s="630"/>
      <c r="E4837" s="630"/>
      <c r="F4837" s="630"/>
      <c r="G4837" s="630"/>
    </row>
    <row r="4838" spans="1:7" ht="18.75" x14ac:dyDescent="0.25">
      <c r="A4838" s="629" t="s">
        <v>3061</v>
      </c>
      <c r="B4838" s="630">
        <v>234</v>
      </c>
      <c r="C4838" s="631" t="str">
        <f t="shared" si="80"/>
        <v>Ô tô vận tải thùng 15 tấn234</v>
      </c>
      <c r="D4838" s="630"/>
      <c r="E4838" s="630"/>
      <c r="F4838" s="630"/>
      <c r="G4838" s="630"/>
    </row>
    <row r="4839" spans="1:7" ht="18.75" x14ac:dyDescent="0.25">
      <c r="A4839" s="629" t="s">
        <v>3061</v>
      </c>
      <c r="B4839" s="630">
        <v>235</v>
      </c>
      <c r="C4839" s="631" t="str">
        <f t="shared" si="80"/>
        <v>Ô tô vận tải thùng 15 tấn235</v>
      </c>
      <c r="D4839" s="630"/>
      <c r="E4839" s="630"/>
      <c r="F4839" s="630"/>
      <c r="G4839" s="630"/>
    </row>
    <row r="4840" spans="1:7" ht="18.75" x14ac:dyDescent="0.25">
      <c r="A4840" s="629" t="s">
        <v>3061</v>
      </c>
      <c r="B4840" s="630">
        <v>236</v>
      </c>
      <c r="C4840" s="631" t="str">
        <f t="shared" si="80"/>
        <v>Ô tô vận tải thùng 15 tấn236</v>
      </c>
      <c r="D4840" s="630"/>
      <c r="E4840" s="630"/>
      <c r="F4840" s="630"/>
      <c r="G4840" s="630"/>
    </row>
    <row r="4841" spans="1:7" ht="18.75" x14ac:dyDescent="0.25">
      <c r="A4841" s="629" t="s">
        <v>3061</v>
      </c>
      <c r="B4841" s="630">
        <v>237</v>
      </c>
      <c r="C4841" s="631" t="str">
        <f t="shared" si="80"/>
        <v>Ô tô vận tải thùng 15 tấn237</v>
      </c>
      <c r="D4841" s="630"/>
      <c r="E4841" s="630"/>
      <c r="F4841" s="630"/>
      <c r="G4841" s="630"/>
    </row>
    <row r="4842" spans="1:7" ht="18.75" x14ac:dyDescent="0.25">
      <c r="A4842" s="629" t="s">
        <v>3061</v>
      </c>
      <c r="B4842" s="630">
        <v>238</v>
      </c>
      <c r="C4842" s="631" t="str">
        <f t="shared" si="80"/>
        <v>Ô tô vận tải thùng 15 tấn238</v>
      </c>
      <c r="D4842" s="630"/>
      <c r="E4842" s="630"/>
      <c r="F4842" s="630"/>
      <c r="G4842" s="630"/>
    </row>
    <row r="4843" spans="1:7" ht="18.75" x14ac:dyDescent="0.25">
      <c r="A4843" s="629" t="s">
        <v>3061</v>
      </c>
      <c r="B4843" s="630">
        <v>239</v>
      </c>
      <c r="C4843" s="631" t="str">
        <f t="shared" si="80"/>
        <v>Ô tô vận tải thùng 15 tấn239</v>
      </c>
      <c r="D4843" s="630"/>
      <c r="E4843" s="630"/>
      <c r="F4843" s="630"/>
      <c r="G4843" s="630"/>
    </row>
    <row r="4844" spans="1:7" ht="18.75" x14ac:dyDescent="0.25">
      <c r="A4844" s="629" t="s">
        <v>3061</v>
      </c>
      <c r="B4844" s="630">
        <v>240</v>
      </c>
      <c r="C4844" s="631" t="str">
        <f t="shared" si="80"/>
        <v>Ô tô vận tải thùng 15 tấn240</v>
      </c>
      <c r="D4844" s="630"/>
      <c r="E4844" s="630"/>
      <c r="F4844" s="630"/>
      <c r="G4844" s="630"/>
    </row>
    <row r="4845" spans="1:7" ht="18.75" x14ac:dyDescent="0.25">
      <c r="A4845" s="629" t="s">
        <v>3061</v>
      </c>
      <c r="B4845" s="630">
        <v>241</v>
      </c>
      <c r="C4845" s="631" t="str">
        <f t="shared" si="80"/>
        <v>Ô tô vận tải thùng 15 tấn241</v>
      </c>
      <c r="D4845" s="630"/>
      <c r="E4845" s="630"/>
      <c r="F4845" s="630"/>
      <c r="G4845" s="630"/>
    </row>
    <row r="4846" spans="1:7" ht="18.75" x14ac:dyDescent="0.25">
      <c r="A4846" s="629" t="s">
        <v>3061</v>
      </c>
      <c r="B4846" s="630">
        <v>242</v>
      </c>
      <c r="C4846" s="631" t="str">
        <f t="shared" si="80"/>
        <v>Ô tô vận tải thùng 15 tấn242</v>
      </c>
      <c r="D4846" s="630"/>
      <c r="E4846" s="630"/>
      <c r="F4846" s="630"/>
      <c r="G4846" s="630"/>
    </row>
    <row r="4847" spans="1:7" ht="18.75" x14ac:dyDescent="0.25">
      <c r="A4847" s="629" t="s">
        <v>3061</v>
      </c>
      <c r="B4847" s="630">
        <v>243</v>
      </c>
      <c r="C4847" s="631" t="str">
        <f t="shared" si="80"/>
        <v>Ô tô vận tải thùng 15 tấn243</v>
      </c>
      <c r="D4847" s="630"/>
      <c r="E4847" s="630"/>
      <c r="F4847" s="630"/>
      <c r="G4847" s="630"/>
    </row>
    <row r="4848" spans="1:7" ht="18.75" x14ac:dyDescent="0.25">
      <c r="A4848" s="629" t="s">
        <v>3061</v>
      </c>
      <c r="B4848" s="630">
        <v>244</v>
      </c>
      <c r="C4848" s="631" t="str">
        <f t="shared" si="80"/>
        <v>Ô tô vận tải thùng 15 tấn244</v>
      </c>
      <c r="D4848" s="630"/>
      <c r="E4848" s="630"/>
      <c r="F4848" s="630"/>
      <c r="G4848" s="630"/>
    </row>
    <row r="4849" spans="1:7" ht="18.75" x14ac:dyDescent="0.25">
      <c r="A4849" s="629" t="s">
        <v>3061</v>
      </c>
      <c r="B4849" s="630">
        <v>245</v>
      </c>
      <c r="C4849" s="631" t="str">
        <f t="shared" si="80"/>
        <v>Ô tô vận tải thùng 15 tấn245</v>
      </c>
      <c r="D4849" s="630"/>
      <c r="E4849" s="630"/>
      <c r="F4849" s="630"/>
      <c r="G4849" s="630"/>
    </row>
    <row r="4850" spans="1:7" ht="18.75" x14ac:dyDescent="0.25">
      <c r="A4850" s="629" t="s">
        <v>3061</v>
      </c>
      <c r="B4850" s="630">
        <v>246</v>
      </c>
      <c r="C4850" s="631" t="str">
        <f t="shared" si="80"/>
        <v>Ô tô vận tải thùng 15 tấn246</v>
      </c>
      <c r="D4850" s="630"/>
      <c r="E4850" s="630"/>
      <c r="F4850" s="630"/>
      <c r="G4850" s="630"/>
    </row>
    <row r="4851" spans="1:7" ht="18.75" x14ac:dyDescent="0.25">
      <c r="A4851" s="629" t="s">
        <v>3061</v>
      </c>
      <c r="B4851" s="630">
        <v>247</v>
      </c>
      <c r="C4851" s="631" t="str">
        <f t="shared" si="80"/>
        <v>Ô tô vận tải thùng 15 tấn247</v>
      </c>
      <c r="D4851" s="630"/>
      <c r="E4851" s="630"/>
      <c r="F4851" s="630"/>
      <c r="G4851" s="630"/>
    </row>
    <row r="4852" spans="1:7" ht="18.75" x14ac:dyDescent="0.25">
      <c r="A4852" s="629" t="s">
        <v>3061</v>
      </c>
      <c r="B4852" s="630">
        <v>248</v>
      </c>
      <c r="C4852" s="631" t="str">
        <f t="shared" si="80"/>
        <v>Ô tô vận tải thùng 15 tấn248</v>
      </c>
      <c r="D4852" s="630"/>
      <c r="E4852" s="630"/>
      <c r="F4852" s="630"/>
      <c r="G4852" s="630"/>
    </row>
    <row r="4853" spans="1:7" ht="18.75" x14ac:dyDescent="0.25">
      <c r="A4853" s="629" t="s">
        <v>3061</v>
      </c>
      <c r="B4853" s="630">
        <v>249</v>
      </c>
      <c r="C4853" s="631" t="str">
        <f t="shared" si="80"/>
        <v>Ô tô vận tải thùng 15 tấn249</v>
      </c>
      <c r="D4853" s="630"/>
      <c r="E4853" s="630"/>
      <c r="F4853" s="630"/>
      <c r="G4853" s="630"/>
    </row>
    <row r="4854" spans="1:7" ht="18.75" x14ac:dyDescent="0.25">
      <c r="A4854" s="629" t="s">
        <v>3061</v>
      </c>
      <c r="B4854" s="630">
        <v>250</v>
      </c>
      <c r="C4854" s="631" t="str">
        <f t="shared" si="80"/>
        <v>Ô tô vận tải thùng 15 tấn250</v>
      </c>
      <c r="D4854" s="630"/>
      <c r="E4854" s="630"/>
      <c r="F4854" s="630"/>
      <c r="G4854" s="630"/>
    </row>
    <row r="4855" spans="1:7" ht="18.75" x14ac:dyDescent="0.25">
      <c r="A4855" s="629" t="s">
        <v>3061</v>
      </c>
      <c r="B4855" s="630">
        <v>251</v>
      </c>
      <c r="C4855" s="631" t="str">
        <f t="shared" si="80"/>
        <v>Ô tô vận tải thùng 15 tấn251</v>
      </c>
      <c r="D4855" s="630"/>
      <c r="E4855" s="630"/>
      <c r="F4855" s="630"/>
      <c r="G4855" s="630"/>
    </row>
    <row r="4856" spans="1:7" ht="18.75" x14ac:dyDescent="0.25">
      <c r="A4856" s="629" t="s">
        <v>3061</v>
      </c>
      <c r="B4856" s="630">
        <v>252</v>
      </c>
      <c r="C4856" s="631" t="str">
        <f t="shared" si="80"/>
        <v>Ô tô vận tải thùng 15 tấn252</v>
      </c>
      <c r="D4856" s="630"/>
      <c r="E4856" s="630"/>
      <c r="F4856" s="630"/>
      <c r="G4856" s="630"/>
    </row>
    <row r="4857" spans="1:7" ht="18.75" x14ac:dyDescent="0.25">
      <c r="A4857" s="629" t="s">
        <v>3061</v>
      </c>
      <c r="B4857" s="630">
        <v>253</v>
      </c>
      <c r="C4857" s="631" t="str">
        <f t="shared" si="80"/>
        <v>Ô tô vận tải thùng 15 tấn253</v>
      </c>
      <c r="D4857" s="630"/>
      <c r="E4857" s="630"/>
      <c r="F4857" s="630"/>
      <c r="G4857" s="630"/>
    </row>
    <row r="4858" spans="1:7" ht="18.75" x14ac:dyDescent="0.25">
      <c r="A4858" s="629" t="s">
        <v>3061</v>
      </c>
      <c r="B4858" s="630">
        <v>254</v>
      </c>
      <c r="C4858" s="631" t="str">
        <f t="shared" si="80"/>
        <v>Ô tô vận tải thùng 15 tấn254</v>
      </c>
      <c r="D4858" s="630"/>
      <c r="E4858" s="630"/>
      <c r="F4858" s="630"/>
      <c r="G4858" s="630"/>
    </row>
    <row r="4859" spans="1:7" ht="18.75" x14ac:dyDescent="0.25">
      <c r="A4859" s="629" t="s">
        <v>3061</v>
      </c>
      <c r="B4859" s="630">
        <v>255</v>
      </c>
      <c r="C4859" s="631" t="str">
        <f t="shared" si="80"/>
        <v>Ô tô vận tải thùng 15 tấn255</v>
      </c>
      <c r="D4859" s="630"/>
      <c r="E4859" s="630"/>
      <c r="F4859" s="630"/>
      <c r="G4859" s="630"/>
    </row>
    <row r="4860" spans="1:7" ht="18.75" x14ac:dyDescent="0.25">
      <c r="A4860" s="629" t="s">
        <v>3061</v>
      </c>
      <c r="B4860" s="630">
        <v>256</v>
      </c>
      <c r="C4860" s="631" t="str">
        <f t="shared" si="80"/>
        <v>Ô tô vận tải thùng 15 tấn256</v>
      </c>
      <c r="D4860" s="630"/>
      <c r="E4860" s="630"/>
      <c r="F4860" s="630"/>
      <c r="G4860" s="630"/>
    </row>
    <row r="4861" spans="1:7" ht="18.75" x14ac:dyDescent="0.25">
      <c r="A4861" s="629" t="s">
        <v>3061</v>
      </c>
      <c r="B4861" s="630">
        <v>257</v>
      </c>
      <c r="C4861" s="631" t="str">
        <f t="shared" si="80"/>
        <v>Ô tô vận tải thùng 15 tấn257</v>
      </c>
      <c r="D4861" s="630"/>
      <c r="E4861" s="630"/>
      <c r="F4861" s="630"/>
      <c r="G4861" s="630"/>
    </row>
    <row r="4862" spans="1:7" ht="18.75" x14ac:dyDescent="0.25">
      <c r="A4862" s="629" t="s">
        <v>3061</v>
      </c>
      <c r="B4862" s="630">
        <v>258</v>
      </c>
      <c r="C4862" s="631" t="str">
        <f t="shared" ref="C4862:C4925" si="81">A4862&amp;B4862</f>
        <v>Ô tô vận tải thùng 15 tấn258</v>
      </c>
      <c r="D4862" s="630"/>
      <c r="E4862" s="630"/>
      <c r="F4862" s="630"/>
      <c r="G4862" s="630"/>
    </row>
    <row r="4863" spans="1:7" ht="18.75" x14ac:dyDescent="0.25">
      <c r="A4863" s="629" t="s">
        <v>3061</v>
      </c>
      <c r="B4863" s="630">
        <v>259</v>
      </c>
      <c r="C4863" s="631" t="str">
        <f t="shared" si="81"/>
        <v>Ô tô vận tải thùng 15 tấn259</v>
      </c>
      <c r="D4863" s="630"/>
      <c r="E4863" s="630"/>
      <c r="F4863" s="630"/>
      <c r="G4863" s="630"/>
    </row>
    <row r="4864" spans="1:7" ht="18.75" x14ac:dyDescent="0.25">
      <c r="A4864" s="629" t="s">
        <v>3061</v>
      </c>
      <c r="B4864" s="630">
        <v>260</v>
      </c>
      <c r="C4864" s="631" t="str">
        <f t="shared" si="81"/>
        <v>Ô tô vận tải thùng 15 tấn260</v>
      </c>
      <c r="D4864" s="630"/>
      <c r="E4864" s="630"/>
      <c r="F4864" s="630"/>
      <c r="G4864" s="630"/>
    </row>
    <row r="4865" spans="1:7" ht="18.75" x14ac:dyDescent="0.25">
      <c r="A4865" s="629" t="s">
        <v>3061</v>
      </c>
      <c r="B4865" s="630">
        <v>261</v>
      </c>
      <c r="C4865" s="631" t="str">
        <f t="shared" si="81"/>
        <v>Ô tô vận tải thùng 15 tấn261</v>
      </c>
      <c r="D4865" s="630"/>
      <c r="E4865" s="630"/>
      <c r="F4865" s="630"/>
      <c r="G4865" s="630"/>
    </row>
    <row r="4866" spans="1:7" ht="18.75" x14ac:dyDescent="0.25">
      <c r="A4866" s="629" t="s">
        <v>3061</v>
      </c>
      <c r="B4866" s="630">
        <v>262</v>
      </c>
      <c r="C4866" s="631" t="str">
        <f t="shared" si="81"/>
        <v>Ô tô vận tải thùng 15 tấn262</v>
      </c>
      <c r="D4866" s="630"/>
      <c r="E4866" s="630"/>
      <c r="F4866" s="630"/>
      <c r="G4866" s="630"/>
    </row>
    <row r="4867" spans="1:7" ht="18.75" x14ac:dyDescent="0.25">
      <c r="A4867" s="629" t="s">
        <v>3061</v>
      </c>
      <c r="B4867" s="630">
        <v>263</v>
      </c>
      <c r="C4867" s="631" t="str">
        <f t="shared" si="81"/>
        <v>Ô tô vận tải thùng 15 tấn263</v>
      </c>
      <c r="D4867" s="630"/>
      <c r="E4867" s="630"/>
      <c r="F4867" s="630"/>
      <c r="G4867" s="630"/>
    </row>
    <row r="4868" spans="1:7" ht="18.75" x14ac:dyDescent="0.25">
      <c r="A4868" s="629" t="s">
        <v>3061</v>
      </c>
      <c r="B4868" s="630">
        <v>264</v>
      </c>
      <c r="C4868" s="631" t="str">
        <f t="shared" si="81"/>
        <v>Ô tô vận tải thùng 15 tấn264</v>
      </c>
      <c r="D4868" s="630"/>
      <c r="E4868" s="630"/>
      <c r="F4868" s="630"/>
      <c r="G4868" s="630"/>
    </row>
    <row r="4869" spans="1:7" ht="18.75" x14ac:dyDescent="0.25">
      <c r="A4869" s="629" t="s">
        <v>3061</v>
      </c>
      <c r="B4869" s="630">
        <v>265</v>
      </c>
      <c r="C4869" s="631" t="str">
        <f t="shared" si="81"/>
        <v>Ô tô vận tải thùng 15 tấn265</v>
      </c>
      <c r="D4869" s="630"/>
      <c r="E4869" s="630"/>
      <c r="F4869" s="630"/>
      <c r="G4869" s="630"/>
    </row>
    <row r="4870" spans="1:7" ht="18.75" x14ac:dyDescent="0.25">
      <c r="A4870" s="629" t="s">
        <v>3061</v>
      </c>
      <c r="B4870" s="630">
        <v>266</v>
      </c>
      <c r="C4870" s="631" t="str">
        <f t="shared" si="81"/>
        <v>Ô tô vận tải thùng 15 tấn266</v>
      </c>
      <c r="D4870" s="630"/>
      <c r="E4870" s="630"/>
      <c r="F4870" s="630"/>
      <c r="G4870" s="630"/>
    </row>
    <row r="4871" spans="1:7" ht="18.75" x14ac:dyDescent="0.25">
      <c r="A4871" s="629" t="s">
        <v>3061</v>
      </c>
      <c r="B4871" s="630">
        <v>267</v>
      </c>
      <c r="C4871" s="631" t="str">
        <f t="shared" si="81"/>
        <v>Ô tô vận tải thùng 15 tấn267</v>
      </c>
      <c r="D4871" s="630"/>
      <c r="E4871" s="630"/>
      <c r="F4871" s="630"/>
      <c r="G4871" s="630"/>
    </row>
    <row r="4872" spans="1:7" ht="18.75" x14ac:dyDescent="0.25">
      <c r="A4872" s="629" t="s">
        <v>3061</v>
      </c>
      <c r="B4872" s="630">
        <v>268</v>
      </c>
      <c r="C4872" s="631" t="str">
        <f t="shared" si="81"/>
        <v>Ô tô vận tải thùng 15 tấn268</v>
      </c>
      <c r="D4872" s="630"/>
      <c r="E4872" s="630"/>
      <c r="F4872" s="630"/>
      <c r="G4872" s="630"/>
    </row>
    <row r="4873" spans="1:7" ht="18.75" x14ac:dyDescent="0.25">
      <c r="A4873" s="629" t="s">
        <v>3061</v>
      </c>
      <c r="B4873" s="630">
        <v>269</v>
      </c>
      <c r="C4873" s="631" t="str">
        <f t="shared" si="81"/>
        <v>Ô tô vận tải thùng 15 tấn269</v>
      </c>
      <c r="D4873" s="630"/>
      <c r="E4873" s="630"/>
      <c r="F4873" s="630"/>
      <c r="G4873" s="630"/>
    </row>
    <row r="4874" spans="1:7" ht="18.75" x14ac:dyDescent="0.25">
      <c r="A4874" s="629" t="s">
        <v>3061</v>
      </c>
      <c r="B4874" s="630">
        <v>270</v>
      </c>
      <c r="C4874" s="631" t="str">
        <f t="shared" si="81"/>
        <v>Ô tô vận tải thùng 15 tấn270</v>
      </c>
      <c r="D4874" s="630"/>
      <c r="E4874" s="630"/>
      <c r="F4874" s="630"/>
      <c r="G4874" s="630"/>
    </row>
    <row r="4875" spans="1:7" ht="18.75" x14ac:dyDescent="0.25">
      <c r="A4875" s="629" t="s">
        <v>3061</v>
      </c>
      <c r="B4875" s="630">
        <v>271</v>
      </c>
      <c r="C4875" s="631" t="str">
        <f t="shared" si="81"/>
        <v>Ô tô vận tải thùng 15 tấn271</v>
      </c>
      <c r="D4875" s="630"/>
      <c r="E4875" s="630"/>
      <c r="F4875" s="630"/>
      <c r="G4875" s="630"/>
    </row>
    <row r="4876" spans="1:7" ht="18.75" x14ac:dyDescent="0.25">
      <c r="A4876" s="629" t="s">
        <v>3061</v>
      </c>
      <c r="B4876" s="630">
        <v>272</v>
      </c>
      <c r="C4876" s="631" t="str">
        <f t="shared" si="81"/>
        <v>Ô tô vận tải thùng 15 tấn272</v>
      </c>
      <c r="D4876" s="630"/>
      <c r="E4876" s="630"/>
      <c r="F4876" s="630"/>
      <c r="G4876" s="630"/>
    </row>
    <row r="4877" spans="1:7" ht="18.75" x14ac:dyDescent="0.25">
      <c r="A4877" s="629" t="s">
        <v>3061</v>
      </c>
      <c r="B4877" s="630">
        <v>273</v>
      </c>
      <c r="C4877" s="631" t="str">
        <f t="shared" si="81"/>
        <v>Ô tô vận tải thùng 15 tấn273</v>
      </c>
      <c r="D4877" s="630"/>
      <c r="E4877" s="630"/>
      <c r="F4877" s="630"/>
      <c r="G4877" s="630"/>
    </row>
    <row r="4878" spans="1:7" ht="18.75" x14ac:dyDescent="0.25">
      <c r="A4878" s="629" t="s">
        <v>3061</v>
      </c>
      <c r="B4878" s="630">
        <v>274</v>
      </c>
      <c r="C4878" s="631" t="str">
        <f t="shared" si="81"/>
        <v>Ô tô vận tải thùng 15 tấn274</v>
      </c>
      <c r="D4878" s="630"/>
      <c r="E4878" s="630"/>
      <c r="F4878" s="630"/>
      <c r="G4878" s="630"/>
    </row>
    <row r="4879" spans="1:7" ht="18.75" x14ac:dyDescent="0.25">
      <c r="A4879" s="629" t="s">
        <v>3061</v>
      </c>
      <c r="B4879" s="630">
        <v>275</v>
      </c>
      <c r="C4879" s="631" t="str">
        <f t="shared" si="81"/>
        <v>Ô tô vận tải thùng 15 tấn275</v>
      </c>
      <c r="D4879" s="630"/>
      <c r="E4879" s="630"/>
      <c r="F4879" s="630"/>
      <c r="G4879" s="630"/>
    </row>
    <row r="4880" spans="1:7" ht="18.75" x14ac:dyDescent="0.25">
      <c r="A4880" s="629" t="s">
        <v>3061</v>
      </c>
      <c r="B4880" s="630">
        <v>276</v>
      </c>
      <c r="C4880" s="631" t="str">
        <f t="shared" si="81"/>
        <v>Ô tô vận tải thùng 15 tấn276</v>
      </c>
      <c r="D4880" s="630"/>
      <c r="E4880" s="630"/>
      <c r="F4880" s="630"/>
      <c r="G4880" s="630"/>
    </row>
    <row r="4881" spans="1:7" ht="18.75" x14ac:dyDescent="0.25">
      <c r="A4881" s="629" t="s">
        <v>3061</v>
      </c>
      <c r="B4881" s="630">
        <v>277</v>
      </c>
      <c r="C4881" s="631" t="str">
        <f t="shared" si="81"/>
        <v>Ô tô vận tải thùng 15 tấn277</v>
      </c>
      <c r="D4881" s="630"/>
      <c r="E4881" s="630"/>
      <c r="F4881" s="630"/>
      <c r="G4881" s="630"/>
    </row>
    <row r="4882" spans="1:7" ht="18.75" x14ac:dyDescent="0.25">
      <c r="A4882" s="629" t="s">
        <v>3061</v>
      </c>
      <c r="B4882" s="630">
        <v>278</v>
      </c>
      <c r="C4882" s="631" t="str">
        <f t="shared" si="81"/>
        <v>Ô tô vận tải thùng 15 tấn278</v>
      </c>
      <c r="D4882" s="630"/>
      <c r="E4882" s="630"/>
      <c r="F4882" s="630"/>
      <c r="G4882" s="630"/>
    </row>
    <row r="4883" spans="1:7" ht="18.75" x14ac:dyDescent="0.25">
      <c r="A4883" s="629" t="s">
        <v>3061</v>
      </c>
      <c r="B4883" s="630">
        <v>279</v>
      </c>
      <c r="C4883" s="631" t="str">
        <f t="shared" si="81"/>
        <v>Ô tô vận tải thùng 15 tấn279</v>
      </c>
      <c r="D4883" s="630"/>
      <c r="E4883" s="630"/>
      <c r="F4883" s="630"/>
      <c r="G4883" s="630"/>
    </row>
    <row r="4884" spans="1:7" ht="18.75" x14ac:dyDescent="0.25">
      <c r="A4884" s="629" t="s">
        <v>3061</v>
      </c>
      <c r="B4884" s="630">
        <v>280</v>
      </c>
      <c r="C4884" s="631" t="str">
        <f t="shared" si="81"/>
        <v>Ô tô vận tải thùng 15 tấn280</v>
      </c>
      <c r="D4884" s="630"/>
      <c r="E4884" s="630"/>
      <c r="F4884" s="630"/>
      <c r="G4884" s="630"/>
    </row>
    <row r="4885" spans="1:7" ht="18.75" x14ac:dyDescent="0.25">
      <c r="A4885" s="629" t="s">
        <v>3061</v>
      </c>
      <c r="B4885" s="630">
        <v>281</v>
      </c>
      <c r="C4885" s="631" t="str">
        <f t="shared" si="81"/>
        <v>Ô tô vận tải thùng 15 tấn281</v>
      </c>
      <c r="D4885" s="630"/>
      <c r="E4885" s="630"/>
      <c r="F4885" s="630"/>
      <c r="G4885" s="630"/>
    </row>
    <row r="4886" spans="1:7" ht="18.75" x14ac:dyDescent="0.25">
      <c r="A4886" s="629" t="s">
        <v>3061</v>
      </c>
      <c r="B4886" s="630">
        <v>282</v>
      </c>
      <c r="C4886" s="631" t="str">
        <f t="shared" si="81"/>
        <v>Ô tô vận tải thùng 15 tấn282</v>
      </c>
      <c r="D4886" s="630"/>
      <c r="E4886" s="630"/>
      <c r="F4886" s="630"/>
      <c r="G4886" s="630"/>
    </row>
    <row r="4887" spans="1:7" ht="18.75" x14ac:dyDescent="0.25">
      <c r="A4887" s="629" t="s">
        <v>3061</v>
      </c>
      <c r="B4887" s="630">
        <v>283</v>
      </c>
      <c r="C4887" s="631" t="str">
        <f t="shared" si="81"/>
        <v>Ô tô vận tải thùng 15 tấn283</v>
      </c>
      <c r="D4887" s="630"/>
      <c r="E4887" s="630"/>
      <c r="F4887" s="630"/>
      <c r="G4887" s="630"/>
    </row>
    <row r="4888" spans="1:7" ht="18.75" x14ac:dyDescent="0.25">
      <c r="A4888" s="629" t="s">
        <v>3061</v>
      </c>
      <c r="B4888" s="630">
        <v>284</v>
      </c>
      <c r="C4888" s="631" t="str">
        <f t="shared" si="81"/>
        <v>Ô tô vận tải thùng 15 tấn284</v>
      </c>
      <c r="D4888" s="630"/>
      <c r="E4888" s="630"/>
      <c r="F4888" s="630"/>
      <c r="G4888" s="630"/>
    </row>
    <row r="4889" spans="1:7" ht="18.75" x14ac:dyDescent="0.25">
      <c r="A4889" s="629" t="s">
        <v>3061</v>
      </c>
      <c r="B4889" s="630">
        <v>285</v>
      </c>
      <c r="C4889" s="631" t="str">
        <f t="shared" si="81"/>
        <v>Ô tô vận tải thùng 15 tấn285</v>
      </c>
      <c r="D4889" s="630"/>
      <c r="E4889" s="630"/>
      <c r="F4889" s="630"/>
      <c r="G4889" s="630"/>
    </row>
    <row r="4890" spans="1:7" ht="18.75" x14ac:dyDescent="0.25">
      <c r="A4890" s="629" t="s">
        <v>3061</v>
      </c>
      <c r="B4890" s="630">
        <v>286</v>
      </c>
      <c r="C4890" s="631" t="str">
        <f t="shared" si="81"/>
        <v>Ô tô vận tải thùng 15 tấn286</v>
      </c>
      <c r="D4890" s="630"/>
      <c r="E4890" s="630"/>
      <c r="F4890" s="630"/>
      <c r="G4890" s="630"/>
    </row>
    <row r="4891" spans="1:7" ht="18.75" x14ac:dyDescent="0.25">
      <c r="A4891" s="629" t="s">
        <v>3061</v>
      </c>
      <c r="B4891" s="630">
        <v>287</v>
      </c>
      <c r="C4891" s="631" t="str">
        <f t="shared" si="81"/>
        <v>Ô tô vận tải thùng 15 tấn287</v>
      </c>
      <c r="D4891" s="630"/>
      <c r="E4891" s="630"/>
      <c r="F4891" s="630"/>
      <c r="G4891" s="630"/>
    </row>
    <row r="4892" spans="1:7" ht="18.75" x14ac:dyDescent="0.25">
      <c r="A4892" s="629" t="s">
        <v>3061</v>
      </c>
      <c r="B4892" s="630">
        <v>288</v>
      </c>
      <c r="C4892" s="631" t="str">
        <f t="shared" si="81"/>
        <v>Ô tô vận tải thùng 15 tấn288</v>
      </c>
      <c r="D4892" s="630"/>
      <c r="E4892" s="630"/>
      <c r="F4892" s="630"/>
      <c r="G4892" s="630"/>
    </row>
    <row r="4893" spans="1:7" ht="18.75" x14ac:dyDescent="0.25">
      <c r="A4893" s="629" t="s">
        <v>3061</v>
      </c>
      <c r="B4893" s="630">
        <v>289</v>
      </c>
      <c r="C4893" s="631" t="str">
        <f t="shared" si="81"/>
        <v>Ô tô vận tải thùng 15 tấn289</v>
      </c>
      <c r="D4893" s="630"/>
      <c r="E4893" s="630"/>
      <c r="F4893" s="630"/>
      <c r="G4893" s="630"/>
    </row>
    <row r="4894" spans="1:7" ht="18.75" x14ac:dyDescent="0.25">
      <c r="A4894" s="629" t="s">
        <v>3061</v>
      </c>
      <c r="B4894" s="630">
        <v>290</v>
      </c>
      <c r="C4894" s="631" t="str">
        <f t="shared" si="81"/>
        <v>Ô tô vận tải thùng 15 tấn290</v>
      </c>
      <c r="D4894" s="630"/>
      <c r="E4894" s="630"/>
      <c r="F4894" s="630"/>
      <c r="G4894" s="630"/>
    </row>
    <row r="4895" spans="1:7" ht="18.75" x14ac:dyDescent="0.25">
      <c r="A4895" s="629" t="s">
        <v>3061</v>
      </c>
      <c r="B4895" s="630">
        <v>291</v>
      </c>
      <c r="C4895" s="631" t="str">
        <f t="shared" si="81"/>
        <v>Ô tô vận tải thùng 15 tấn291</v>
      </c>
      <c r="D4895" s="630"/>
      <c r="E4895" s="630"/>
      <c r="F4895" s="630"/>
      <c r="G4895" s="630"/>
    </row>
    <row r="4896" spans="1:7" ht="18.75" x14ac:dyDescent="0.25">
      <c r="A4896" s="629" t="s">
        <v>3061</v>
      </c>
      <c r="B4896" s="630">
        <v>292</v>
      </c>
      <c r="C4896" s="631" t="str">
        <f t="shared" si="81"/>
        <v>Ô tô vận tải thùng 15 tấn292</v>
      </c>
      <c r="D4896" s="630"/>
      <c r="E4896" s="630"/>
      <c r="F4896" s="630"/>
      <c r="G4896" s="630"/>
    </row>
    <row r="4897" spans="1:7" ht="18.75" x14ac:dyDescent="0.25">
      <c r="A4897" s="629" t="s">
        <v>3061</v>
      </c>
      <c r="B4897" s="630">
        <v>293</v>
      </c>
      <c r="C4897" s="631" t="str">
        <f t="shared" si="81"/>
        <v>Ô tô vận tải thùng 15 tấn293</v>
      </c>
      <c r="D4897" s="630"/>
      <c r="E4897" s="630"/>
      <c r="F4897" s="630"/>
      <c r="G4897" s="630"/>
    </row>
    <row r="4898" spans="1:7" ht="18.75" x14ac:dyDescent="0.25">
      <c r="A4898" s="629" t="s">
        <v>3061</v>
      </c>
      <c r="B4898" s="630">
        <v>294</v>
      </c>
      <c r="C4898" s="631" t="str">
        <f t="shared" si="81"/>
        <v>Ô tô vận tải thùng 15 tấn294</v>
      </c>
      <c r="D4898" s="630"/>
      <c r="E4898" s="630"/>
      <c r="F4898" s="630"/>
      <c r="G4898" s="630"/>
    </row>
    <row r="4899" spans="1:7" ht="18.75" x14ac:dyDescent="0.25">
      <c r="A4899" s="629" t="s">
        <v>3061</v>
      </c>
      <c r="B4899" s="630">
        <v>295</v>
      </c>
      <c r="C4899" s="631" t="str">
        <f t="shared" si="81"/>
        <v>Ô tô vận tải thùng 15 tấn295</v>
      </c>
      <c r="D4899" s="630"/>
      <c r="E4899" s="630"/>
      <c r="F4899" s="630"/>
      <c r="G4899" s="630"/>
    </row>
    <row r="4900" spans="1:7" ht="18.75" x14ac:dyDescent="0.25">
      <c r="A4900" s="629" t="s">
        <v>3061</v>
      </c>
      <c r="B4900" s="630">
        <v>296</v>
      </c>
      <c r="C4900" s="631" t="str">
        <f t="shared" si="81"/>
        <v>Ô tô vận tải thùng 15 tấn296</v>
      </c>
      <c r="D4900" s="630"/>
      <c r="E4900" s="630"/>
      <c r="F4900" s="630"/>
      <c r="G4900" s="630"/>
    </row>
    <row r="4901" spans="1:7" ht="18.75" x14ac:dyDescent="0.25">
      <c r="A4901" s="629" t="s">
        <v>3061</v>
      </c>
      <c r="B4901" s="630">
        <v>297</v>
      </c>
      <c r="C4901" s="631" t="str">
        <f t="shared" si="81"/>
        <v>Ô tô vận tải thùng 15 tấn297</v>
      </c>
      <c r="D4901" s="630"/>
      <c r="E4901" s="630"/>
      <c r="F4901" s="630"/>
      <c r="G4901" s="630"/>
    </row>
    <row r="4902" spans="1:7" ht="18.75" x14ac:dyDescent="0.25">
      <c r="A4902" s="629" t="s">
        <v>3061</v>
      </c>
      <c r="B4902" s="630">
        <v>298</v>
      </c>
      <c r="C4902" s="631" t="str">
        <f t="shared" si="81"/>
        <v>Ô tô vận tải thùng 15 tấn298</v>
      </c>
      <c r="D4902" s="630"/>
      <c r="E4902" s="630"/>
      <c r="F4902" s="630"/>
      <c r="G4902" s="630"/>
    </row>
    <row r="4903" spans="1:7" ht="18.75" x14ac:dyDescent="0.25">
      <c r="A4903" s="629" t="s">
        <v>3061</v>
      </c>
      <c r="B4903" s="630">
        <v>299</v>
      </c>
      <c r="C4903" s="631" t="str">
        <f t="shared" si="81"/>
        <v>Ô tô vận tải thùng 15 tấn299</v>
      </c>
      <c r="D4903" s="630"/>
      <c r="E4903" s="630"/>
      <c r="F4903" s="630"/>
      <c r="G4903" s="630"/>
    </row>
    <row r="4904" spans="1:7" ht="18.75" x14ac:dyDescent="0.25">
      <c r="A4904" s="629" t="s">
        <v>3061</v>
      </c>
      <c r="B4904" s="630">
        <v>300</v>
      </c>
      <c r="C4904" s="631" t="str">
        <f t="shared" si="81"/>
        <v>Ô tô vận tải thùng 15 tấn300</v>
      </c>
      <c r="D4904" s="630"/>
      <c r="E4904" s="630"/>
      <c r="F4904" s="630"/>
      <c r="G4904" s="630"/>
    </row>
    <row r="4905" spans="1:7" ht="18.75" x14ac:dyDescent="0.25">
      <c r="A4905" s="629" t="s">
        <v>3061</v>
      </c>
      <c r="B4905" s="630">
        <v>301</v>
      </c>
      <c r="C4905" s="631" t="str">
        <f t="shared" si="81"/>
        <v>Ô tô vận tải thùng 15 tấn301</v>
      </c>
      <c r="D4905" s="630"/>
      <c r="E4905" s="630"/>
      <c r="F4905" s="630"/>
      <c r="G4905" s="630"/>
    </row>
    <row r="4906" spans="1:7" ht="18.75" x14ac:dyDescent="0.25">
      <c r="A4906" s="629" t="s">
        <v>3061</v>
      </c>
      <c r="B4906" s="630">
        <v>302</v>
      </c>
      <c r="C4906" s="631" t="str">
        <f t="shared" si="81"/>
        <v>Ô tô vận tải thùng 15 tấn302</v>
      </c>
      <c r="D4906" s="630"/>
      <c r="E4906" s="630"/>
      <c r="F4906" s="630"/>
      <c r="G4906" s="630"/>
    </row>
    <row r="4907" spans="1:7" ht="18.75" x14ac:dyDescent="0.25">
      <c r="A4907" s="629" t="s">
        <v>3061</v>
      </c>
      <c r="B4907" s="630">
        <v>303</v>
      </c>
      <c r="C4907" s="631" t="str">
        <f t="shared" si="81"/>
        <v>Ô tô vận tải thùng 15 tấn303</v>
      </c>
      <c r="D4907" s="630"/>
      <c r="E4907" s="630"/>
      <c r="F4907" s="630"/>
      <c r="G4907" s="630"/>
    </row>
    <row r="4908" spans="1:7" ht="18.75" x14ac:dyDescent="0.25">
      <c r="A4908" s="629" t="s">
        <v>3061</v>
      </c>
      <c r="B4908" s="630">
        <v>304</v>
      </c>
      <c r="C4908" s="631" t="str">
        <f t="shared" si="81"/>
        <v>Ô tô vận tải thùng 15 tấn304</v>
      </c>
      <c r="D4908" s="630"/>
      <c r="E4908" s="630"/>
      <c r="F4908" s="630"/>
      <c r="G4908" s="630"/>
    </row>
    <row r="4909" spans="1:7" ht="18.75" x14ac:dyDescent="0.25">
      <c r="A4909" s="629" t="s">
        <v>3061</v>
      </c>
      <c r="B4909" s="630">
        <v>305</v>
      </c>
      <c r="C4909" s="631" t="str">
        <f t="shared" si="81"/>
        <v>Ô tô vận tải thùng 15 tấn305</v>
      </c>
      <c r="D4909" s="630"/>
      <c r="E4909" s="630"/>
      <c r="F4909" s="630"/>
      <c r="G4909" s="630"/>
    </row>
    <row r="4910" spans="1:7" ht="18.75" x14ac:dyDescent="0.25">
      <c r="A4910" s="629" t="s">
        <v>3061</v>
      </c>
      <c r="B4910" s="630">
        <v>306</v>
      </c>
      <c r="C4910" s="631" t="str">
        <f t="shared" si="81"/>
        <v>Ô tô vận tải thùng 15 tấn306</v>
      </c>
      <c r="D4910" s="630"/>
      <c r="E4910" s="630"/>
      <c r="F4910" s="630"/>
      <c r="G4910" s="630"/>
    </row>
    <row r="4911" spans="1:7" ht="18.75" x14ac:dyDescent="0.25">
      <c r="A4911" s="629" t="s">
        <v>3061</v>
      </c>
      <c r="B4911" s="630">
        <v>307</v>
      </c>
      <c r="C4911" s="631" t="str">
        <f t="shared" si="81"/>
        <v>Ô tô vận tải thùng 15 tấn307</v>
      </c>
      <c r="D4911" s="630"/>
      <c r="E4911" s="630"/>
      <c r="F4911" s="630"/>
      <c r="G4911" s="630"/>
    </row>
    <row r="4912" spans="1:7" ht="18.75" x14ac:dyDescent="0.25">
      <c r="A4912" s="629" t="s">
        <v>3061</v>
      </c>
      <c r="B4912" s="630">
        <v>308</v>
      </c>
      <c r="C4912" s="631" t="str">
        <f t="shared" si="81"/>
        <v>Ô tô vận tải thùng 15 tấn308</v>
      </c>
      <c r="D4912" s="630"/>
      <c r="E4912" s="630"/>
      <c r="F4912" s="630"/>
      <c r="G4912" s="630"/>
    </row>
    <row r="4913" spans="1:7" ht="18.75" x14ac:dyDescent="0.25">
      <c r="A4913" s="629" t="s">
        <v>3061</v>
      </c>
      <c r="B4913" s="630">
        <v>309</v>
      </c>
      <c r="C4913" s="631" t="str">
        <f t="shared" si="81"/>
        <v>Ô tô vận tải thùng 15 tấn309</v>
      </c>
      <c r="D4913" s="630"/>
      <c r="E4913" s="630"/>
      <c r="F4913" s="630"/>
      <c r="G4913" s="630"/>
    </row>
    <row r="4914" spans="1:7" ht="18.75" x14ac:dyDescent="0.25">
      <c r="A4914" s="629" t="s">
        <v>3061</v>
      </c>
      <c r="B4914" s="630">
        <v>310</v>
      </c>
      <c r="C4914" s="631" t="str">
        <f t="shared" si="81"/>
        <v>Ô tô vận tải thùng 15 tấn310</v>
      </c>
      <c r="D4914" s="630"/>
      <c r="E4914" s="630"/>
      <c r="F4914" s="630"/>
      <c r="G4914" s="630"/>
    </row>
    <row r="4915" spans="1:7" ht="18.75" x14ac:dyDescent="0.25">
      <c r="A4915" s="629" t="s">
        <v>3061</v>
      </c>
      <c r="B4915" s="630">
        <v>311</v>
      </c>
      <c r="C4915" s="631" t="str">
        <f t="shared" si="81"/>
        <v>Ô tô vận tải thùng 15 tấn311</v>
      </c>
      <c r="D4915" s="630"/>
      <c r="E4915" s="630"/>
      <c r="F4915" s="630"/>
      <c r="G4915" s="630"/>
    </row>
    <row r="4916" spans="1:7" ht="18.75" x14ac:dyDescent="0.25">
      <c r="A4916" s="629" t="s">
        <v>3061</v>
      </c>
      <c r="B4916" s="630">
        <v>312</v>
      </c>
      <c r="C4916" s="631" t="str">
        <f t="shared" si="81"/>
        <v>Ô tô vận tải thùng 15 tấn312</v>
      </c>
      <c r="D4916" s="630"/>
      <c r="E4916" s="630"/>
      <c r="F4916" s="630"/>
      <c r="G4916" s="630"/>
    </row>
    <row r="4917" spans="1:7" ht="18.75" x14ac:dyDescent="0.25">
      <c r="A4917" s="629" t="s">
        <v>3061</v>
      </c>
      <c r="B4917" s="630">
        <v>313</v>
      </c>
      <c r="C4917" s="631" t="str">
        <f t="shared" si="81"/>
        <v>Ô tô vận tải thùng 15 tấn313</v>
      </c>
      <c r="D4917" s="630"/>
      <c r="E4917" s="630"/>
      <c r="F4917" s="630"/>
      <c r="G4917" s="630"/>
    </row>
    <row r="4918" spans="1:7" ht="18.75" x14ac:dyDescent="0.25">
      <c r="A4918" s="629" t="s">
        <v>3061</v>
      </c>
      <c r="B4918" s="630">
        <v>314</v>
      </c>
      <c r="C4918" s="631" t="str">
        <f t="shared" si="81"/>
        <v>Ô tô vận tải thùng 15 tấn314</v>
      </c>
      <c r="D4918" s="630"/>
      <c r="E4918" s="630"/>
      <c r="F4918" s="630"/>
      <c r="G4918" s="630"/>
    </row>
    <row r="4919" spans="1:7" ht="18.75" x14ac:dyDescent="0.25">
      <c r="A4919" s="629" t="s">
        <v>3061</v>
      </c>
      <c r="B4919" s="630">
        <v>315</v>
      </c>
      <c r="C4919" s="631" t="str">
        <f t="shared" si="81"/>
        <v>Ô tô vận tải thùng 15 tấn315</v>
      </c>
      <c r="D4919" s="630"/>
      <c r="E4919" s="630"/>
      <c r="F4919" s="630"/>
      <c r="G4919" s="630"/>
    </row>
    <row r="4920" spans="1:7" ht="18.75" x14ac:dyDescent="0.25">
      <c r="A4920" s="629" t="s">
        <v>3061</v>
      </c>
      <c r="B4920" s="630">
        <v>316</v>
      </c>
      <c r="C4920" s="631" t="str">
        <f t="shared" si="81"/>
        <v>Ô tô vận tải thùng 15 tấn316</v>
      </c>
      <c r="D4920" s="630"/>
      <c r="E4920" s="630"/>
      <c r="F4920" s="630"/>
      <c r="G4920" s="630"/>
    </row>
    <row r="4921" spans="1:7" ht="18.75" x14ac:dyDescent="0.25">
      <c r="A4921" s="629" t="s">
        <v>3061</v>
      </c>
      <c r="B4921" s="630">
        <v>317</v>
      </c>
      <c r="C4921" s="631" t="str">
        <f t="shared" si="81"/>
        <v>Ô tô vận tải thùng 15 tấn317</v>
      </c>
      <c r="D4921" s="630"/>
      <c r="E4921" s="630"/>
      <c r="F4921" s="630"/>
      <c r="G4921" s="630"/>
    </row>
    <row r="4922" spans="1:7" ht="18.75" x14ac:dyDescent="0.25">
      <c r="A4922" s="629" t="s">
        <v>3061</v>
      </c>
      <c r="B4922" s="630">
        <v>318</v>
      </c>
      <c r="C4922" s="631" t="str">
        <f t="shared" si="81"/>
        <v>Ô tô vận tải thùng 15 tấn318</v>
      </c>
      <c r="D4922" s="630"/>
      <c r="E4922" s="630"/>
      <c r="F4922" s="630"/>
      <c r="G4922" s="630"/>
    </row>
    <row r="4923" spans="1:7" ht="18.75" x14ac:dyDescent="0.25">
      <c r="A4923" s="629" t="s">
        <v>3061</v>
      </c>
      <c r="B4923" s="630">
        <v>319</v>
      </c>
      <c r="C4923" s="631" t="str">
        <f t="shared" si="81"/>
        <v>Ô tô vận tải thùng 15 tấn319</v>
      </c>
      <c r="D4923" s="630"/>
      <c r="E4923" s="630"/>
      <c r="F4923" s="630"/>
      <c r="G4923" s="630"/>
    </row>
    <row r="4924" spans="1:7" ht="18.75" x14ac:dyDescent="0.25">
      <c r="A4924" s="629" t="s">
        <v>3061</v>
      </c>
      <c r="B4924" s="630">
        <v>320</v>
      </c>
      <c r="C4924" s="631" t="str">
        <f t="shared" si="81"/>
        <v>Ô tô vận tải thùng 15 tấn320</v>
      </c>
      <c r="D4924" s="630"/>
      <c r="E4924" s="630"/>
      <c r="F4924" s="630"/>
      <c r="G4924" s="630"/>
    </row>
    <row r="4925" spans="1:7" ht="18.75" x14ac:dyDescent="0.25">
      <c r="A4925" s="629" t="s">
        <v>3061</v>
      </c>
      <c r="B4925" s="630">
        <v>321</v>
      </c>
      <c r="C4925" s="631" t="str">
        <f t="shared" si="81"/>
        <v>Ô tô vận tải thùng 15 tấn321</v>
      </c>
      <c r="D4925" s="630"/>
      <c r="E4925" s="630"/>
      <c r="F4925" s="630"/>
      <c r="G4925" s="630"/>
    </row>
    <row r="4926" spans="1:7" ht="18.75" x14ac:dyDescent="0.25">
      <c r="A4926" s="629" t="s">
        <v>3061</v>
      </c>
      <c r="B4926" s="630">
        <v>322</v>
      </c>
      <c r="C4926" s="631" t="str">
        <f t="shared" ref="C4926:C4989" si="82">A4926&amp;B4926</f>
        <v>Ô tô vận tải thùng 15 tấn322</v>
      </c>
      <c r="D4926" s="630"/>
      <c r="E4926" s="630"/>
      <c r="F4926" s="630"/>
      <c r="G4926" s="630"/>
    </row>
    <row r="4927" spans="1:7" ht="18.75" x14ac:dyDescent="0.25">
      <c r="A4927" s="629" t="s">
        <v>3061</v>
      </c>
      <c r="B4927" s="630">
        <v>323</v>
      </c>
      <c r="C4927" s="631" t="str">
        <f t="shared" si="82"/>
        <v>Ô tô vận tải thùng 15 tấn323</v>
      </c>
      <c r="D4927" s="630"/>
      <c r="E4927" s="630"/>
      <c r="F4927" s="630"/>
      <c r="G4927" s="630"/>
    </row>
    <row r="4928" spans="1:7" ht="18.75" x14ac:dyDescent="0.25">
      <c r="A4928" s="629" t="s">
        <v>3061</v>
      </c>
      <c r="B4928" s="630">
        <v>324</v>
      </c>
      <c r="C4928" s="631" t="str">
        <f t="shared" si="82"/>
        <v>Ô tô vận tải thùng 15 tấn324</v>
      </c>
      <c r="D4928" s="630"/>
      <c r="E4928" s="630"/>
      <c r="F4928" s="630"/>
      <c r="G4928" s="630"/>
    </row>
    <row r="4929" spans="1:7" ht="18.75" x14ac:dyDescent="0.25">
      <c r="A4929" s="629" t="s">
        <v>3061</v>
      </c>
      <c r="B4929" s="630">
        <v>325</v>
      </c>
      <c r="C4929" s="631" t="str">
        <f t="shared" si="82"/>
        <v>Ô tô vận tải thùng 15 tấn325</v>
      </c>
      <c r="D4929" s="630"/>
      <c r="E4929" s="630"/>
      <c r="F4929" s="630"/>
      <c r="G4929" s="630"/>
    </row>
    <row r="4930" spans="1:7" ht="18.75" x14ac:dyDescent="0.25">
      <c r="A4930" s="629" t="s">
        <v>3061</v>
      </c>
      <c r="B4930" s="630">
        <v>326</v>
      </c>
      <c r="C4930" s="631" t="str">
        <f t="shared" si="82"/>
        <v>Ô tô vận tải thùng 15 tấn326</v>
      </c>
      <c r="D4930" s="630"/>
      <c r="E4930" s="630"/>
      <c r="F4930" s="630"/>
      <c r="G4930" s="630"/>
    </row>
    <row r="4931" spans="1:7" ht="18.75" x14ac:dyDescent="0.25">
      <c r="A4931" s="629" t="s">
        <v>3061</v>
      </c>
      <c r="B4931" s="630">
        <v>327</v>
      </c>
      <c r="C4931" s="631" t="str">
        <f t="shared" si="82"/>
        <v>Ô tô vận tải thùng 15 tấn327</v>
      </c>
      <c r="D4931" s="630"/>
      <c r="E4931" s="630"/>
      <c r="F4931" s="630"/>
      <c r="G4931" s="630"/>
    </row>
    <row r="4932" spans="1:7" ht="18.75" x14ac:dyDescent="0.25">
      <c r="A4932" s="629" t="s">
        <v>3061</v>
      </c>
      <c r="B4932" s="630">
        <v>328</v>
      </c>
      <c r="C4932" s="631" t="str">
        <f t="shared" si="82"/>
        <v>Ô tô vận tải thùng 15 tấn328</v>
      </c>
      <c r="D4932" s="630"/>
      <c r="E4932" s="630"/>
      <c r="F4932" s="630"/>
      <c r="G4932" s="630"/>
    </row>
    <row r="4933" spans="1:7" ht="18.75" x14ac:dyDescent="0.25">
      <c r="A4933" s="629" t="s">
        <v>3061</v>
      </c>
      <c r="B4933" s="630">
        <v>329</v>
      </c>
      <c r="C4933" s="631" t="str">
        <f t="shared" si="82"/>
        <v>Ô tô vận tải thùng 15 tấn329</v>
      </c>
      <c r="D4933" s="630"/>
      <c r="E4933" s="630"/>
      <c r="F4933" s="630"/>
      <c r="G4933" s="630"/>
    </row>
    <row r="4934" spans="1:7" ht="18.75" x14ac:dyDescent="0.25">
      <c r="A4934" s="629" t="s">
        <v>3061</v>
      </c>
      <c r="B4934" s="630">
        <v>330</v>
      </c>
      <c r="C4934" s="631" t="str">
        <f t="shared" si="82"/>
        <v>Ô tô vận tải thùng 15 tấn330</v>
      </c>
      <c r="D4934" s="630"/>
      <c r="E4934" s="630"/>
      <c r="F4934" s="630"/>
      <c r="G4934" s="630"/>
    </row>
    <row r="4935" spans="1:7" ht="18.75" x14ac:dyDescent="0.25">
      <c r="A4935" s="629" t="s">
        <v>3061</v>
      </c>
      <c r="B4935" s="630">
        <v>331</v>
      </c>
      <c r="C4935" s="631" t="str">
        <f t="shared" si="82"/>
        <v>Ô tô vận tải thùng 15 tấn331</v>
      </c>
      <c r="D4935" s="630"/>
      <c r="E4935" s="630"/>
      <c r="F4935" s="630"/>
      <c r="G4935" s="630"/>
    </row>
    <row r="4936" spans="1:7" ht="18.75" x14ac:dyDescent="0.25">
      <c r="A4936" s="629" t="s">
        <v>3061</v>
      </c>
      <c r="B4936" s="630">
        <v>332</v>
      </c>
      <c r="C4936" s="631" t="str">
        <f t="shared" si="82"/>
        <v>Ô tô vận tải thùng 15 tấn332</v>
      </c>
      <c r="D4936" s="630"/>
      <c r="E4936" s="630"/>
      <c r="F4936" s="630"/>
      <c r="G4936" s="630"/>
    </row>
    <row r="4937" spans="1:7" ht="18.75" x14ac:dyDescent="0.25">
      <c r="A4937" s="629" t="s">
        <v>3061</v>
      </c>
      <c r="B4937" s="630">
        <v>333</v>
      </c>
      <c r="C4937" s="631" t="str">
        <f t="shared" si="82"/>
        <v>Ô tô vận tải thùng 15 tấn333</v>
      </c>
      <c r="D4937" s="630"/>
      <c r="E4937" s="630"/>
      <c r="F4937" s="630"/>
      <c r="G4937" s="630"/>
    </row>
    <row r="4938" spans="1:7" ht="18.75" x14ac:dyDescent="0.25">
      <c r="A4938" s="629" t="s">
        <v>3061</v>
      </c>
      <c r="B4938" s="630">
        <v>334</v>
      </c>
      <c r="C4938" s="631" t="str">
        <f t="shared" si="82"/>
        <v>Ô tô vận tải thùng 15 tấn334</v>
      </c>
      <c r="D4938" s="630"/>
      <c r="E4938" s="630"/>
      <c r="F4938" s="630"/>
      <c r="G4938" s="630"/>
    </row>
    <row r="4939" spans="1:7" ht="18.75" x14ac:dyDescent="0.25">
      <c r="A4939" s="629" t="s">
        <v>3061</v>
      </c>
      <c r="B4939" s="630">
        <v>335</v>
      </c>
      <c r="C4939" s="631" t="str">
        <f t="shared" si="82"/>
        <v>Ô tô vận tải thùng 15 tấn335</v>
      </c>
      <c r="D4939" s="630"/>
      <c r="E4939" s="630"/>
      <c r="F4939" s="630"/>
      <c r="G4939" s="630"/>
    </row>
    <row r="4940" spans="1:7" ht="18.75" x14ac:dyDescent="0.25">
      <c r="A4940" s="629" t="s">
        <v>3061</v>
      </c>
      <c r="B4940" s="630">
        <v>336</v>
      </c>
      <c r="C4940" s="631" t="str">
        <f t="shared" si="82"/>
        <v>Ô tô vận tải thùng 15 tấn336</v>
      </c>
      <c r="D4940" s="630"/>
      <c r="E4940" s="630"/>
      <c r="F4940" s="630"/>
      <c r="G4940" s="630"/>
    </row>
    <row r="4941" spans="1:7" ht="18.75" x14ac:dyDescent="0.25">
      <c r="A4941" s="629" t="s">
        <v>3061</v>
      </c>
      <c r="B4941" s="630">
        <v>337</v>
      </c>
      <c r="C4941" s="631" t="str">
        <f t="shared" si="82"/>
        <v>Ô tô vận tải thùng 15 tấn337</v>
      </c>
      <c r="D4941" s="630"/>
      <c r="E4941" s="630"/>
      <c r="F4941" s="630"/>
      <c r="G4941" s="630"/>
    </row>
    <row r="4942" spans="1:7" ht="18.75" x14ac:dyDescent="0.25">
      <c r="A4942" s="629" t="s">
        <v>3061</v>
      </c>
      <c r="B4942" s="630">
        <v>338</v>
      </c>
      <c r="C4942" s="631" t="str">
        <f t="shared" si="82"/>
        <v>Ô tô vận tải thùng 15 tấn338</v>
      </c>
      <c r="D4942" s="630"/>
      <c r="E4942" s="630"/>
      <c r="F4942" s="630"/>
      <c r="G4942" s="630"/>
    </row>
    <row r="4943" spans="1:7" ht="18.75" x14ac:dyDescent="0.25">
      <c r="A4943" s="629" t="s">
        <v>3061</v>
      </c>
      <c r="B4943" s="630">
        <v>339</v>
      </c>
      <c r="C4943" s="631" t="str">
        <f t="shared" si="82"/>
        <v>Ô tô vận tải thùng 15 tấn339</v>
      </c>
      <c r="D4943" s="630"/>
      <c r="E4943" s="630"/>
      <c r="F4943" s="630"/>
      <c r="G4943" s="630"/>
    </row>
    <row r="4944" spans="1:7" ht="18.75" x14ac:dyDescent="0.25">
      <c r="A4944" s="629" t="s">
        <v>3061</v>
      </c>
      <c r="B4944" s="630">
        <v>340</v>
      </c>
      <c r="C4944" s="631" t="str">
        <f t="shared" si="82"/>
        <v>Ô tô vận tải thùng 15 tấn340</v>
      </c>
      <c r="D4944" s="630"/>
      <c r="E4944" s="630"/>
      <c r="F4944" s="630"/>
      <c r="G4944" s="630"/>
    </row>
    <row r="4945" spans="1:7" ht="18.75" x14ac:dyDescent="0.25">
      <c r="A4945" s="629" t="s">
        <v>3061</v>
      </c>
      <c r="B4945" s="630">
        <v>341</v>
      </c>
      <c r="C4945" s="631" t="str">
        <f t="shared" si="82"/>
        <v>Ô tô vận tải thùng 15 tấn341</v>
      </c>
      <c r="D4945" s="630"/>
      <c r="E4945" s="630"/>
      <c r="F4945" s="630"/>
      <c r="G4945" s="630"/>
    </row>
    <row r="4946" spans="1:7" ht="18.75" x14ac:dyDescent="0.25">
      <c r="A4946" s="629" t="s">
        <v>3061</v>
      </c>
      <c r="B4946" s="630">
        <v>342</v>
      </c>
      <c r="C4946" s="631" t="str">
        <f t="shared" si="82"/>
        <v>Ô tô vận tải thùng 15 tấn342</v>
      </c>
      <c r="D4946" s="630"/>
      <c r="E4946" s="630"/>
      <c r="F4946" s="630"/>
      <c r="G4946" s="630"/>
    </row>
    <row r="4947" spans="1:7" ht="18.75" x14ac:dyDescent="0.25">
      <c r="A4947" s="629" t="s">
        <v>3061</v>
      </c>
      <c r="B4947" s="630">
        <v>343</v>
      </c>
      <c r="C4947" s="631" t="str">
        <f t="shared" si="82"/>
        <v>Ô tô vận tải thùng 15 tấn343</v>
      </c>
      <c r="D4947" s="630"/>
      <c r="E4947" s="630"/>
      <c r="F4947" s="630"/>
      <c r="G4947" s="630"/>
    </row>
    <row r="4948" spans="1:7" ht="18.75" x14ac:dyDescent="0.25">
      <c r="A4948" s="629" t="s">
        <v>3061</v>
      </c>
      <c r="B4948" s="630">
        <v>344</v>
      </c>
      <c r="C4948" s="631" t="str">
        <f t="shared" si="82"/>
        <v>Ô tô vận tải thùng 15 tấn344</v>
      </c>
      <c r="D4948" s="630"/>
      <c r="E4948" s="630"/>
      <c r="F4948" s="630"/>
      <c r="G4948" s="630"/>
    </row>
    <row r="4949" spans="1:7" ht="18.75" x14ac:dyDescent="0.25">
      <c r="A4949" s="629" t="s">
        <v>3061</v>
      </c>
      <c r="B4949" s="630">
        <v>345</v>
      </c>
      <c r="C4949" s="631" t="str">
        <f t="shared" si="82"/>
        <v>Ô tô vận tải thùng 15 tấn345</v>
      </c>
      <c r="D4949" s="630"/>
      <c r="E4949" s="630"/>
      <c r="F4949" s="630"/>
      <c r="G4949" s="630"/>
    </row>
    <row r="4950" spans="1:7" ht="18.75" x14ac:dyDescent="0.25">
      <c r="A4950" s="629" t="s">
        <v>3061</v>
      </c>
      <c r="B4950" s="630">
        <v>346</v>
      </c>
      <c r="C4950" s="631" t="str">
        <f t="shared" si="82"/>
        <v>Ô tô vận tải thùng 15 tấn346</v>
      </c>
      <c r="D4950" s="630"/>
      <c r="E4950" s="630"/>
      <c r="F4950" s="630"/>
      <c r="G4950" s="630"/>
    </row>
    <row r="4951" spans="1:7" ht="18.75" x14ac:dyDescent="0.25">
      <c r="A4951" s="629" t="s">
        <v>3061</v>
      </c>
      <c r="B4951" s="630">
        <v>347</v>
      </c>
      <c r="C4951" s="631" t="str">
        <f t="shared" si="82"/>
        <v>Ô tô vận tải thùng 15 tấn347</v>
      </c>
      <c r="D4951" s="630"/>
      <c r="E4951" s="630"/>
      <c r="F4951" s="630"/>
      <c r="G4951" s="630"/>
    </row>
    <row r="4952" spans="1:7" ht="18.75" x14ac:dyDescent="0.25">
      <c r="A4952" s="629" t="s">
        <v>3061</v>
      </c>
      <c r="B4952" s="630">
        <v>348</v>
      </c>
      <c r="C4952" s="631" t="str">
        <f t="shared" si="82"/>
        <v>Ô tô vận tải thùng 15 tấn348</v>
      </c>
      <c r="D4952" s="630"/>
      <c r="E4952" s="630"/>
      <c r="F4952" s="630"/>
      <c r="G4952" s="630"/>
    </row>
    <row r="4953" spans="1:7" ht="18.75" x14ac:dyDescent="0.25">
      <c r="A4953" s="629" t="s">
        <v>3061</v>
      </c>
      <c r="B4953" s="630">
        <v>349</v>
      </c>
      <c r="C4953" s="631" t="str">
        <f t="shared" si="82"/>
        <v>Ô tô vận tải thùng 15 tấn349</v>
      </c>
      <c r="D4953" s="630"/>
      <c r="E4953" s="630"/>
      <c r="F4953" s="630"/>
      <c r="G4953" s="630"/>
    </row>
    <row r="4954" spans="1:7" ht="18.75" x14ac:dyDescent="0.25">
      <c r="A4954" s="629" t="s">
        <v>3061</v>
      </c>
      <c r="B4954" s="630">
        <v>350</v>
      </c>
      <c r="C4954" s="631" t="str">
        <f t="shared" si="82"/>
        <v>Ô tô vận tải thùng 15 tấn350</v>
      </c>
      <c r="D4954" s="630"/>
      <c r="E4954" s="630"/>
      <c r="F4954" s="630"/>
      <c r="G4954" s="630"/>
    </row>
    <row r="4955" spans="1:7" ht="18.75" x14ac:dyDescent="0.25">
      <c r="A4955" s="629" t="s">
        <v>3061</v>
      </c>
      <c r="B4955" s="630">
        <v>351</v>
      </c>
      <c r="C4955" s="631" t="str">
        <f t="shared" si="82"/>
        <v>Ô tô vận tải thùng 15 tấn351</v>
      </c>
      <c r="D4955" s="630"/>
      <c r="E4955" s="630"/>
      <c r="F4955" s="630"/>
      <c r="G4955" s="630"/>
    </row>
    <row r="4956" spans="1:7" ht="18.75" x14ac:dyDescent="0.25">
      <c r="A4956" s="629" t="s">
        <v>3061</v>
      </c>
      <c r="B4956" s="630">
        <v>352</v>
      </c>
      <c r="C4956" s="631" t="str">
        <f t="shared" si="82"/>
        <v>Ô tô vận tải thùng 15 tấn352</v>
      </c>
      <c r="D4956" s="630"/>
      <c r="E4956" s="630"/>
      <c r="F4956" s="630"/>
      <c r="G4956" s="630"/>
    </row>
    <row r="4957" spans="1:7" ht="18.75" x14ac:dyDescent="0.25">
      <c r="A4957" s="629" t="s">
        <v>3061</v>
      </c>
      <c r="B4957" s="630">
        <v>353</v>
      </c>
      <c r="C4957" s="631" t="str">
        <f t="shared" si="82"/>
        <v>Ô tô vận tải thùng 15 tấn353</v>
      </c>
      <c r="D4957" s="630"/>
      <c r="E4957" s="630"/>
      <c r="F4957" s="630"/>
      <c r="G4957" s="630"/>
    </row>
    <row r="4958" spans="1:7" ht="18.75" x14ac:dyDescent="0.25">
      <c r="A4958" s="629" t="s">
        <v>3061</v>
      </c>
      <c r="B4958" s="630">
        <v>354</v>
      </c>
      <c r="C4958" s="631" t="str">
        <f t="shared" si="82"/>
        <v>Ô tô vận tải thùng 15 tấn354</v>
      </c>
      <c r="D4958" s="630"/>
      <c r="E4958" s="630"/>
      <c r="F4958" s="630"/>
      <c r="G4958" s="630"/>
    </row>
    <row r="4959" spans="1:7" ht="18.75" x14ac:dyDescent="0.25">
      <c r="A4959" s="629" t="s">
        <v>3061</v>
      </c>
      <c r="B4959" s="630">
        <v>355</v>
      </c>
      <c r="C4959" s="631" t="str">
        <f t="shared" si="82"/>
        <v>Ô tô vận tải thùng 15 tấn355</v>
      </c>
      <c r="D4959" s="630"/>
      <c r="E4959" s="630"/>
      <c r="F4959" s="630"/>
      <c r="G4959" s="630"/>
    </row>
    <row r="4960" spans="1:7" ht="18.75" x14ac:dyDescent="0.25">
      <c r="A4960" s="629" t="s">
        <v>3061</v>
      </c>
      <c r="B4960" s="630">
        <v>356</v>
      </c>
      <c r="C4960" s="631" t="str">
        <f t="shared" si="82"/>
        <v>Ô tô vận tải thùng 15 tấn356</v>
      </c>
      <c r="D4960" s="630"/>
      <c r="E4960" s="630"/>
      <c r="F4960" s="630"/>
      <c r="G4960" s="630"/>
    </row>
    <row r="4961" spans="1:7" ht="18.75" x14ac:dyDescent="0.25">
      <c r="A4961" s="629" t="s">
        <v>3061</v>
      </c>
      <c r="B4961" s="630">
        <v>357</v>
      </c>
      <c r="C4961" s="631" t="str">
        <f t="shared" si="82"/>
        <v>Ô tô vận tải thùng 15 tấn357</v>
      </c>
      <c r="D4961" s="630"/>
      <c r="E4961" s="630"/>
      <c r="F4961" s="630"/>
      <c r="G4961" s="630"/>
    </row>
    <row r="4962" spans="1:7" ht="18.75" x14ac:dyDescent="0.25">
      <c r="A4962" s="629" t="s">
        <v>3061</v>
      </c>
      <c r="B4962" s="630">
        <v>358</v>
      </c>
      <c r="C4962" s="631" t="str">
        <f t="shared" si="82"/>
        <v>Ô tô vận tải thùng 15 tấn358</v>
      </c>
      <c r="D4962" s="630"/>
      <c r="E4962" s="630"/>
      <c r="F4962" s="630"/>
      <c r="G4962" s="630"/>
    </row>
    <row r="4963" spans="1:7" ht="18.75" x14ac:dyDescent="0.25">
      <c r="A4963" s="629" t="s">
        <v>3061</v>
      </c>
      <c r="B4963" s="630">
        <v>359</v>
      </c>
      <c r="C4963" s="631" t="str">
        <f t="shared" si="82"/>
        <v>Ô tô vận tải thùng 15 tấn359</v>
      </c>
      <c r="D4963" s="630"/>
      <c r="E4963" s="630"/>
      <c r="F4963" s="630"/>
      <c r="G4963" s="630"/>
    </row>
    <row r="4964" spans="1:7" ht="18.75" x14ac:dyDescent="0.25">
      <c r="A4964" s="629" t="s">
        <v>3061</v>
      </c>
      <c r="B4964" s="630">
        <v>360</v>
      </c>
      <c r="C4964" s="631" t="str">
        <f t="shared" si="82"/>
        <v>Ô tô vận tải thùng 15 tấn360</v>
      </c>
      <c r="D4964" s="630"/>
      <c r="E4964" s="630"/>
      <c r="F4964" s="630"/>
      <c r="G4964" s="630"/>
    </row>
    <row r="4965" spans="1:7" ht="18.75" x14ac:dyDescent="0.25">
      <c r="A4965" s="629" t="s">
        <v>3061</v>
      </c>
      <c r="B4965" s="630">
        <v>361</v>
      </c>
      <c r="C4965" s="631" t="str">
        <f t="shared" si="82"/>
        <v>Ô tô vận tải thùng 15 tấn361</v>
      </c>
      <c r="D4965" s="630"/>
      <c r="E4965" s="630"/>
      <c r="F4965" s="630"/>
      <c r="G4965" s="630"/>
    </row>
    <row r="4966" spans="1:7" ht="18.75" x14ac:dyDescent="0.25">
      <c r="A4966" s="629" t="s">
        <v>3061</v>
      </c>
      <c r="B4966" s="630">
        <v>362</v>
      </c>
      <c r="C4966" s="631" t="str">
        <f t="shared" si="82"/>
        <v>Ô tô vận tải thùng 15 tấn362</v>
      </c>
      <c r="D4966" s="630"/>
      <c r="E4966" s="630"/>
      <c r="F4966" s="630"/>
      <c r="G4966" s="630"/>
    </row>
    <row r="4967" spans="1:7" ht="18.75" x14ac:dyDescent="0.25">
      <c r="A4967" s="629" t="s">
        <v>3061</v>
      </c>
      <c r="B4967" s="630">
        <v>363</v>
      </c>
      <c r="C4967" s="631" t="str">
        <f t="shared" si="82"/>
        <v>Ô tô vận tải thùng 15 tấn363</v>
      </c>
      <c r="D4967" s="630"/>
      <c r="E4967" s="630"/>
      <c r="F4967" s="630"/>
      <c r="G4967" s="630"/>
    </row>
    <row r="4968" spans="1:7" ht="18.75" x14ac:dyDescent="0.25">
      <c r="A4968" s="629" t="s">
        <v>3061</v>
      </c>
      <c r="B4968" s="630">
        <v>364</v>
      </c>
      <c r="C4968" s="631" t="str">
        <f t="shared" si="82"/>
        <v>Ô tô vận tải thùng 15 tấn364</v>
      </c>
      <c r="D4968" s="630"/>
      <c r="E4968" s="630"/>
      <c r="F4968" s="630"/>
      <c r="G4968" s="630"/>
    </row>
    <row r="4969" spans="1:7" ht="18.75" x14ac:dyDescent="0.25">
      <c r="A4969" s="629" t="s">
        <v>3061</v>
      </c>
      <c r="B4969" s="630">
        <v>365</v>
      </c>
      <c r="C4969" s="631" t="str">
        <f t="shared" si="82"/>
        <v>Ô tô vận tải thùng 15 tấn365</v>
      </c>
      <c r="D4969" s="630"/>
      <c r="E4969" s="630"/>
      <c r="F4969" s="630"/>
      <c r="G4969" s="630"/>
    </row>
    <row r="4970" spans="1:7" ht="18.75" x14ac:dyDescent="0.25">
      <c r="A4970" s="629" t="s">
        <v>3061</v>
      </c>
      <c r="B4970" s="630">
        <v>366</v>
      </c>
      <c r="C4970" s="631" t="str">
        <f t="shared" si="82"/>
        <v>Ô tô vận tải thùng 15 tấn366</v>
      </c>
      <c r="D4970" s="630"/>
      <c r="E4970" s="630"/>
      <c r="F4970" s="630"/>
      <c r="G4970" s="630"/>
    </row>
    <row r="4971" spans="1:7" ht="18.75" x14ac:dyDescent="0.25">
      <c r="A4971" s="629" t="s">
        <v>3061</v>
      </c>
      <c r="B4971" s="630">
        <v>367</v>
      </c>
      <c r="C4971" s="631" t="str">
        <f t="shared" si="82"/>
        <v>Ô tô vận tải thùng 15 tấn367</v>
      </c>
      <c r="D4971" s="630"/>
      <c r="E4971" s="630"/>
      <c r="F4971" s="630"/>
      <c r="G4971" s="630"/>
    </row>
    <row r="4972" spans="1:7" ht="18.75" x14ac:dyDescent="0.25">
      <c r="A4972" s="629" t="s">
        <v>3061</v>
      </c>
      <c r="B4972" s="630">
        <v>368</v>
      </c>
      <c r="C4972" s="631" t="str">
        <f t="shared" si="82"/>
        <v>Ô tô vận tải thùng 15 tấn368</v>
      </c>
      <c r="D4972" s="630"/>
      <c r="E4972" s="630"/>
      <c r="F4972" s="630"/>
      <c r="G4972" s="630"/>
    </row>
    <row r="4973" spans="1:7" ht="18.75" x14ac:dyDescent="0.25">
      <c r="A4973" s="629" t="s">
        <v>3061</v>
      </c>
      <c r="B4973" s="630">
        <v>369</v>
      </c>
      <c r="C4973" s="631" t="str">
        <f t="shared" si="82"/>
        <v>Ô tô vận tải thùng 15 tấn369</v>
      </c>
      <c r="D4973" s="630"/>
      <c r="E4973" s="630"/>
      <c r="F4973" s="630"/>
      <c r="G4973" s="630"/>
    </row>
    <row r="4974" spans="1:7" ht="18.75" x14ac:dyDescent="0.25">
      <c r="A4974" s="629" t="s">
        <v>3061</v>
      </c>
      <c r="B4974" s="630">
        <v>370</v>
      </c>
      <c r="C4974" s="631" t="str">
        <f t="shared" si="82"/>
        <v>Ô tô vận tải thùng 15 tấn370</v>
      </c>
      <c r="D4974" s="630"/>
      <c r="E4974" s="630"/>
      <c r="F4974" s="630"/>
      <c r="G4974" s="630"/>
    </row>
    <row r="4975" spans="1:7" ht="18.75" x14ac:dyDescent="0.25">
      <c r="A4975" s="629" t="s">
        <v>3061</v>
      </c>
      <c r="B4975" s="630">
        <v>371</v>
      </c>
      <c r="C4975" s="631" t="str">
        <f t="shared" si="82"/>
        <v>Ô tô vận tải thùng 15 tấn371</v>
      </c>
      <c r="D4975" s="630"/>
      <c r="E4975" s="630"/>
      <c r="F4975" s="630"/>
      <c r="G4975" s="630"/>
    </row>
    <row r="4976" spans="1:7" ht="18.75" x14ac:dyDescent="0.25">
      <c r="A4976" s="629" t="s">
        <v>3061</v>
      </c>
      <c r="B4976" s="630">
        <v>372</v>
      </c>
      <c r="C4976" s="631" t="str">
        <f t="shared" si="82"/>
        <v>Ô tô vận tải thùng 15 tấn372</v>
      </c>
      <c r="D4976" s="630"/>
      <c r="E4976" s="630"/>
      <c r="F4976" s="630"/>
      <c r="G4976" s="630"/>
    </row>
    <row r="4977" spans="1:7" ht="18.75" x14ac:dyDescent="0.25">
      <c r="A4977" s="629" t="s">
        <v>3061</v>
      </c>
      <c r="B4977" s="630">
        <v>373</v>
      </c>
      <c r="C4977" s="631" t="str">
        <f t="shared" si="82"/>
        <v>Ô tô vận tải thùng 15 tấn373</v>
      </c>
      <c r="D4977" s="630"/>
      <c r="E4977" s="630"/>
      <c r="F4977" s="630"/>
      <c r="G4977" s="630"/>
    </row>
    <row r="4978" spans="1:7" ht="18.75" x14ac:dyDescent="0.25">
      <c r="A4978" s="629" t="s">
        <v>3061</v>
      </c>
      <c r="B4978" s="630">
        <v>374</v>
      </c>
      <c r="C4978" s="631" t="str">
        <f t="shared" si="82"/>
        <v>Ô tô vận tải thùng 15 tấn374</v>
      </c>
      <c r="D4978" s="630"/>
      <c r="E4978" s="630"/>
      <c r="F4978" s="630"/>
      <c r="G4978" s="630"/>
    </row>
    <row r="4979" spans="1:7" ht="18.75" x14ac:dyDescent="0.25">
      <c r="A4979" s="629" t="s">
        <v>3061</v>
      </c>
      <c r="B4979" s="630">
        <v>375</v>
      </c>
      <c r="C4979" s="631" t="str">
        <f t="shared" si="82"/>
        <v>Ô tô vận tải thùng 15 tấn375</v>
      </c>
      <c r="D4979" s="630"/>
      <c r="E4979" s="630"/>
      <c r="F4979" s="630"/>
      <c r="G4979" s="630"/>
    </row>
    <row r="4980" spans="1:7" ht="18.75" x14ac:dyDescent="0.25">
      <c r="A4980" s="629" t="s">
        <v>3061</v>
      </c>
      <c r="B4980" s="630">
        <v>376</v>
      </c>
      <c r="C4980" s="631" t="str">
        <f t="shared" si="82"/>
        <v>Ô tô vận tải thùng 15 tấn376</v>
      </c>
      <c r="D4980" s="630"/>
      <c r="E4980" s="630"/>
      <c r="F4980" s="630"/>
      <c r="G4980" s="630"/>
    </row>
    <row r="4981" spans="1:7" ht="18.75" x14ac:dyDescent="0.25">
      <c r="A4981" s="629" t="s">
        <v>3061</v>
      </c>
      <c r="B4981" s="630">
        <v>377</v>
      </c>
      <c r="C4981" s="631" t="str">
        <f t="shared" si="82"/>
        <v>Ô tô vận tải thùng 15 tấn377</v>
      </c>
      <c r="D4981" s="630"/>
      <c r="E4981" s="630"/>
      <c r="F4981" s="630"/>
      <c r="G4981" s="630"/>
    </row>
    <row r="4982" spans="1:7" ht="18.75" x14ac:dyDescent="0.25">
      <c r="A4982" s="629" t="s">
        <v>3061</v>
      </c>
      <c r="B4982" s="630">
        <v>378</v>
      </c>
      <c r="C4982" s="631" t="str">
        <f t="shared" si="82"/>
        <v>Ô tô vận tải thùng 15 tấn378</v>
      </c>
      <c r="D4982" s="630"/>
      <c r="E4982" s="630"/>
      <c r="F4982" s="630"/>
      <c r="G4982" s="630"/>
    </row>
    <row r="4983" spans="1:7" ht="18.75" x14ac:dyDescent="0.25">
      <c r="A4983" s="629" t="s">
        <v>3061</v>
      </c>
      <c r="B4983" s="630">
        <v>379</v>
      </c>
      <c r="C4983" s="631" t="str">
        <f t="shared" si="82"/>
        <v>Ô tô vận tải thùng 15 tấn379</v>
      </c>
      <c r="D4983" s="630"/>
      <c r="E4983" s="630"/>
      <c r="F4983" s="630"/>
      <c r="G4983" s="630"/>
    </row>
    <row r="4984" spans="1:7" ht="18.75" x14ac:dyDescent="0.25">
      <c r="A4984" s="629" t="s">
        <v>3061</v>
      </c>
      <c r="B4984" s="630">
        <v>380</v>
      </c>
      <c r="C4984" s="631" t="str">
        <f t="shared" si="82"/>
        <v>Ô tô vận tải thùng 15 tấn380</v>
      </c>
      <c r="D4984" s="630"/>
      <c r="E4984" s="630"/>
      <c r="F4984" s="630"/>
      <c r="G4984" s="630"/>
    </row>
    <row r="4985" spans="1:7" ht="18.75" x14ac:dyDescent="0.25">
      <c r="A4985" s="629" t="s">
        <v>3061</v>
      </c>
      <c r="B4985" s="630">
        <v>381</v>
      </c>
      <c r="C4985" s="631" t="str">
        <f t="shared" si="82"/>
        <v>Ô tô vận tải thùng 15 tấn381</v>
      </c>
      <c r="D4985" s="630"/>
      <c r="E4985" s="630"/>
      <c r="F4985" s="630"/>
      <c r="G4985" s="630"/>
    </row>
    <row r="4986" spans="1:7" ht="18.75" x14ac:dyDescent="0.25">
      <c r="A4986" s="629" t="s">
        <v>3061</v>
      </c>
      <c r="B4986" s="630">
        <v>382</v>
      </c>
      <c r="C4986" s="631" t="str">
        <f t="shared" si="82"/>
        <v>Ô tô vận tải thùng 15 tấn382</v>
      </c>
      <c r="D4986" s="630"/>
      <c r="E4986" s="630"/>
      <c r="F4986" s="630"/>
      <c r="G4986" s="630"/>
    </row>
    <row r="4987" spans="1:7" ht="18.75" x14ac:dyDescent="0.25">
      <c r="A4987" s="629" t="s">
        <v>3061</v>
      </c>
      <c r="B4987" s="630">
        <v>383</v>
      </c>
      <c r="C4987" s="631" t="str">
        <f t="shared" si="82"/>
        <v>Ô tô vận tải thùng 15 tấn383</v>
      </c>
      <c r="D4987" s="630"/>
      <c r="E4987" s="630"/>
      <c r="F4987" s="630"/>
      <c r="G4987" s="630"/>
    </row>
    <row r="4988" spans="1:7" ht="18.75" x14ac:dyDescent="0.25">
      <c r="A4988" s="629" t="s">
        <v>3061</v>
      </c>
      <c r="B4988" s="630">
        <v>384</v>
      </c>
      <c r="C4988" s="631" t="str">
        <f t="shared" si="82"/>
        <v>Ô tô vận tải thùng 15 tấn384</v>
      </c>
      <c r="D4988" s="630"/>
      <c r="E4988" s="630"/>
      <c r="F4988" s="630"/>
      <c r="G4988" s="630"/>
    </row>
    <row r="4989" spans="1:7" ht="18.75" x14ac:dyDescent="0.25">
      <c r="A4989" s="629" t="s">
        <v>3061</v>
      </c>
      <c r="B4989" s="630">
        <v>385</v>
      </c>
      <c r="C4989" s="631" t="str">
        <f t="shared" si="82"/>
        <v>Ô tô vận tải thùng 15 tấn385</v>
      </c>
      <c r="D4989" s="630"/>
      <c r="E4989" s="630"/>
      <c r="F4989" s="630"/>
      <c r="G4989" s="630"/>
    </row>
    <row r="4990" spans="1:7" ht="18.75" x14ac:dyDescent="0.25">
      <c r="A4990" s="629" t="s">
        <v>3061</v>
      </c>
      <c r="B4990" s="630">
        <v>386</v>
      </c>
      <c r="C4990" s="631" t="str">
        <f t="shared" ref="C4990:C5053" si="83">A4990&amp;B4990</f>
        <v>Ô tô vận tải thùng 15 tấn386</v>
      </c>
      <c r="D4990" s="630"/>
      <c r="E4990" s="630"/>
      <c r="F4990" s="630"/>
      <c r="G4990" s="630"/>
    </row>
    <row r="4991" spans="1:7" ht="18.75" x14ac:dyDescent="0.25">
      <c r="A4991" s="629" t="s">
        <v>3061</v>
      </c>
      <c r="B4991" s="630">
        <v>387</v>
      </c>
      <c r="C4991" s="631" t="str">
        <f t="shared" si="83"/>
        <v>Ô tô vận tải thùng 15 tấn387</v>
      </c>
      <c r="D4991" s="630"/>
      <c r="E4991" s="630"/>
      <c r="F4991" s="630"/>
      <c r="G4991" s="630"/>
    </row>
    <row r="4992" spans="1:7" ht="18.75" x14ac:dyDescent="0.25">
      <c r="A4992" s="629" t="s">
        <v>3061</v>
      </c>
      <c r="B4992" s="630">
        <v>388</v>
      </c>
      <c r="C4992" s="631" t="str">
        <f t="shared" si="83"/>
        <v>Ô tô vận tải thùng 15 tấn388</v>
      </c>
      <c r="D4992" s="630"/>
      <c r="E4992" s="630"/>
      <c r="F4992" s="630"/>
      <c r="G4992" s="630"/>
    </row>
    <row r="4993" spans="1:7" ht="18.75" x14ac:dyDescent="0.25">
      <c r="A4993" s="629" t="s">
        <v>3061</v>
      </c>
      <c r="B4993" s="630">
        <v>389</v>
      </c>
      <c r="C4993" s="631" t="str">
        <f t="shared" si="83"/>
        <v>Ô tô vận tải thùng 15 tấn389</v>
      </c>
      <c r="D4993" s="630"/>
      <c r="E4993" s="630"/>
      <c r="F4993" s="630"/>
      <c r="G4993" s="630"/>
    </row>
    <row r="4994" spans="1:7" ht="18.75" x14ac:dyDescent="0.25">
      <c r="A4994" s="629" t="s">
        <v>3061</v>
      </c>
      <c r="B4994" s="630">
        <v>390</v>
      </c>
      <c r="C4994" s="631" t="str">
        <f t="shared" si="83"/>
        <v>Ô tô vận tải thùng 15 tấn390</v>
      </c>
      <c r="D4994" s="630"/>
      <c r="E4994" s="630"/>
      <c r="F4994" s="630"/>
      <c r="G4994" s="630"/>
    </row>
    <row r="4995" spans="1:7" ht="18.75" x14ac:dyDescent="0.25">
      <c r="A4995" s="629" t="s">
        <v>3061</v>
      </c>
      <c r="B4995" s="630">
        <v>391</v>
      </c>
      <c r="C4995" s="631" t="str">
        <f t="shared" si="83"/>
        <v>Ô tô vận tải thùng 15 tấn391</v>
      </c>
      <c r="D4995" s="630"/>
      <c r="E4995" s="630"/>
      <c r="F4995" s="630"/>
      <c r="G4995" s="630"/>
    </row>
    <row r="4996" spans="1:7" ht="18.75" x14ac:dyDescent="0.25">
      <c r="A4996" s="629" t="s">
        <v>3061</v>
      </c>
      <c r="B4996" s="630">
        <v>392</v>
      </c>
      <c r="C4996" s="631" t="str">
        <f t="shared" si="83"/>
        <v>Ô tô vận tải thùng 15 tấn392</v>
      </c>
      <c r="D4996" s="630"/>
      <c r="E4996" s="630"/>
      <c r="F4996" s="630"/>
      <c r="G4996" s="630"/>
    </row>
    <row r="4997" spans="1:7" ht="18.75" x14ac:dyDescent="0.25">
      <c r="A4997" s="629" t="s">
        <v>3061</v>
      </c>
      <c r="B4997" s="630">
        <v>393</v>
      </c>
      <c r="C4997" s="631" t="str">
        <f t="shared" si="83"/>
        <v>Ô tô vận tải thùng 15 tấn393</v>
      </c>
      <c r="D4997" s="630"/>
      <c r="E4997" s="630"/>
      <c r="F4997" s="630"/>
      <c r="G4997" s="630"/>
    </row>
    <row r="4998" spans="1:7" ht="18.75" x14ac:dyDescent="0.25">
      <c r="A4998" s="629" t="s">
        <v>3061</v>
      </c>
      <c r="B4998" s="630">
        <v>394</v>
      </c>
      <c r="C4998" s="631" t="str">
        <f t="shared" si="83"/>
        <v>Ô tô vận tải thùng 15 tấn394</v>
      </c>
      <c r="D4998" s="630"/>
      <c r="E4998" s="630"/>
      <c r="F4998" s="630"/>
      <c r="G4998" s="630"/>
    </row>
    <row r="4999" spans="1:7" ht="18.75" x14ac:dyDescent="0.25">
      <c r="A4999" s="629" t="s">
        <v>3061</v>
      </c>
      <c r="B4999" s="630">
        <v>395</v>
      </c>
      <c r="C4999" s="631" t="str">
        <f t="shared" si="83"/>
        <v>Ô tô vận tải thùng 15 tấn395</v>
      </c>
      <c r="D4999" s="630"/>
      <c r="E4999" s="630"/>
      <c r="F4999" s="630"/>
      <c r="G4999" s="630"/>
    </row>
    <row r="5000" spans="1:7" ht="18.75" x14ac:dyDescent="0.25">
      <c r="A5000" s="629" t="s">
        <v>3061</v>
      </c>
      <c r="B5000" s="630">
        <v>396</v>
      </c>
      <c r="C5000" s="631" t="str">
        <f t="shared" si="83"/>
        <v>Ô tô vận tải thùng 15 tấn396</v>
      </c>
      <c r="D5000" s="630"/>
      <c r="E5000" s="630"/>
      <c r="F5000" s="630"/>
      <c r="G5000" s="630"/>
    </row>
    <row r="5001" spans="1:7" ht="18.75" x14ac:dyDescent="0.25">
      <c r="A5001" s="629" t="s">
        <v>3061</v>
      </c>
      <c r="B5001" s="630">
        <v>397</v>
      </c>
      <c r="C5001" s="631" t="str">
        <f t="shared" si="83"/>
        <v>Ô tô vận tải thùng 15 tấn397</v>
      </c>
      <c r="D5001" s="630"/>
      <c r="E5001" s="630"/>
      <c r="F5001" s="630"/>
      <c r="G5001" s="630"/>
    </row>
    <row r="5002" spans="1:7" ht="18.75" x14ac:dyDescent="0.25">
      <c r="A5002" s="629" t="s">
        <v>3061</v>
      </c>
      <c r="B5002" s="630">
        <v>398</v>
      </c>
      <c r="C5002" s="631" t="str">
        <f t="shared" si="83"/>
        <v>Ô tô vận tải thùng 15 tấn398</v>
      </c>
      <c r="D5002" s="630"/>
      <c r="E5002" s="630"/>
      <c r="F5002" s="630"/>
      <c r="G5002" s="630"/>
    </row>
    <row r="5003" spans="1:7" ht="18.75" x14ac:dyDescent="0.25">
      <c r="A5003" s="629" t="s">
        <v>3061</v>
      </c>
      <c r="B5003" s="630">
        <v>399</v>
      </c>
      <c r="C5003" s="631" t="str">
        <f t="shared" si="83"/>
        <v>Ô tô vận tải thùng 15 tấn399</v>
      </c>
      <c r="D5003" s="630"/>
      <c r="E5003" s="630"/>
      <c r="F5003" s="630"/>
      <c r="G5003" s="630"/>
    </row>
    <row r="5004" spans="1:7" ht="18.75" x14ac:dyDescent="0.25">
      <c r="A5004" s="629" t="s">
        <v>3061</v>
      </c>
      <c r="B5004" s="630">
        <v>400</v>
      </c>
      <c r="C5004" s="631" t="str">
        <f t="shared" si="83"/>
        <v>Ô tô vận tải thùng 15 tấn400</v>
      </c>
      <c r="D5004" s="630"/>
      <c r="E5004" s="630"/>
      <c r="F5004" s="630"/>
      <c r="G5004" s="630"/>
    </row>
    <row r="5005" spans="1:7" ht="18.75" x14ac:dyDescent="0.25">
      <c r="A5005" s="629" t="s">
        <v>3061</v>
      </c>
      <c r="B5005" s="630">
        <v>401</v>
      </c>
      <c r="C5005" s="631" t="str">
        <f t="shared" si="83"/>
        <v>Ô tô vận tải thùng 15 tấn401</v>
      </c>
      <c r="D5005" s="630"/>
      <c r="E5005" s="630"/>
      <c r="F5005" s="630"/>
      <c r="G5005" s="630"/>
    </row>
    <row r="5006" spans="1:7" ht="18.75" x14ac:dyDescent="0.25">
      <c r="A5006" s="629" t="s">
        <v>3061</v>
      </c>
      <c r="B5006" s="630">
        <v>402</v>
      </c>
      <c r="C5006" s="631" t="str">
        <f t="shared" si="83"/>
        <v>Ô tô vận tải thùng 15 tấn402</v>
      </c>
      <c r="D5006" s="630"/>
      <c r="E5006" s="630"/>
      <c r="F5006" s="630"/>
      <c r="G5006" s="630"/>
    </row>
    <row r="5007" spans="1:7" ht="18.75" x14ac:dyDescent="0.25">
      <c r="A5007" s="629" t="s">
        <v>3061</v>
      </c>
      <c r="B5007" s="630">
        <v>403</v>
      </c>
      <c r="C5007" s="631" t="str">
        <f t="shared" si="83"/>
        <v>Ô tô vận tải thùng 15 tấn403</v>
      </c>
      <c r="D5007" s="630"/>
      <c r="E5007" s="630"/>
      <c r="F5007" s="630"/>
      <c r="G5007" s="630"/>
    </row>
    <row r="5008" spans="1:7" ht="18.75" x14ac:dyDescent="0.25">
      <c r="A5008" s="629" t="s">
        <v>3061</v>
      </c>
      <c r="B5008" s="630">
        <v>404</v>
      </c>
      <c r="C5008" s="631" t="str">
        <f t="shared" si="83"/>
        <v>Ô tô vận tải thùng 15 tấn404</v>
      </c>
      <c r="D5008" s="630"/>
      <c r="E5008" s="630"/>
      <c r="F5008" s="630"/>
      <c r="G5008" s="630"/>
    </row>
    <row r="5009" spans="1:7" ht="18.75" x14ac:dyDescent="0.25">
      <c r="A5009" s="629" t="s">
        <v>3061</v>
      </c>
      <c r="B5009" s="630">
        <v>405</v>
      </c>
      <c r="C5009" s="631" t="str">
        <f t="shared" si="83"/>
        <v>Ô tô vận tải thùng 15 tấn405</v>
      </c>
      <c r="D5009" s="630"/>
      <c r="E5009" s="630"/>
      <c r="F5009" s="630"/>
      <c r="G5009" s="630"/>
    </row>
    <row r="5010" spans="1:7" ht="18.75" x14ac:dyDescent="0.25">
      <c r="A5010" s="629" t="s">
        <v>3061</v>
      </c>
      <c r="B5010" s="630">
        <v>406</v>
      </c>
      <c r="C5010" s="631" t="str">
        <f t="shared" si="83"/>
        <v>Ô tô vận tải thùng 15 tấn406</v>
      </c>
      <c r="D5010" s="630"/>
      <c r="E5010" s="630"/>
      <c r="F5010" s="630"/>
      <c r="G5010" s="630"/>
    </row>
    <row r="5011" spans="1:7" ht="18.75" x14ac:dyDescent="0.25">
      <c r="A5011" s="629" t="s">
        <v>3061</v>
      </c>
      <c r="B5011" s="630">
        <v>407</v>
      </c>
      <c r="C5011" s="631" t="str">
        <f t="shared" si="83"/>
        <v>Ô tô vận tải thùng 15 tấn407</v>
      </c>
      <c r="D5011" s="630"/>
      <c r="E5011" s="630"/>
      <c r="F5011" s="630"/>
      <c r="G5011" s="630"/>
    </row>
    <row r="5012" spans="1:7" ht="18.75" x14ac:dyDescent="0.25">
      <c r="A5012" s="629" t="s">
        <v>3061</v>
      </c>
      <c r="B5012" s="630">
        <v>408</v>
      </c>
      <c r="C5012" s="631" t="str">
        <f t="shared" si="83"/>
        <v>Ô tô vận tải thùng 15 tấn408</v>
      </c>
      <c r="D5012" s="630"/>
      <c r="E5012" s="630"/>
      <c r="F5012" s="630"/>
      <c r="G5012" s="630"/>
    </row>
    <row r="5013" spans="1:7" ht="18.75" x14ac:dyDescent="0.25">
      <c r="A5013" s="629" t="s">
        <v>3061</v>
      </c>
      <c r="B5013" s="630">
        <v>409</v>
      </c>
      <c r="C5013" s="631" t="str">
        <f t="shared" si="83"/>
        <v>Ô tô vận tải thùng 15 tấn409</v>
      </c>
      <c r="D5013" s="630"/>
      <c r="E5013" s="630"/>
      <c r="F5013" s="630"/>
      <c r="G5013" s="630"/>
    </row>
    <row r="5014" spans="1:7" ht="18.75" x14ac:dyDescent="0.25">
      <c r="A5014" s="629" t="s">
        <v>3061</v>
      </c>
      <c r="B5014" s="630">
        <v>410</v>
      </c>
      <c r="C5014" s="631" t="str">
        <f t="shared" si="83"/>
        <v>Ô tô vận tải thùng 15 tấn410</v>
      </c>
      <c r="D5014" s="630"/>
      <c r="E5014" s="630"/>
      <c r="F5014" s="630"/>
      <c r="G5014" s="630"/>
    </row>
    <row r="5015" spans="1:7" ht="18.75" x14ac:dyDescent="0.25">
      <c r="A5015" s="629" t="s">
        <v>3061</v>
      </c>
      <c r="B5015" s="630">
        <v>411</v>
      </c>
      <c r="C5015" s="631" t="str">
        <f t="shared" si="83"/>
        <v>Ô tô vận tải thùng 15 tấn411</v>
      </c>
      <c r="D5015" s="630"/>
      <c r="E5015" s="630"/>
      <c r="F5015" s="630"/>
      <c r="G5015" s="630"/>
    </row>
    <row r="5016" spans="1:7" ht="18.75" x14ac:dyDescent="0.25">
      <c r="A5016" s="629" t="s">
        <v>3061</v>
      </c>
      <c r="B5016" s="630">
        <v>412</v>
      </c>
      <c r="C5016" s="631" t="str">
        <f t="shared" si="83"/>
        <v>Ô tô vận tải thùng 15 tấn412</v>
      </c>
      <c r="D5016" s="630"/>
      <c r="E5016" s="630"/>
      <c r="F5016" s="630"/>
      <c r="G5016" s="630"/>
    </row>
    <row r="5017" spans="1:7" ht="18.75" x14ac:dyDescent="0.25">
      <c r="A5017" s="629" t="s">
        <v>3061</v>
      </c>
      <c r="B5017" s="630">
        <v>413</v>
      </c>
      <c r="C5017" s="631" t="str">
        <f t="shared" si="83"/>
        <v>Ô tô vận tải thùng 15 tấn413</v>
      </c>
      <c r="D5017" s="630"/>
      <c r="E5017" s="630"/>
      <c r="F5017" s="630"/>
      <c r="G5017" s="630"/>
    </row>
    <row r="5018" spans="1:7" ht="18.75" x14ac:dyDescent="0.25">
      <c r="A5018" s="629" t="s">
        <v>3061</v>
      </c>
      <c r="B5018" s="630">
        <v>414</v>
      </c>
      <c r="C5018" s="631" t="str">
        <f t="shared" si="83"/>
        <v>Ô tô vận tải thùng 15 tấn414</v>
      </c>
      <c r="D5018" s="630"/>
      <c r="E5018" s="630"/>
      <c r="F5018" s="630"/>
      <c r="G5018" s="630"/>
    </row>
    <row r="5019" spans="1:7" ht="18.75" x14ac:dyDescent="0.25">
      <c r="A5019" s="629" t="s">
        <v>3061</v>
      </c>
      <c r="B5019" s="630">
        <v>415</v>
      </c>
      <c r="C5019" s="631" t="str">
        <f t="shared" si="83"/>
        <v>Ô tô vận tải thùng 15 tấn415</v>
      </c>
      <c r="D5019" s="630"/>
      <c r="E5019" s="630"/>
      <c r="F5019" s="630"/>
      <c r="G5019" s="630"/>
    </row>
    <row r="5020" spans="1:7" ht="18.75" x14ac:dyDescent="0.25">
      <c r="A5020" s="629" t="s">
        <v>3061</v>
      </c>
      <c r="B5020" s="630">
        <v>416</v>
      </c>
      <c r="C5020" s="631" t="str">
        <f t="shared" si="83"/>
        <v>Ô tô vận tải thùng 15 tấn416</v>
      </c>
      <c r="D5020" s="630"/>
      <c r="E5020" s="630"/>
      <c r="F5020" s="630"/>
      <c r="G5020" s="630"/>
    </row>
    <row r="5021" spans="1:7" ht="18.75" x14ac:dyDescent="0.25">
      <c r="A5021" s="629" t="s">
        <v>3061</v>
      </c>
      <c r="B5021" s="630">
        <v>417</v>
      </c>
      <c r="C5021" s="631" t="str">
        <f t="shared" si="83"/>
        <v>Ô tô vận tải thùng 15 tấn417</v>
      </c>
      <c r="D5021" s="630"/>
      <c r="E5021" s="630"/>
      <c r="F5021" s="630"/>
      <c r="G5021" s="630"/>
    </row>
    <row r="5022" spans="1:7" ht="18.75" x14ac:dyDescent="0.25">
      <c r="A5022" s="629" t="s">
        <v>3061</v>
      </c>
      <c r="B5022" s="630">
        <v>418</v>
      </c>
      <c r="C5022" s="631" t="str">
        <f t="shared" si="83"/>
        <v>Ô tô vận tải thùng 15 tấn418</v>
      </c>
      <c r="D5022" s="630"/>
      <c r="E5022" s="630"/>
      <c r="F5022" s="630"/>
      <c r="G5022" s="630"/>
    </row>
    <row r="5023" spans="1:7" ht="18.75" x14ac:dyDescent="0.25">
      <c r="A5023" s="629" t="s">
        <v>3061</v>
      </c>
      <c r="B5023" s="630">
        <v>419</v>
      </c>
      <c r="C5023" s="631" t="str">
        <f t="shared" si="83"/>
        <v>Ô tô vận tải thùng 15 tấn419</v>
      </c>
      <c r="D5023" s="630"/>
      <c r="E5023" s="630"/>
      <c r="F5023" s="630"/>
      <c r="G5023" s="630"/>
    </row>
    <row r="5024" spans="1:7" ht="18.75" x14ac:dyDescent="0.25">
      <c r="A5024" s="629" t="s">
        <v>3061</v>
      </c>
      <c r="B5024" s="630">
        <v>420</v>
      </c>
      <c r="C5024" s="631" t="str">
        <f t="shared" si="83"/>
        <v>Ô tô vận tải thùng 15 tấn420</v>
      </c>
      <c r="D5024" s="630"/>
      <c r="E5024" s="630"/>
      <c r="F5024" s="630"/>
      <c r="G5024" s="630"/>
    </row>
    <row r="5025" spans="1:7" ht="18.75" x14ac:dyDescent="0.25">
      <c r="A5025" s="629" t="s">
        <v>3061</v>
      </c>
      <c r="B5025" s="630">
        <v>421</v>
      </c>
      <c r="C5025" s="631" t="str">
        <f t="shared" si="83"/>
        <v>Ô tô vận tải thùng 15 tấn421</v>
      </c>
      <c r="D5025" s="630"/>
      <c r="E5025" s="630"/>
      <c r="F5025" s="630"/>
      <c r="G5025" s="630"/>
    </row>
    <row r="5026" spans="1:7" ht="18.75" x14ac:dyDescent="0.25">
      <c r="A5026" s="629" t="s">
        <v>3061</v>
      </c>
      <c r="B5026" s="630">
        <v>422</v>
      </c>
      <c r="C5026" s="631" t="str">
        <f t="shared" si="83"/>
        <v>Ô tô vận tải thùng 15 tấn422</v>
      </c>
      <c r="D5026" s="630"/>
      <c r="E5026" s="630"/>
      <c r="F5026" s="630"/>
      <c r="G5026" s="630"/>
    </row>
    <row r="5027" spans="1:7" ht="18.75" x14ac:dyDescent="0.25">
      <c r="A5027" s="629" t="s">
        <v>3061</v>
      </c>
      <c r="B5027" s="630">
        <v>423</v>
      </c>
      <c r="C5027" s="631" t="str">
        <f t="shared" si="83"/>
        <v>Ô tô vận tải thùng 15 tấn423</v>
      </c>
      <c r="D5027" s="630"/>
      <c r="E5027" s="630"/>
      <c r="F5027" s="630"/>
      <c r="G5027" s="630"/>
    </row>
    <row r="5028" spans="1:7" ht="18.75" x14ac:dyDescent="0.25">
      <c r="A5028" s="629" t="s">
        <v>3061</v>
      </c>
      <c r="B5028" s="630">
        <v>424</v>
      </c>
      <c r="C5028" s="631" t="str">
        <f t="shared" si="83"/>
        <v>Ô tô vận tải thùng 15 tấn424</v>
      </c>
      <c r="D5028" s="630"/>
      <c r="E5028" s="630"/>
      <c r="F5028" s="630"/>
      <c r="G5028" s="630"/>
    </row>
    <row r="5029" spans="1:7" ht="18.75" x14ac:dyDescent="0.25">
      <c r="A5029" s="629" t="s">
        <v>3061</v>
      </c>
      <c r="B5029" s="630">
        <v>425</v>
      </c>
      <c r="C5029" s="631" t="str">
        <f t="shared" si="83"/>
        <v>Ô tô vận tải thùng 15 tấn425</v>
      </c>
      <c r="D5029" s="630"/>
      <c r="E5029" s="630"/>
      <c r="F5029" s="630"/>
      <c r="G5029" s="630"/>
    </row>
    <row r="5030" spans="1:7" ht="18.75" x14ac:dyDescent="0.25">
      <c r="A5030" s="629" t="s">
        <v>3061</v>
      </c>
      <c r="B5030" s="630">
        <v>426</v>
      </c>
      <c r="C5030" s="631" t="str">
        <f t="shared" si="83"/>
        <v>Ô tô vận tải thùng 15 tấn426</v>
      </c>
      <c r="D5030" s="630"/>
      <c r="E5030" s="630"/>
      <c r="F5030" s="630"/>
      <c r="G5030" s="630"/>
    </row>
    <row r="5031" spans="1:7" ht="18.75" x14ac:dyDescent="0.25">
      <c r="A5031" s="629" t="s">
        <v>3061</v>
      </c>
      <c r="B5031" s="630">
        <v>427</v>
      </c>
      <c r="C5031" s="631" t="str">
        <f t="shared" si="83"/>
        <v>Ô tô vận tải thùng 15 tấn427</v>
      </c>
      <c r="D5031" s="630"/>
      <c r="E5031" s="630"/>
      <c r="F5031" s="630"/>
      <c r="G5031" s="630"/>
    </row>
    <row r="5032" spans="1:7" ht="18.75" x14ac:dyDescent="0.25">
      <c r="A5032" s="629" t="s">
        <v>3061</v>
      </c>
      <c r="B5032" s="630">
        <v>428</v>
      </c>
      <c r="C5032" s="631" t="str">
        <f t="shared" si="83"/>
        <v>Ô tô vận tải thùng 15 tấn428</v>
      </c>
      <c r="D5032" s="630"/>
      <c r="E5032" s="630"/>
      <c r="F5032" s="630"/>
      <c r="G5032" s="630"/>
    </row>
    <row r="5033" spans="1:7" ht="18.75" x14ac:dyDescent="0.25">
      <c r="A5033" s="629" t="s">
        <v>3061</v>
      </c>
      <c r="B5033" s="630">
        <v>429</v>
      </c>
      <c r="C5033" s="631" t="str">
        <f t="shared" si="83"/>
        <v>Ô tô vận tải thùng 15 tấn429</v>
      </c>
      <c r="D5033" s="630"/>
      <c r="E5033" s="630"/>
      <c r="F5033" s="630"/>
      <c r="G5033" s="630"/>
    </row>
    <row r="5034" spans="1:7" ht="18.75" x14ac:dyDescent="0.25">
      <c r="A5034" s="629" t="s">
        <v>3061</v>
      </c>
      <c r="B5034" s="630">
        <v>430</v>
      </c>
      <c r="C5034" s="631" t="str">
        <f t="shared" si="83"/>
        <v>Ô tô vận tải thùng 15 tấn430</v>
      </c>
      <c r="D5034" s="630"/>
      <c r="E5034" s="630"/>
      <c r="F5034" s="630"/>
      <c r="G5034" s="630"/>
    </row>
    <row r="5035" spans="1:7" ht="18.75" x14ac:dyDescent="0.25">
      <c r="A5035" s="629" t="s">
        <v>3061</v>
      </c>
      <c r="B5035" s="630">
        <v>431</v>
      </c>
      <c r="C5035" s="631" t="str">
        <f t="shared" si="83"/>
        <v>Ô tô vận tải thùng 15 tấn431</v>
      </c>
      <c r="D5035" s="630"/>
      <c r="E5035" s="630"/>
      <c r="F5035" s="630"/>
      <c r="G5035" s="630"/>
    </row>
    <row r="5036" spans="1:7" ht="18.75" x14ac:dyDescent="0.25">
      <c r="A5036" s="629" t="s">
        <v>3061</v>
      </c>
      <c r="B5036" s="630">
        <v>432</v>
      </c>
      <c r="C5036" s="631" t="str">
        <f t="shared" si="83"/>
        <v>Ô tô vận tải thùng 15 tấn432</v>
      </c>
      <c r="D5036" s="630"/>
      <c r="E5036" s="630"/>
      <c r="F5036" s="630"/>
      <c r="G5036" s="630"/>
    </row>
    <row r="5037" spans="1:7" ht="18.75" x14ac:dyDescent="0.25">
      <c r="A5037" s="629" t="s">
        <v>3061</v>
      </c>
      <c r="B5037" s="630">
        <v>433</v>
      </c>
      <c r="C5037" s="631" t="str">
        <f t="shared" si="83"/>
        <v>Ô tô vận tải thùng 15 tấn433</v>
      </c>
      <c r="D5037" s="630"/>
      <c r="E5037" s="630"/>
      <c r="F5037" s="630"/>
      <c r="G5037" s="630"/>
    </row>
    <row r="5038" spans="1:7" ht="18.75" x14ac:dyDescent="0.25">
      <c r="A5038" s="629" t="s">
        <v>3061</v>
      </c>
      <c r="B5038" s="630">
        <v>434</v>
      </c>
      <c r="C5038" s="631" t="str">
        <f t="shared" si="83"/>
        <v>Ô tô vận tải thùng 15 tấn434</v>
      </c>
      <c r="D5038" s="630"/>
      <c r="E5038" s="630"/>
      <c r="F5038" s="630"/>
      <c r="G5038" s="630"/>
    </row>
    <row r="5039" spans="1:7" ht="18.75" x14ac:dyDescent="0.25">
      <c r="A5039" s="629" t="s">
        <v>3061</v>
      </c>
      <c r="B5039" s="630">
        <v>435</v>
      </c>
      <c r="C5039" s="631" t="str">
        <f t="shared" si="83"/>
        <v>Ô tô vận tải thùng 15 tấn435</v>
      </c>
      <c r="D5039" s="630"/>
      <c r="E5039" s="630"/>
      <c r="F5039" s="630"/>
      <c r="G5039" s="630"/>
    </row>
    <row r="5040" spans="1:7" ht="18.75" x14ac:dyDescent="0.25">
      <c r="A5040" s="629" t="s">
        <v>3061</v>
      </c>
      <c r="B5040" s="630">
        <v>436</v>
      </c>
      <c r="C5040" s="631" t="str">
        <f t="shared" si="83"/>
        <v>Ô tô vận tải thùng 15 tấn436</v>
      </c>
      <c r="D5040" s="630"/>
      <c r="E5040" s="630"/>
      <c r="F5040" s="630"/>
      <c r="G5040" s="630"/>
    </row>
    <row r="5041" spans="1:7" ht="18.75" x14ac:dyDescent="0.25">
      <c r="A5041" s="629" t="s">
        <v>3061</v>
      </c>
      <c r="B5041" s="630">
        <v>437</v>
      </c>
      <c r="C5041" s="631" t="str">
        <f t="shared" si="83"/>
        <v>Ô tô vận tải thùng 15 tấn437</v>
      </c>
      <c r="D5041" s="630"/>
      <c r="E5041" s="630"/>
      <c r="F5041" s="630"/>
      <c r="G5041" s="630"/>
    </row>
    <row r="5042" spans="1:7" ht="18.75" x14ac:dyDescent="0.25">
      <c r="A5042" s="629" t="s">
        <v>3061</v>
      </c>
      <c r="B5042" s="630">
        <v>438</v>
      </c>
      <c r="C5042" s="631" t="str">
        <f t="shared" si="83"/>
        <v>Ô tô vận tải thùng 15 tấn438</v>
      </c>
      <c r="D5042" s="630"/>
      <c r="E5042" s="630"/>
      <c r="F5042" s="630"/>
      <c r="G5042" s="630"/>
    </row>
    <row r="5043" spans="1:7" ht="18.75" x14ac:dyDescent="0.25">
      <c r="A5043" s="629" t="s">
        <v>3061</v>
      </c>
      <c r="B5043" s="630">
        <v>439</v>
      </c>
      <c r="C5043" s="631" t="str">
        <f t="shared" si="83"/>
        <v>Ô tô vận tải thùng 15 tấn439</v>
      </c>
      <c r="D5043" s="630"/>
      <c r="E5043" s="630"/>
      <c r="F5043" s="630"/>
      <c r="G5043" s="630"/>
    </row>
    <row r="5044" spans="1:7" ht="18.75" x14ac:dyDescent="0.25">
      <c r="A5044" s="629" t="s">
        <v>3061</v>
      </c>
      <c r="B5044" s="630">
        <v>440</v>
      </c>
      <c r="C5044" s="631" t="str">
        <f t="shared" si="83"/>
        <v>Ô tô vận tải thùng 15 tấn440</v>
      </c>
      <c r="D5044" s="630"/>
      <c r="E5044" s="630"/>
      <c r="F5044" s="630"/>
      <c r="G5044" s="630"/>
    </row>
    <row r="5045" spans="1:7" ht="18.75" x14ac:dyDescent="0.25">
      <c r="A5045" s="629" t="s">
        <v>3061</v>
      </c>
      <c r="B5045" s="630">
        <v>441</v>
      </c>
      <c r="C5045" s="631" t="str">
        <f t="shared" si="83"/>
        <v>Ô tô vận tải thùng 15 tấn441</v>
      </c>
      <c r="D5045" s="630"/>
      <c r="E5045" s="630"/>
      <c r="F5045" s="630"/>
      <c r="G5045" s="630"/>
    </row>
    <row r="5046" spans="1:7" ht="18.75" x14ac:dyDescent="0.25">
      <c r="A5046" s="629" t="s">
        <v>3061</v>
      </c>
      <c r="B5046" s="630">
        <v>442</v>
      </c>
      <c r="C5046" s="631" t="str">
        <f t="shared" si="83"/>
        <v>Ô tô vận tải thùng 15 tấn442</v>
      </c>
      <c r="D5046" s="630"/>
      <c r="E5046" s="630"/>
      <c r="F5046" s="630"/>
      <c r="G5046" s="630"/>
    </row>
    <row r="5047" spans="1:7" ht="18.75" x14ac:dyDescent="0.25">
      <c r="A5047" s="629" t="s">
        <v>3061</v>
      </c>
      <c r="B5047" s="630">
        <v>443</v>
      </c>
      <c r="C5047" s="631" t="str">
        <f t="shared" si="83"/>
        <v>Ô tô vận tải thùng 15 tấn443</v>
      </c>
      <c r="D5047" s="630"/>
      <c r="E5047" s="630"/>
      <c r="F5047" s="630"/>
      <c r="G5047" s="630"/>
    </row>
    <row r="5048" spans="1:7" ht="18.75" x14ac:dyDescent="0.25">
      <c r="A5048" s="629" t="s">
        <v>3061</v>
      </c>
      <c r="B5048" s="630">
        <v>444</v>
      </c>
      <c r="C5048" s="631" t="str">
        <f t="shared" si="83"/>
        <v>Ô tô vận tải thùng 15 tấn444</v>
      </c>
      <c r="D5048" s="630"/>
      <c r="E5048" s="630"/>
      <c r="F5048" s="630"/>
      <c r="G5048" s="630"/>
    </row>
    <row r="5049" spans="1:7" ht="18.75" x14ac:dyDescent="0.25">
      <c r="A5049" s="629" t="s">
        <v>3061</v>
      </c>
      <c r="B5049" s="630">
        <v>445</v>
      </c>
      <c r="C5049" s="631" t="str">
        <f t="shared" si="83"/>
        <v>Ô tô vận tải thùng 15 tấn445</v>
      </c>
      <c r="D5049" s="630"/>
      <c r="E5049" s="630"/>
      <c r="F5049" s="630"/>
      <c r="G5049" s="630"/>
    </row>
    <row r="5050" spans="1:7" ht="18.75" x14ac:dyDescent="0.25">
      <c r="A5050" s="629" t="s">
        <v>3061</v>
      </c>
      <c r="B5050" s="630">
        <v>446</v>
      </c>
      <c r="C5050" s="631" t="str">
        <f t="shared" si="83"/>
        <v>Ô tô vận tải thùng 15 tấn446</v>
      </c>
      <c r="D5050" s="630"/>
      <c r="E5050" s="630"/>
      <c r="F5050" s="630"/>
      <c r="G5050" s="630"/>
    </row>
    <row r="5051" spans="1:7" ht="18.75" x14ac:dyDescent="0.25">
      <c r="A5051" s="629" t="s">
        <v>3061</v>
      </c>
      <c r="B5051" s="630">
        <v>447</v>
      </c>
      <c r="C5051" s="631" t="str">
        <f t="shared" si="83"/>
        <v>Ô tô vận tải thùng 15 tấn447</v>
      </c>
      <c r="D5051" s="630"/>
      <c r="E5051" s="630"/>
      <c r="F5051" s="630"/>
      <c r="G5051" s="630"/>
    </row>
    <row r="5052" spans="1:7" ht="18.75" x14ac:dyDescent="0.25">
      <c r="A5052" s="629" t="s">
        <v>3061</v>
      </c>
      <c r="B5052" s="630">
        <v>448</v>
      </c>
      <c r="C5052" s="631" t="str">
        <f t="shared" si="83"/>
        <v>Ô tô vận tải thùng 15 tấn448</v>
      </c>
      <c r="D5052" s="630"/>
      <c r="E5052" s="630"/>
      <c r="F5052" s="630"/>
      <c r="G5052" s="630"/>
    </row>
    <row r="5053" spans="1:7" ht="18.75" x14ac:dyDescent="0.25">
      <c r="A5053" s="629" t="s">
        <v>3061</v>
      </c>
      <c r="B5053" s="630">
        <v>449</v>
      </c>
      <c r="C5053" s="631" t="str">
        <f t="shared" si="83"/>
        <v>Ô tô vận tải thùng 15 tấn449</v>
      </c>
      <c r="D5053" s="630"/>
      <c r="E5053" s="630"/>
      <c r="F5053" s="630"/>
      <c r="G5053" s="630"/>
    </row>
    <row r="5054" spans="1:7" ht="18.75" x14ac:dyDescent="0.25">
      <c r="A5054" s="629" t="s">
        <v>3061</v>
      </c>
      <c r="B5054" s="630">
        <v>450</v>
      </c>
      <c r="C5054" s="631" t="str">
        <f t="shared" ref="C5054:C5104" si="84">A5054&amp;B5054</f>
        <v>Ô tô vận tải thùng 15 tấn450</v>
      </c>
      <c r="D5054" s="630"/>
      <c r="E5054" s="630"/>
      <c r="F5054" s="630"/>
      <c r="G5054" s="630"/>
    </row>
    <row r="5055" spans="1:7" ht="18.75" x14ac:dyDescent="0.25">
      <c r="A5055" s="629" t="s">
        <v>3061</v>
      </c>
      <c r="B5055" s="630">
        <v>451</v>
      </c>
      <c r="C5055" s="631" t="str">
        <f t="shared" si="84"/>
        <v>Ô tô vận tải thùng 15 tấn451</v>
      </c>
      <c r="D5055" s="630"/>
      <c r="E5055" s="630"/>
      <c r="F5055" s="630"/>
      <c r="G5055" s="630"/>
    </row>
    <row r="5056" spans="1:7" ht="18.75" x14ac:dyDescent="0.25">
      <c r="A5056" s="629" t="s">
        <v>3061</v>
      </c>
      <c r="B5056" s="630">
        <v>452</v>
      </c>
      <c r="C5056" s="631" t="str">
        <f t="shared" si="84"/>
        <v>Ô tô vận tải thùng 15 tấn452</v>
      </c>
      <c r="D5056" s="630"/>
      <c r="E5056" s="630"/>
      <c r="F5056" s="630"/>
      <c r="G5056" s="630"/>
    </row>
    <row r="5057" spans="1:7" ht="18.75" x14ac:dyDescent="0.25">
      <c r="A5057" s="629" t="s">
        <v>3061</v>
      </c>
      <c r="B5057" s="630">
        <v>453</v>
      </c>
      <c r="C5057" s="631" t="str">
        <f t="shared" si="84"/>
        <v>Ô tô vận tải thùng 15 tấn453</v>
      </c>
      <c r="D5057" s="630"/>
      <c r="E5057" s="630"/>
      <c r="F5057" s="630"/>
      <c r="G5057" s="630"/>
    </row>
    <row r="5058" spans="1:7" ht="18.75" x14ac:dyDescent="0.25">
      <c r="A5058" s="629" t="s">
        <v>3061</v>
      </c>
      <c r="B5058" s="630">
        <v>454</v>
      </c>
      <c r="C5058" s="631" t="str">
        <f t="shared" si="84"/>
        <v>Ô tô vận tải thùng 15 tấn454</v>
      </c>
      <c r="D5058" s="630"/>
      <c r="E5058" s="630"/>
      <c r="F5058" s="630"/>
      <c r="G5058" s="630"/>
    </row>
    <row r="5059" spans="1:7" ht="18.75" x14ac:dyDescent="0.25">
      <c r="A5059" s="629" t="s">
        <v>3061</v>
      </c>
      <c r="B5059" s="630">
        <v>455</v>
      </c>
      <c r="C5059" s="631" t="str">
        <f t="shared" si="84"/>
        <v>Ô tô vận tải thùng 15 tấn455</v>
      </c>
      <c r="D5059" s="630"/>
      <c r="E5059" s="630"/>
      <c r="F5059" s="630"/>
      <c r="G5059" s="630"/>
    </row>
    <row r="5060" spans="1:7" ht="18.75" x14ac:dyDescent="0.25">
      <c r="A5060" s="629" t="s">
        <v>3061</v>
      </c>
      <c r="B5060" s="630">
        <v>456</v>
      </c>
      <c r="C5060" s="631" t="str">
        <f t="shared" si="84"/>
        <v>Ô tô vận tải thùng 15 tấn456</v>
      </c>
      <c r="D5060" s="630"/>
      <c r="E5060" s="630"/>
      <c r="F5060" s="630"/>
      <c r="G5060" s="630"/>
    </row>
    <row r="5061" spans="1:7" ht="18.75" x14ac:dyDescent="0.25">
      <c r="A5061" s="629" t="s">
        <v>3061</v>
      </c>
      <c r="B5061" s="630">
        <v>457</v>
      </c>
      <c r="C5061" s="631" t="str">
        <f t="shared" si="84"/>
        <v>Ô tô vận tải thùng 15 tấn457</v>
      </c>
      <c r="D5061" s="630"/>
      <c r="E5061" s="630"/>
      <c r="F5061" s="630"/>
      <c r="G5061" s="630"/>
    </row>
    <row r="5062" spans="1:7" ht="18.75" x14ac:dyDescent="0.25">
      <c r="A5062" s="629" t="s">
        <v>3061</v>
      </c>
      <c r="B5062" s="630">
        <v>458</v>
      </c>
      <c r="C5062" s="631" t="str">
        <f t="shared" si="84"/>
        <v>Ô tô vận tải thùng 15 tấn458</v>
      </c>
      <c r="D5062" s="630"/>
      <c r="E5062" s="630"/>
      <c r="F5062" s="630"/>
      <c r="G5062" s="630"/>
    </row>
    <row r="5063" spans="1:7" ht="18.75" x14ac:dyDescent="0.25">
      <c r="A5063" s="629" t="s">
        <v>3061</v>
      </c>
      <c r="B5063" s="630">
        <v>459</v>
      </c>
      <c r="C5063" s="631" t="str">
        <f t="shared" si="84"/>
        <v>Ô tô vận tải thùng 15 tấn459</v>
      </c>
      <c r="D5063" s="630"/>
      <c r="E5063" s="630"/>
      <c r="F5063" s="630"/>
      <c r="G5063" s="630"/>
    </row>
    <row r="5064" spans="1:7" ht="18.75" x14ac:dyDescent="0.25">
      <c r="A5064" s="629" t="s">
        <v>3061</v>
      </c>
      <c r="B5064" s="630">
        <v>460</v>
      </c>
      <c r="C5064" s="631" t="str">
        <f t="shared" si="84"/>
        <v>Ô tô vận tải thùng 15 tấn460</v>
      </c>
      <c r="D5064" s="630"/>
      <c r="E5064" s="630"/>
      <c r="F5064" s="630"/>
      <c r="G5064" s="630"/>
    </row>
    <row r="5065" spans="1:7" ht="18.75" x14ac:dyDescent="0.25">
      <c r="A5065" s="629" t="s">
        <v>3061</v>
      </c>
      <c r="B5065" s="630">
        <v>461</v>
      </c>
      <c r="C5065" s="631" t="str">
        <f t="shared" si="84"/>
        <v>Ô tô vận tải thùng 15 tấn461</v>
      </c>
      <c r="D5065" s="630"/>
      <c r="E5065" s="630"/>
      <c r="F5065" s="630"/>
      <c r="G5065" s="630"/>
    </row>
    <row r="5066" spans="1:7" ht="18.75" x14ac:dyDescent="0.25">
      <c r="A5066" s="629" t="s">
        <v>3061</v>
      </c>
      <c r="B5066" s="630">
        <v>462</v>
      </c>
      <c r="C5066" s="631" t="str">
        <f t="shared" si="84"/>
        <v>Ô tô vận tải thùng 15 tấn462</v>
      </c>
      <c r="D5066" s="630"/>
      <c r="E5066" s="630"/>
      <c r="F5066" s="630"/>
      <c r="G5066" s="630"/>
    </row>
    <row r="5067" spans="1:7" ht="18.75" x14ac:dyDescent="0.25">
      <c r="A5067" s="629" t="s">
        <v>3061</v>
      </c>
      <c r="B5067" s="630">
        <v>463</v>
      </c>
      <c r="C5067" s="631" t="str">
        <f t="shared" si="84"/>
        <v>Ô tô vận tải thùng 15 tấn463</v>
      </c>
      <c r="D5067" s="630"/>
      <c r="E5067" s="630"/>
      <c r="F5067" s="630"/>
      <c r="G5067" s="630"/>
    </row>
    <row r="5068" spans="1:7" ht="18.75" x14ac:dyDescent="0.25">
      <c r="A5068" s="629" t="s">
        <v>3061</v>
      </c>
      <c r="B5068" s="630">
        <v>464</v>
      </c>
      <c r="C5068" s="631" t="str">
        <f t="shared" si="84"/>
        <v>Ô tô vận tải thùng 15 tấn464</v>
      </c>
      <c r="D5068" s="630"/>
      <c r="E5068" s="630"/>
      <c r="F5068" s="630"/>
      <c r="G5068" s="630"/>
    </row>
    <row r="5069" spans="1:7" ht="18.75" x14ac:dyDescent="0.25">
      <c r="A5069" s="629" t="s">
        <v>3061</v>
      </c>
      <c r="B5069" s="630">
        <v>465</v>
      </c>
      <c r="C5069" s="631" t="str">
        <f t="shared" si="84"/>
        <v>Ô tô vận tải thùng 15 tấn465</v>
      </c>
      <c r="D5069" s="630"/>
      <c r="E5069" s="630"/>
      <c r="F5069" s="630"/>
      <c r="G5069" s="630"/>
    </row>
    <row r="5070" spans="1:7" ht="18.75" x14ac:dyDescent="0.25">
      <c r="A5070" s="629" t="s">
        <v>3061</v>
      </c>
      <c r="B5070" s="630">
        <v>466</v>
      </c>
      <c r="C5070" s="631" t="str">
        <f t="shared" si="84"/>
        <v>Ô tô vận tải thùng 15 tấn466</v>
      </c>
      <c r="D5070" s="630"/>
      <c r="E5070" s="630"/>
      <c r="F5070" s="630"/>
      <c r="G5070" s="630"/>
    </row>
    <row r="5071" spans="1:7" ht="18.75" x14ac:dyDescent="0.25">
      <c r="A5071" s="629" t="s">
        <v>3061</v>
      </c>
      <c r="B5071" s="630">
        <v>467</v>
      </c>
      <c r="C5071" s="631" t="str">
        <f t="shared" si="84"/>
        <v>Ô tô vận tải thùng 15 tấn467</v>
      </c>
      <c r="D5071" s="630"/>
      <c r="E5071" s="630"/>
      <c r="F5071" s="630"/>
      <c r="G5071" s="630"/>
    </row>
    <row r="5072" spans="1:7" ht="18.75" x14ac:dyDescent="0.25">
      <c r="A5072" s="629" t="s">
        <v>3061</v>
      </c>
      <c r="B5072" s="630">
        <v>468</v>
      </c>
      <c r="C5072" s="631" t="str">
        <f t="shared" si="84"/>
        <v>Ô tô vận tải thùng 15 tấn468</v>
      </c>
      <c r="D5072" s="630"/>
      <c r="E5072" s="630"/>
      <c r="F5072" s="630"/>
      <c r="G5072" s="630"/>
    </row>
    <row r="5073" spans="1:7" ht="18.75" x14ac:dyDescent="0.25">
      <c r="A5073" s="629" t="s">
        <v>3061</v>
      </c>
      <c r="B5073" s="630">
        <v>469</v>
      </c>
      <c r="C5073" s="631" t="str">
        <f t="shared" si="84"/>
        <v>Ô tô vận tải thùng 15 tấn469</v>
      </c>
      <c r="D5073" s="630"/>
      <c r="E5073" s="630"/>
      <c r="F5073" s="630"/>
      <c r="G5073" s="630"/>
    </row>
    <row r="5074" spans="1:7" ht="18.75" x14ac:dyDescent="0.25">
      <c r="A5074" s="629" t="s">
        <v>3061</v>
      </c>
      <c r="B5074" s="630">
        <v>470</v>
      </c>
      <c r="C5074" s="631" t="str">
        <f t="shared" si="84"/>
        <v>Ô tô vận tải thùng 15 tấn470</v>
      </c>
      <c r="D5074" s="630"/>
      <c r="E5074" s="630"/>
      <c r="F5074" s="630"/>
      <c r="G5074" s="630"/>
    </row>
    <row r="5075" spans="1:7" ht="18.75" x14ac:dyDescent="0.25">
      <c r="A5075" s="629" t="s">
        <v>3061</v>
      </c>
      <c r="B5075" s="630">
        <v>471</v>
      </c>
      <c r="C5075" s="631" t="str">
        <f t="shared" si="84"/>
        <v>Ô tô vận tải thùng 15 tấn471</v>
      </c>
      <c r="D5075" s="630"/>
      <c r="E5075" s="630"/>
      <c r="F5075" s="630"/>
      <c r="G5075" s="630"/>
    </row>
    <row r="5076" spans="1:7" ht="18.75" x14ac:dyDescent="0.25">
      <c r="A5076" s="629" t="s">
        <v>3061</v>
      </c>
      <c r="B5076" s="630">
        <v>472</v>
      </c>
      <c r="C5076" s="631" t="str">
        <f t="shared" si="84"/>
        <v>Ô tô vận tải thùng 15 tấn472</v>
      </c>
      <c r="D5076" s="630"/>
      <c r="E5076" s="630"/>
      <c r="F5076" s="630"/>
      <c r="G5076" s="630"/>
    </row>
    <row r="5077" spans="1:7" ht="18.75" x14ac:dyDescent="0.25">
      <c r="A5077" s="629" t="s">
        <v>3061</v>
      </c>
      <c r="B5077" s="630">
        <v>473</v>
      </c>
      <c r="C5077" s="631" t="str">
        <f t="shared" si="84"/>
        <v>Ô tô vận tải thùng 15 tấn473</v>
      </c>
      <c r="D5077" s="630"/>
      <c r="E5077" s="630"/>
      <c r="F5077" s="630"/>
      <c r="G5077" s="630"/>
    </row>
    <row r="5078" spans="1:7" ht="18.75" x14ac:dyDescent="0.25">
      <c r="A5078" s="629" t="s">
        <v>3061</v>
      </c>
      <c r="B5078" s="630">
        <v>474</v>
      </c>
      <c r="C5078" s="631" t="str">
        <f t="shared" si="84"/>
        <v>Ô tô vận tải thùng 15 tấn474</v>
      </c>
      <c r="D5078" s="630"/>
      <c r="E5078" s="630"/>
      <c r="F5078" s="630"/>
      <c r="G5078" s="630"/>
    </row>
    <row r="5079" spans="1:7" ht="18.75" x14ac:dyDescent="0.25">
      <c r="A5079" s="629" t="s">
        <v>3061</v>
      </c>
      <c r="B5079" s="630">
        <v>475</v>
      </c>
      <c r="C5079" s="631" t="str">
        <f t="shared" si="84"/>
        <v>Ô tô vận tải thùng 15 tấn475</v>
      </c>
      <c r="D5079" s="630"/>
      <c r="E5079" s="630"/>
      <c r="F5079" s="630"/>
      <c r="G5079" s="630"/>
    </row>
    <row r="5080" spans="1:7" ht="18.75" x14ac:dyDescent="0.25">
      <c r="A5080" s="629" t="s">
        <v>3061</v>
      </c>
      <c r="B5080" s="630">
        <v>476</v>
      </c>
      <c r="C5080" s="631" t="str">
        <f t="shared" si="84"/>
        <v>Ô tô vận tải thùng 15 tấn476</v>
      </c>
      <c r="D5080" s="630"/>
      <c r="E5080" s="630"/>
      <c r="F5080" s="630"/>
      <c r="G5080" s="630"/>
    </row>
    <row r="5081" spans="1:7" ht="18.75" x14ac:dyDescent="0.25">
      <c r="A5081" s="629" t="s">
        <v>3061</v>
      </c>
      <c r="B5081" s="630">
        <v>477</v>
      </c>
      <c r="C5081" s="631" t="str">
        <f t="shared" si="84"/>
        <v>Ô tô vận tải thùng 15 tấn477</v>
      </c>
      <c r="D5081" s="630"/>
      <c r="E5081" s="630"/>
      <c r="F5081" s="630"/>
      <c r="G5081" s="630"/>
    </row>
    <row r="5082" spans="1:7" ht="18.75" x14ac:dyDescent="0.25">
      <c r="A5082" s="629" t="s">
        <v>3061</v>
      </c>
      <c r="B5082" s="630">
        <v>478</v>
      </c>
      <c r="C5082" s="631" t="str">
        <f t="shared" si="84"/>
        <v>Ô tô vận tải thùng 15 tấn478</v>
      </c>
      <c r="D5082" s="630"/>
      <c r="E5082" s="630"/>
      <c r="F5082" s="630"/>
      <c r="G5082" s="630"/>
    </row>
    <row r="5083" spans="1:7" ht="18.75" x14ac:dyDescent="0.25">
      <c r="A5083" s="629" t="s">
        <v>3061</v>
      </c>
      <c r="B5083" s="630">
        <v>479</v>
      </c>
      <c r="C5083" s="631" t="str">
        <f t="shared" si="84"/>
        <v>Ô tô vận tải thùng 15 tấn479</v>
      </c>
      <c r="D5083" s="630"/>
      <c r="E5083" s="630"/>
      <c r="F5083" s="630"/>
      <c r="G5083" s="630"/>
    </row>
    <row r="5084" spans="1:7" ht="18.75" x14ac:dyDescent="0.25">
      <c r="A5084" s="629" t="s">
        <v>3061</v>
      </c>
      <c r="B5084" s="630">
        <v>480</v>
      </c>
      <c r="C5084" s="631" t="str">
        <f t="shared" si="84"/>
        <v>Ô tô vận tải thùng 15 tấn480</v>
      </c>
      <c r="D5084" s="630"/>
      <c r="E5084" s="630"/>
      <c r="F5084" s="630"/>
      <c r="G5084" s="630"/>
    </row>
    <row r="5085" spans="1:7" ht="18.75" x14ac:dyDescent="0.25">
      <c r="A5085" s="629" t="s">
        <v>3061</v>
      </c>
      <c r="B5085" s="630">
        <v>481</v>
      </c>
      <c r="C5085" s="631" t="str">
        <f t="shared" si="84"/>
        <v>Ô tô vận tải thùng 15 tấn481</v>
      </c>
      <c r="D5085" s="630"/>
      <c r="E5085" s="630"/>
      <c r="F5085" s="630"/>
      <c r="G5085" s="630"/>
    </row>
    <row r="5086" spans="1:7" ht="18.75" x14ac:dyDescent="0.25">
      <c r="A5086" s="629" t="s">
        <v>3061</v>
      </c>
      <c r="B5086" s="630">
        <v>482</v>
      </c>
      <c r="C5086" s="631" t="str">
        <f t="shared" si="84"/>
        <v>Ô tô vận tải thùng 15 tấn482</v>
      </c>
      <c r="D5086" s="630"/>
      <c r="E5086" s="630"/>
      <c r="F5086" s="630"/>
      <c r="G5086" s="630"/>
    </row>
    <row r="5087" spans="1:7" ht="18.75" x14ac:dyDescent="0.25">
      <c r="A5087" s="629" t="s">
        <v>3061</v>
      </c>
      <c r="B5087" s="630">
        <v>483</v>
      </c>
      <c r="C5087" s="631" t="str">
        <f t="shared" si="84"/>
        <v>Ô tô vận tải thùng 15 tấn483</v>
      </c>
      <c r="D5087" s="630"/>
      <c r="E5087" s="630"/>
      <c r="F5087" s="630"/>
      <c r="G5087" s="630"/>
    </row>
    <row r="5088" spans="1:7" ht="18.75" x14ac:dyDescent="0.25">
      <c r="A5088" s="629" t="s">
        <v>3061</v>
      </c>
      <c r="B5088" s="630">
        <v>484</v>
      </c>
      <c r="C5088" s="631" t="str">
        <f t="shared" si="84"/>
        <v>Ô tô vận tải thùng 15 tấn484</v>
      </c>
      <c r="D5088" s="630"/>
      <c r="E5088" s="630"/>
      <c r="F5088" s="630"/>
      <c r="G5088" s="630"/>
    </row>
    <row r="5089" spans="1:7" ht="18.75" x14ac:dyDescent="0.25">
      <c r="A5089" s="629" t="s">
        <v>3061</v>
      </c>
      <c r="B5089" s="630">
        <v>485</v>
      </c>
      <c r="C5089" s="631" t="str">
        <f t="shared" si="84"/>
        <v>Ô tô vận tải thùng 15 tấn485</v>
      </c>
      <c r="D5089" s="630"/>
      <c r="E5089" s="630"/>
      <c r="F5089" s="630"/>
      <c r="G5089" s="630"/>
    </row>
    <row r="5090" spans="1:7" ht="18.75" x14ac:dyDescent="0.25">
      <c r="A5090" s="629" t="s">
        <v>3061</v>
      </c>
      <c r="B5090" s="630">
        <v>486</v>
      </c>
      <c r="C5090" s="631" t="str">
        <f t="shared" si="84"/>
        <v>Ô tô vận tải thùng 15 tấn486</v>
      </c>
      <c r="D5090" s="630"/>
      <c r="E5090" s="630"/>
      <c r="F5090" s="630"/>
      <c r="G5090" s="630"/>
    </row>
    <row r="5091" spans="1:7" ht="18.75" x14ac:dyDescent="0.25">
      <c r="A5091" s="629" t="s">
        <v>3061</v>
      </c>
      <c r="B5091" s="630">
        <v>487</v>
      </c>
      <c r="C5091" s="631" t="str">
        <f t="shared" si="84"/>
        <v>Ô tô vận tải thùng 15 tấn487</v>
      </c>
      <c r="D5091" s="630"/>
      <c r="E5091" s="630"/>
      <c r="F5091" s="630"/>
      <c r="G5091" s="630"/>
    </row>
    <row r="5092" spans="1:7" ht="18.75" x14ac:dyDescent="0.25">
      <c r="A5092" s="629" t="s">
        <v>3061</v>
      </c>
      <c r="B5092" s="630">
        <v>488</v>
      </c>
      <c r="C5092" s="631" t="str">
        <f t="shared" si="84"/>
        <v>Ô tô vận tải thùng 15 tấn488</v>
      </c>
      <c r="D5092" s="630"/>
      <c r="E5092" s="630"/>
      <c r="F5092" s="630"/>
      <c r="G5092" s="630"/>
    </row>
    <row r="5093" spans="1:7" ht="18.75" x14ac:dyDescent="0.25">
      <c r="A5093" s="629" t="s">
        <v>3061</v>
      </c>
      <c r="B5093" s="630">
        <v>489</v>
      </c>
      <c r="C5093" s="631" t="str">
        <f t="shared" si="84"/>
        <v>Ô tô vận tải thùng 15 tấn489</v>
      </c>
      <c r="D5093" s="630"/>
      <c r="E5093" s="630"/>
      <c r="F5093" s="630"/>
      <c r="G5093" s="630"/>
    </row>
    <row r="5094" spans="1:7" ht="18.75" x14ac:dyDescent="0.25">
      <c r="A5094" s="629" t="s">
        <v>3061</v>
      </c>
      <c r="B5094" s="630">
        <v>490</v>
      </c>
      <c r="C5094" s="631" t="str">
        <f t="shared" si="84"/>
        <v>Ô tô vận tải thùng 15 tấn490</v>
      </c>
      <c r="D5094" s="630"/>
      <c r="E5094" s="630"/>
      <c r="F5094" s="630"/>
      <c r="G5094" s="630"/>
    </row>
    <row r="5095" spans="1:7" ht="18.75" x14ac:dyDescent="0.25">
      <c r="A5095" s="629" t="s">
        <v>3061</v>
      </c>
      <c r="B5095" s="630">
        <v>491</v>
      </c>
      <c r="C5095" s="631" t="str">
        <f t="shared" si="84"/>
        <v>Ô tô vận tải thùng 15 tấn491</v>
      </c>
      <c r="D5095" s="630"/>
      <c r="E5095" s="630"/>
      <c r="F5095" s="630"/>
      <c r="G5095" s="630"/>
    </row>
    <row r="5096" spans="1:7" ht="18.75" x14ac:dyDescent="0.25">
      <c r="A5096" s="629" t="s">
        <v>3061</v>
      </c>
      <c r="B5096" s="630">
        <v>492</v>
      </c>
      <c r="C5096" s="631" t="str">
        <f t="shared" si="84"/>
        <v>Ô tô vận tải thùng 15 tấn492</v>
      </c>
      <c r="D5096" s="630"/>
      <c r="E5096" s="630"/>
      <c r="F5096" s="630"/>
      <c r="G5096" s="630"/>
    </row>
    <row r="5097" spans="1:7" ht="18.75" x14ac:dyDescent="0.25">
      <c r="A5097" s="629" t="s">
        <v>3061</v>
      </c>
      <c r="B5097" s="630">
        <v>493</v>
      </c>
      <c r="C5097" s="631" t="str">
        <f t="shared" si="84"/>
        <v>Ô tô vận tải thùng 15 tấn493</v>
      </c>
      <c r="D5097" s="630"/>
      <c r="E5097" s="630"/>
      <c r="F5097" s="630"/>
      <c r="G5097" s="630"/>
    </row>
    <row r="5098" spans="1:7" ht="18.75" x14ac:dyDescent="0.25">
      <c r="A5098" s="629" t="s">
        <v>3061</v>
      </c>
      <c r="B5098" s="630">
        <v>494</v>
      </c>
      <c r="C5098" s="631" t="str">
        <f t="shared" si="84"/>
        <v>Ô tô vận tải thùng 15 tấn494</v>
      </c>
      <c r="D5098" s="630"/>
      <c r="E5098" s="630"/>
      <c r="F5098" s="630"/>
      <c r="G5098" s="630"/>
    </row>
    <row r="5099" spans="1:7" ht="18.75" x14ac:dyDescent="0.25">
      <c r="A5099" s="629" t="s">
        <v>3061</v>
      </c>
      <c r="B5099" s="630">
        <v>495</v>
      </c>
      <c r="C5099" s="631" t="str">
        <f t="shared" si="84"/>
        <v>Ô tô vận tải thùng 15 tấn495</v>
      </c>
      <c r="D5099" s="630"/>
      <c r="E5099" s="630"/>
      <c r="F5099" s="630"/>
      <c r="G5099" s="630"/>
    </row>
    <row r="5100" spans="1:7" ht="18.75" x14ac:dyDescent="0.25">
      <c r="A5100" s="629" t="s">
        <v>3061</v>
      </c>
      <c r="B5100" s="630">
        <v>496</v>
      </c>
      <c r="C5100" s="631" t="str">
        <f t="shared" si="84"/>
        <v>Ô tô vận tải thùng 15 tấn496</v>
      </c>
      <c r="D5100" s="630"/>
      <c r="E5100" s="630"/>
      <c r="F5100" s="630"/>
      <c r="G5100" s="630"/>
    </row>
    <row r="5101" spans="1:7" ht="18.75" x14ac:dyDescent="0.25">
      <c r="A5101" s="629" t="s">
        <v>3061</v>
      </c>
      <c r="B5101" s="630">
        <v>497</v>
      </c>
      <c r="C5101" s="631" t="str">
        <f t="shared" si="84"/>
        <v>Ô tô vận tải thùng 15 tấn497</v>
      </c>
      <c r="D5101" s="630"/>
      <c r="E5101" s="630"/>
      <c r="F5101" s="630"/>
      <c r="G5101" s="630"/>
    </row>
    <row r="5102" spans="1:7" ht="18.75" x14ac:dyDescent="0.25">
      <c r="A5102" s="629" t="s">
        <v>3061</v>
      </c>
      <c r="B5102" s="630">
        <v>498</v>
      </c>
      <c r="C5102" s="631" t="str">
        <f t="shared" si="84"/>
        <v>Ô tô vận tải thùng 15 tấn498</v>
      </c>
      <c r="D5102" s="630"/>
      <c r="E5102" s="630"/>
      <c r="F5102" s="630"/>
      <c r="G5102" s="630"/>
    </row>
    <row r="5103" spans="1:7" ht="18.75" x14ac:dyDescent="0.25">
      <c r="A5103" s="629" t="s">
        <v>3061</v>
      </c>
      <c r="B5103" s="630">
        <v>499</v>
      </c>
      <c r="C5103" s="631" t="str">
        <f t="shared" si="84"/>
        <v>Ô tô vận tải thùng 15 tấn499</v>
      </c>
      <c r="D5103" s="630"/>
      <c r="E5103" s="630"/>
      <c r="F5103" s="630"/>
      <c r="G5103" s="630"/>
    </row>
    <row r="5104" spans="1:7" ht="18.75" x14ac:dyDescent="0.25">
      <c r="A5104" s="629" t="s">
        <v>3061</v>
      </c>
      <c r="B5104" s="630">
        <v>500</v>
      </c>
      <c r="C5104" s="631" t="str">
        <f t="shared" si="84"/>
        <v>Ô tô vận tải thùng 15 tấn500</v>
      </c>
      <c r="D5104" s="630"/>
      <c r="E5104" s="630"/>
      <c r="F5104" s="630"/>
      <c r="G5104" s="630"/>
    </row>
    <row r="5105" spans="1:7" ht="18.75" x14ac:dyDescent="0.25">
      <c r="A5105" s="629" t="s">
        <v>3059</v>
      </c>
      <c r="B5105" s="630">
        <v>1</v>
      </c>
      <c r="C5105" s="631" t="str">
        <f>A5105&amp;B5105</f>
        <v>Ô tô vận tải thùng 20 tấn1</v>
      </c>
      <c r="D5105" s="633"/>
      <c r="E5105" s="633"/>
      <c r="F5105" s="633">
        <v>0.21</v>
      </c>
      <c r="G5105" s="633">
        <v>0.2</v>
      </c>
    </row>
    <row r="5106" spans="1:7" ht="18.75" x14ac:dyDescent="0.25">
      <c r="A5106" s="629" t="s">
        <v>3059</v>
      </c>
      <c r="B5106" s="630">
        <v>2</v>
      </c>
      <c r="C5106" s="631" t="str">
        <f t="shared" ref="C5106:C5169" si="85">A5106&amp;B5106</f>
        <v>Ô tô vận tải thùng 20 tấn2</v>
      </c>
      <c r="D5106" s="633"/>
      <c r="E5106" s="633"/>
      <c r="F5106" s="633">
        <v>0.1</v>
      </c>
      <c r="G5106" s="633">
        <v>0.09</v>
      </c>
    </row>
    <row r="5107" spans="1:7" ht="18.75" x14ac:dyDescent="0.25">
      <c r="A5107" s="629" t="s">
        <v>3059</v>
      </c>
      <c r="B5107" s="630">
        <v>3</v>
      </c>
      <c r="C5107" s="631" t="str">
        <f t="shared" si="85"/>
        <v>Ô tô vận tải thùng 20 tấn3</v>
      </c>
      <c r="D5107" s="633"/>
      <c r="E5107" s="633"/>
      <c r="F5107" s="633">
        <v>0.1</v>
      </c>
      <c r="G5107" s="633">
        <v>0.09</v>
      </c>
    </row>
    <row r="5108" spans="1:7" ht="18.75" x14ac:dyDescent="0.25">
      <c r="A5108" s="629" t="s">
        <v>3059</v>
      </c>
      <c r="B5108" s="630">
        <v>4</v>
      </c>
      <c r="C5108" s="631" t="str">
        <f t="shared" si="85"/>
        <v>Ô tô vận tải thùng 20 tấn4</v>
      </c>
      <c r="D5108" s="633"/>
      <c r="E5108" s="633"/>
      <c r="F5108" s="633">
        <v>0.1</v>
      </c>
      <c r="G5108" s="633">
        <v>0.09</v>
      </c>
    </row>
    <row r="5109" spans="1:7" ht="18.75" x14ac:dyDescent="0.25">
      <c r="A5109" s="629" t="s">
        <v>3059</v>
      </c>
      <c r="B5109" s="630">
        <v>5</v>
      </c>
      <c r="C5109" s="631" t="str">
        <f t="shared" si="85"/>
        <v>Ô tô vận tải thùng 20 tấn5</v>
      </c>
      <c r="D5109" s="633"/>
      <c r="E5109" s="633"/>
      <c r="F5109" s="633">
        <v>0.1</v>
      </c>
      <c r="G5109" s="633">
        <v>0.09</v>
      </c>
    </row>
    <row r="5110" spans="1:7" ht="18.75" x14ac:dyDescent="0.25">
      <c r="A5110" s="629" t="s">
        <v>3059</v>
      </c>
      <c r="B5110" s="630">
        <v>6</v>
      </c>
      <c r="C5110" s="631" t="str">
        <f t="shared" si="85"/>
        <v>Ô tô vận tải thùng 20 tấn6</v>
      </c>
      <c r="D5110" s="633"/>
      <c r="E5110" s="633"/>
      <c r="F5110" s="633">
        <v>0.08</v>
      </c>
      <c r="G5110" s="633">
        <v>7.0000000000000007E-2</v>
      </c>
    </row>
    <row r="5111" spans="1:7" ht="18.75" x14ac:dyDescent="0.25">
      <c r="A5111" s="629" t="s">
        <v>3059</v>
      </c>
      <c r="B5111" s="630">
        <v>7</v>
      </c>
      <c r="C5111" s="631" t="str">
        <f t="shared" si="85"/>
        <v>Ô tô vận tải thùng 20 tấn7</v>
      </c>
      <c r="D5111" s="633"/>
      <c r="E5111" s="633"/>
      <c r="F5111" s="633">
        <v>0.08</v>
      </c>
      <c r="G5111" s="633">
        <v>7.0000000000000007E-2</v>
      </c>
    </row>
    <row r="5112" spans="1:7" ht="18.75" x14ac:dyDescent="0.25">
      <c r="A5112" s="629" t="s">
        <v>3059</v>
      </c>
      <c r="B5112" s="630">
        <v>8</v>
      </c>
      <c r="C5112" s="631" t="str">
        <f t="shared" si="85"/>
        <v>Ô tô vận tải thùng 20 tấn8</v>
      </c>
      <c r="D5112" s="633"/>
      <c r="E5112" s="633"/>
      <c r="F5112" s="633">
        <v>0.08</v>
      </c>
      <c r="G5112" s="633">
        <v>7.0000000000000007E-2</v>
      </c>
    </row>
    <row r="5113" spans="1:7" ht="18.75" x14ac:dyDescent="0.25">
      <c r="A5113" s="629" t="s">
        <v>3059</v>
      </c>
      <c r="B5113" s="630">
        <v>9</v>
      </c>
      <c r="C5113" s="631" t="str">
        <f t="shared" si="85"/>
        <v>Ô tô vận tải thùng 20 tấn9</v>
      </c>
      <c r="D5113" s="633"/>
      <c r="E5113" s="633"/>
      <c r="F5113" s="633">
        <v>0.08</v>
      </c>
      <c r="G5113" s="633">
        <v>7.0000000000000007E-2</v>
      </c>
    </row>
    <row r="5114" spans="1:7" ht="18.75" x14ac:dyDescent="0.25">
      <c r="A5114" s="629" t="s">
        <v>3059</v>
      </c>
      <c r="B5114" s="630">
        <v>10</v>
      </c>
      <c r="C5114" s="631" t="str">
        <f t="shared" si="85"/>
        <v>Ô tô vận tải thùng 20 tấn10</v>
      </c>
      <c r="D5114" s="633"/>
      <c r="E5114" s="633"/>
      <c r="F5114" s="633">
        <v>0.08</v>
      </c>
      <c r="G5114" s="633">
        <v>7.0000000000000007E-2</v>
      </c>
    </row>
    <row r="5115" spans="1:7" ht="18.75" x14ac:dyDescent="0.25">
      <c r="A5115" s="629" t="s">
        <v>3059</v>
      </c>
      <c r="B5115" s="630">
        <v>11</v>
      </c>
      <c r="C5115" s="631" t="str">
        <f t="shared" si="85"/>
        <v>Ô tô vận tải thùng 20 tấn11</v>
      </c>
      <c r="D5115" s="633"/>
      <c r="E5115" s="633"/>
      <c r="F5115" s="633">
        <v>7.0000000000000007E-2</v>
      </c>
      <c r="G5115" s="633">
        <v>0.06</v>
      </c>
    </row>
    <row r="5116" spans="1:7" ht="18.75" x14ac:dyDescent="0.25">
      <c r="A5116" s="629" t="s">
        <v>3059</v>
      </c>
      <c r="B5116" s="630">
        <v>12</v>
      </c>
      <c r="C5116" s="631" t="str">
        <f t="shared" si="85"/>
        <v>Ô tô vận tải thùng 20 tấn12</v>
      </c>
      <c r="D5116" s="633"/>
      <c r="E5116" s="633"/>
      <c r="F5116" s="633">
        <v>7.0000000000000007E-2</v>
      </c>
      <c r="G5116" s="633">
        <v>0.06</v>
      </c>
    </row>
    <row r="5117" spans="1:7" ht="18.75" x14ac:dyDescent="0.25">
      <c r="A5117" s="629" t="s">
        <v>3059</v>
      </c>
      <c r="B5117" s="630">
        <v>13</v>
      </c>
      <c r="C5117" s="631" t="str">
        <f t="shared" si="85"/>
        <v>Ô tô vận tải thùng 20 tấn13</v>
      </c>
      <c r="D5117" s="633"/>
      <c r="E5117" s="633"/>
      <c r="F5117" s="633">
        <v>7.0000000000000007E-2</v>
      </c>
      <c r="G5117" s="633">
        <v>0.06</v>
      </c>
    </row>
    <row r="5118" spans="1:7" ht="18.75" x14ac:dyDescent="0.25">
      <c r="A5118" s="629" t="s">
        <v>3059</v>
      </c>
      <c r="B5118" s="630">
        <v>14</v>
      </c>
      <c r="C5118" s="631" t="str">
        <f t="shared" si="85"/>
        <v>Ô tô vận tải thùng 20 tấn14</v>
      </c>
      <c r="D5118" s="633"/>
      <c r="E5118" s="633"/>
      <c r="F5118" s="633">
        <v>7.0000000000000007E-2</v>
      </c>
      <c r="G5118" s="633">
        <v>0.06</v>
      </c>
    </row>
    <row r="5119" spans="1:7" ht="18.75" x14ac:dyDescent="0.25">
      <c r="A5119" s="629" t="s">
        <v>3059</v>
      </c>
      <c r="B5119" s="630">
        <v>15</v>
      </c>
      <c r="C5119" s="631" t="str">
        <f t="shared" si="85"/>
        <v>Ô tô vận tải thùng 20 tấn15</v>
      </c>
      <c r="D5119" s="633"/>
      <c r="E5119" s="633"/>
      <c r="F5119" s="633">
        <v>7.0000000000000007E-2</v>
      </c>
      <c r="G5119" s="633">
        <v>0.06</v>
      </c>
    </row>
    <row r="5120" spans="1:7" ht="18.75" x14ac:dyDescent="0.25">
      <c r="A5120" s="629" t="s">
        <v>3059</v>
      </c>
      <c r="B5120" s="630">
        <v>16</v>
      </c>
      <c r="C5120" s="631" t="str">
        <f t="shared" si="85"/>
        <v>Ô tô vận tải thùng 20 tấn16</v>
      </c>
      <c r="D5120" s="633"/>
      <c r="E5120" s="633"/>
      <c r="F5120" s="633">
        <v>0.06</v>
      </c>
      <c r="G5120" s="633">
        <v>0.05</v>
      </c>
    </row>
    <row r="5121" spans="1:7" ht="18.75" x14ac:dyDescent="0.25">
      <c r="A5121" s="629" t="s">
        <v>3059</v>
      </c>
      <c r="B5121" s="630">
        <v>17</v>
      </c>
      <c r="C5121" s="631" t="str">
        <f t="shared" si="85"/>
        <v>Ô tô vận tải thùng 20 tấn17</v>
      </c>
      <c r="D5121" s="633"/>
      <c r="E5121" s="633"/>
      <c r="F5121" s="633">
        <v>0.06</v>
      </c>
      <c r="G5121" s="633">
        <v>0.05</v>
      </c>
    </row>
    <row r="5122" spans="1:7" ht="18.75" x14ac:dyDescent="0.25">
      <c r="A5122" s="629" t="s">
        <v>3059</v>
      </c>
      <c r="B5122" s="630">
        <v>18</v>
      </c>
      <c r="C5122" s="631" t="str">
        <f t="shared" si="85"/>
        <v>Ô tô vận tải thùng 20 tấn18</v>
      </c>
      <c r="D5122" s="633"/>
      <c r="E5122" s="633"/>
      <c r="F5122" s="633">
        <v>0.06</v>
      </c>
      <c r="G5122" s="633">
        <v>0.05</v>
      </c>
    </row>
    <row r="5123" spans="1:7" ht="18.75" x14ac:dyDescent="0.25">
      <c r="A5123" s="629" t="s">
        <v>3059</v>
      </c>
      <c r="B5123" s="630">
        <v>19</v>
      </c>
      <c r="C5123" s="631" t="str">
        <f t="shared" si="85"/>
        <v>Ô tô vận tải thùng 20 tấn19</v>
      </c>
      <c r="D5123" s="633"/>
      <c r="E5123" s="633"/>
      <c r="F5123" s="633">
        <v>0.06</v>
      </c>
      <c r="G5123" s="633">
        <v>0.05</v>
      </c>
    </row>
    <row r="5124" spans="1:7" ht="18.75" x14ac:dyDescent="0.25">
      <c r="A5124" s="629" t="s">
        <v>3059</v>
      </c>
      <c r="B5124" s="630">
        <v>20</v>
      </c>
      <c r="C5124" s="631" t="str">
        <f t="shared" si="85"/>
        <v>Ô tô vận tải thùng 20 tấn20</v>
      </c>
      <c r="D5124" s="633"/>
      <c r="E5124" s="633"/>
      <c r="F5124" s="633">
        <v>0.06</v>
      </c>
      <c r="G5124" s="633">
        <v>0.05</v>
      </c>
    </row>
    <row r="5125" spans="1:7" ht="18.75" x14ac:dyDescent="0.25">
      <c r="A5125" s="629" t="s">
        <v>3059</v>
      </c>
      <c r="B5125" s="630">
        <v>21</v>
      </c>
      <c r="C5125" s="631" t="str">
        <f t="shared" si="85"/>
        <v>Ô tô vận tải thùng 20 tấn21</v>
      </c>
      <c r="D5125" s="630"/>
      <c r="E5125" s="630"/>
      <c r="F5125" s="630"/>
      <c r="G5125" s="630"/>
    </row>
    <row r="5126" spans="1:7" ht="18.75" x14ac:dyDescent="0.25">
      <c r="A5126" s="629" t="s">
        <v>3059</v>
      </c>
      <c r="B5126" s="630">
        <v>22</v>
      </c>
      <c r="C5126" s="631" t="str">
        <f t="shared" si="85"/>
        <v>Ô tô vận tải thùng 20 tấn22</v>
      </c>
      <c r="D5126" s="630"/>
      <c r="E5126" s="630"/>
      <c r="F5126" s="630"/>
      <c r="G5126" s="630"/>
    </row>
    <row r="5127" spans="1:7" ht="18.75" x14ac:dyDescent="0.25">
      <c r="A5127" s="629" t="s">
        <v>3059</v>
      </c>
      <c r="B5127" s="630">
        <v>23</v>
      </c>
      <c r="C5127" s="631" t="str">
        <f t="shared" si="85"/>
        <v>Ô tô vận tải thùng 20 tấn23</v>
      </c>
      <c r="D5127" s="630"/>
      <c r="E5127" s="630"/>
      <c r="F5127" s="630"/>
      <c r="G5127" s="630"/>
    </row>
    <row r="5128" spans="1:7" ht="18.75" x14ac:dyDescent="0.25">
      <c r="A5128" s="629" t="s">
        <v>3059</v>
      </c>
      <c r="B5128" s="630">
        <v>24</v>
      </c>
      <c r="C5128" s="631" t="str">
        <f t="shared" si="85"/>
        <v>Ô tô vận tải thùng 20 tấn24</v>
      </c>
      <c r="D5128" s="630"/>
      <c r="E5128" s="630"/>
      <c r="F5128" s="630"/>
      <c r="G5128" s="630"/>
    </row>
    <row r="5129" spans="1:7" ht="18.75" x14ac:dyDescent="0.25">
      <c r="A5129" s="629" t="s">
        <v>3059</v>
      </c>
      <c r="B5129" s="630">
        <v>25</v>
      </c>
      <c r="C5129" s="631" t="str">
        <f t="shared" si="85"/>
        <v>Ô tô vận tải thùng 20 tấn25</v>
      </c>
      <c r="D5129" s="630"/>
      <c r="E5129" s="630"/>
      <c r="F5129" s="630"/>
      <c r="G5129" s="630"/>
    </row>
    <row r="5130" spans="1:7" ht="18.75" x14ac:dyDescent="0.25">
      <c r="A5130" s="629" t="s">
        <v>3059</v>
      </c>
      <c r="B5130" s="630">
        <v>26</v>
      </c>
      <c r="C5130" s="631" t="str">
        <f t="shared" si="85"/>
        <v>Ô tô vận tải thùng 20 tấn26</v>
      </c>
      <c r="D5130" s="630"/>
      <c r="E5130" s="630"/>
      <c r="F5130" s="630"/>
      <c r="G5130" s="630"/>
    </row>
    <row r="5131" spans="1:7" ht="18.75" x14ac:dyDescent="0.25">
      <c r="A5131" s="629" t="s">
        <v>3059</v>
      </c>
      <c r="B5131" s="630">
        <v>27</v>
      </c>
      <c r="C5131" s="631" t="str">
        <f t="shared" si="85"/>
        <v>Ô tô vận tải thùng 20 tấn27</v>
      </c>
      <c r="D5131" s="630"/>
      <c r="E5131" s="630"/>
      <c r="F5131" s="630"/>
      <c r="G5131" s="630"/>
    </row>
    <row r="5132" spans="1:7" ht="18.75" x14ac:dyDescent="0.25">
      <c r="A5132" s="629" t="s">
        <v>3059</v>
      </c>
      <c r="B5132" s="630">
        <v>28</v>
      </c>
      <c r="C5132" s="631" t="str">
        <f t="shared" si="85"/>
        <v>Ô tô vận tải thùng 20 tấn28</v>
      </c>
      <c r="D5132" s="630"/>
      <c r="E5132" s="630"/>
      <c r="F5132" s="630"/>
      <c r="G5132" s="630"/>
    </row>
    <row r="5133" spans="1:7" ht="18.75" x14ac:dyDescent="0.25">
      <c r="A5133" s="629" t="s">
        <v>3059</v>
      </c>
      <c r="B5133" s="630">
        <v>29</v>
      </c>
      <c r="C5133" s="631" t="str">
        <f t="shared" si="85"/>
        <v>Ô tô vận tải thùng 20 tấn29</v>
      </c>
      <c r="D5133" s="630"/>
      <c r="E5133" s="630"/>
      <c r="F5133" s="630"/>
      <c r="G5133" s="630"/>
    </row>
    <row r="5134" spans="1:7" ht="18.75" x14ac:dyDescent="0.25">
      <c r="A5134" s="629" t="s">
        <v>3059</v>
      </c>
      <c r="B5134" s="630">
        <v>30</v>
      </c>
      <c r="C5134" s="631" t="str">
        <f t="shared" si="85"/>
        <v>Ô tô vận tải thùng 20 tấn30</v>
      </c>
      <c r="D5134" s="630"/>
      <c r="E5134" s="630"/>
      <c r="F5134" s="630"/>
      <c r="G5134" s="630"/>
    </row>
    <row r="5135" spans="1:7" ht="18.75" x14ac:dyDescent="0.25">
      <c r="A5135" s="629" t="s">
        <v>3059</v>
      </c>
      <c r="B5135" s="630">
        <v>31</v>
      </c>
      <c r="C5135" s="631" t="str">
        <f t="shared" si="85"/>
        <v>Ô tô vận tải thùng 20 tấn31</v>
      </c>
      <c r="D5135" s="630"/>
      <c r="E5135" s="630"/>
      <c r="F5135" s="630"/>
      <c r="G5135" s="630"/>
    </row>
    <row r="5136" spans="1:7" ht="18.75" x14ac:dyDescent="0.25">
      <c r="A5136" s="629" t="s">
        <v>3059</v>
      </c>
      <c r="B5136" s="630">
        <v>32</v>
      </c>
      <c r="C5136" s="631" t="str">
        <f t="shared" si="85"/>
        <v>Ô tô vận tải thùng 20 tấn32</v>
      </c>
      <c r="D5136" s="630"/>
      <c r="E5136" s="630"/>
      <c r="F5136" s="630"/>
      <c r="G5136" s="630"/>
    </row>
    <row r="5137" spans="1:7" ht="18.75" x14ac:dyDescent="0.25">
      <c r="A5137" s="629" t="s">
        <v>3059</v>
      </c>
      <c r="B5137" s="630">
        <v>33</v>
      </c>
      <c r="C5137" s="631" t="str">
        <f t="shared" si="85"/>
        <v>Ô tô vận tải thùng 20 tấn33</v>
      </c>
      <c r="D5137" s="630"/>
      <c r="E5137" s="630"/>
      <c r="F5137" s="630"/>
      <c r="G5137" s="630"/>
    </row>
    <row r="5138" spans="1:7" ht="18.75" x14ac:dyDescent="0.25">
      <c r="A5138" s="629" t="s">
        <v>3059</v>
      </c>
      <c r="B5138" s="630">
        <v>34</v>
      </c>
      <c r="C5138" s="631" t="str">
        <f t="shared" si="85"/>
        <v>Ô tô vận tải thùng 20 tấn34</v>
      </c>
      <c r="D5138" s="630"/>
      <c r="E5138" s="630"/>
      <c r="F5138" s="630"/>
      <c r="G5138" s="630"/>
    </row>
    <row r="5139" spans="1:7" ht="18.75" x14ac:dyDescent="0.25">
      <c r="A5139" s="629" t="s">
        <v>3059</v>
      </c>
      <c r="B5139" s="630">
        <v>35</v>
      </c>
      <c r="C5139" s="631" t="str">
        <f t="shared" si="85"/>
        <v>Ô tô vận tải thùng 20 tấn35</v>
      </c>
      <c r="D5139" s="630"/>
      <c r="E5139" s="630"/>
      <c r="F5139" s="630"/>
      <c r="G5139" s="630"/>
    </row>
    <row r="5140" spans="1:7" ht="18.75" x14ac:dyDescent="0.25">
      <c r="A5140" s="629" t="s">
        <v>3059</v>
      </c>
      <c r="B5140" s="630">
        <v>36</v>
      </c>
      <c r="C5140" s="631" t="str">
        <f t="shared" si="85"/>
        <v>Ô tô vận tải thùng 20 tấn36</v>
      </c>
      <c r="D5140" s="630"/>
      <c r="E5140" s="630"/>
      <c r="F5140" s="630"/>
      <c r="G5140" s="630"/>
    </row>
    <row r="5141" spans="1:7" ht="18.75" x14ac:dyDescent="0.25">
      <c r="A5141" s="629" t="s">
        <v>3059</v>
      </c>
      <c r="B5141" s="630">
        <v>37</v>
      </c>
      <c r="C5141" s="631" t="str">
        <f t="shared" si="85"/>
        <v>Ô tô vận tải thùng 20 tấn37</v>
      </c>
      <c r="D5141" s="630"/>
      <c r="E5141" s="630"/>
      <c r="F5141" s="630"/>
      <c r="G5141" s="630"/>
    </row>
    <row r="5142" spans="1:7" ht="18.75" x14ac:dyDescent="0.25">
      <c r="A5142" s="629" t="s">
        <v>3059</v>
      </c>
      <c r="B5142" s="630">
        <v>38</v>
      </c>
      <c r="C5142" s="631" t="str">
        <f t="shared" si="85"/>
        <v>Ô tô vận tải thùng 20 tấn38</v>
      </c>
      <c r="D5142" s="630"/>
      <c r="E5142" s="630"/>
      <c r="F5142" s="630"/>
      <c r="G5142" s="630"/>
    </row>
    <row r="5143" spans="1:7" ht="18.75" x14ac:dyDescent="0.25">
      <c r="A5143" s="629" t="s">
        <v>3059</v>
      </c>
      <c r="B5143" s="630">
        <v>39</v>
      </c>
      <c r="C5143" s="631" t="str">
        <f t="shared" si="85"/>
        <v>Ô tô vận tải thùng 20 tấn39</v>
      </c>
      <c r="D5143" s="630"/>
      <c r="E5143" s="630"/>
      <c r="F5143" s="630"/>
      <c r="G5143" s="630"/>
    </row>
    <row r="5144" spans="1:7" ht="18.75" x14ac:dyDescent="0.25">
      <c r="A5144" s="629" t="s">
        <v>3059</v>
      </c>
      <c r="B5144" s="630">
        <v>40</v>
      </c>
      <c r="C5144" s="631" t="str">
        <f t="shared" si="85"/>
        <v>Ô tô vận tải thùng 20 tấn40</v>
      </c>
      <c r="D5144" s="630"/>
      <c r="E5144" s="630"/>
      <c r="F5144" s="630"/>
      <c r="G5144" s="630"/>
    </row>
    <row r="5145" spans="1:7" ht="18.75" x14ac:dyDescent="0.25">
      <c r="A5145" s="629" t="s">
        <v>3059</v>
      </c>
      <c r="B5145" s="630">
        <v>41</v>
      </c>
      <c r="C5145" s="631" t="str">
        <f t="shared" si="85"/>
        <v>Ô tô vận tải thùng 20 tấn41</v>
      </c>
      <c r="D5145" s="630"/>
      <c r="E5145" s="630"/>
      <c r="F5145" s="630"/>
      <c r="G5145" s="630"/>
    </row>
    <row r="5146" spans="1:7" ht="18.75" x14ac:dyDescent="0.25">
      <c r="A5146" s="629" t="s">
        <v>3059</v>
      </c>
      <c r="B5146" s="630">
        <v>42</v>
      </c>
      <c r="C5146" s="631" t="str">
        <f t="shared" si="85"/>
        <v>Ô tô vận tải thùng 20 tấn42</v>
      </c>
      <c r="D5146" s="630"/>
      <c r="E5146" s="630"/>
      <c r="F5146" s="630"/>
      <c r="G5146" s="630"/>
    </row>
    <row r="5147" spans="1:7" ht="18.75" x14ac:dyDescent="0.25">
      <c r="A5147" s="629" t="s">
        <v>3059</v>
      </c>
      <c r="B5147" s="630">
        <v>43</v>
      </c>
      <c r="C5147" s="631" t="str">
        <f t="shared" si="85"/>
        <v>Ô tô vận tải thùng 20 tấn43</v>
      </c>
      <c r="D5147" s="630"/>
      <c r="E5147" s="630"/>
      <c r="F5147" s="630"/>
      <c r="G5147" s="630"/>
    </row>
    <row r="5148" spans="1:7" ht="18.75" x14ac:dyDescent="0.25">
      <c r="A5148" s="629" t="s">
        <v>3059</v>
      </c>
      <c r="B5148" s="630">
        <v>44</v>
      </c>
      <c r="C5148" s="631" t="str">
        <f t="shared" si="85"/>
        <v>Ô tô vận tải thùng 20 tấn44</v>
      </c>
      <c r="D5148" s="630"/>
      <c r="E5148" s="630"/>
      <c r="F5148" s="630"/>
      <c r="G5148" s="630"/>
    </row>
    <row r="5149" spans="1:7" ht="18.75" x14ac:dyDescent="0.25">
      <c r="A5149" s="629" t="s">
        <v>3059</v>
      </c>
      <c r="B5149" s="630">
        <v>45</v>
      </c>
      <c r="C5149" s="631" t="str">
        <f t="shared" si="85"/>
        <v>Ô tô vận tải thùng 20 tấn45</v>
      </c>
      <c r="D5149" s="630"/>
      <c r="E5149" s="630"/>
      <c r="F5149" s="630"/>
      <c r="G5149" s="630"/>
    </row>
    <row r="5150" spans="1:7" ht="18.75" x14ac:dyDescent="0.25">
      <c r="A5150" s="629" t="s">
        <v>3059</v>
      </c>
      <c r="B5150" s="630">
        <v>46</v>
      </c>
      <c r="C5150" s="631" t="str">
        <f t="shared" si="85"/>
        <v>Ô tô vận tải thùng 20 tấn46</v>
      </c>
      <c r="D5150" s="630"/>
      <c r="E5150" s="630"/>
      <c r="F5150" s="630"/>
      <c r="G5150" s="630"/>
    </row>
    <row r="5151" spans="1:7" ht="18.75" x14ac:dyDescent="0.25">
      <c r="A5151" s="629" t="s">
        <v>3059</v>
      </c>
      <c r="B5151" s="630">
        <v>47</v>
      </c>
      <c r="C5151" s="631" t="str">
        <f t="shared" si="85"/>
        <v>Ô tô vận tải thùng 20 tấn47</v>
      </c>
      <c r="D5151" s="630"/>
      <c r="E5151" s="630"/>
      <c r="F5151" s="630"/>
      <c r="G5151" s="630"/>
    </row>
    <row r="5152" spans="1:7" ht="18.75" x14ac:dyDescent="0.25">
      <c r="A5152" s="629" t="s">
        <v>3059</v>
      </c>
      <c r="B5152" s="630">
        <v>48</v>
      </c>
      <c r="C5152" s="631" t="str">
        <f t="shared" si="85"/>
        <v>Ô tô vận tải thùng 20 tấn48</v>
      </c>
      <c r="D5152" s="630"/>
      <c r="E5152" s="630"/>
      <c r="F5152" s="630"/>
      <c r="G5152" s="630"/>
    </row>
    <row r="5153" spans="1:7" ht="18.75" x14ac:dyDescent="0.25">
      <c r="A5153" s="629" t="s">
        <v>3059</v>
      </c>
      <c r="B5153" s="630">
        <v>49</v>
      </c>
      <c r="C5153" s="631" t="str">
        <f t="shared" si="85"/>
        <v>Ô tô vận tải thùng 20 tấn49</v>
      </c>
      <c r="D5153" s="630"/>
      <c r="E5153" s="630"/>
      <c r="F5153" s="630"/>
      <c r="G5153" s="630"/>
    </row>
    <row r="5154" spans="1:7" ht="18.75" x14ac:dyDescent="0.25">
      <c r="A5154" s="629" t="s">
        <v>3059</v>
      </c>
      <c r="B5154" s="630">
        <v>50</v>
      </c>
      <c r="C5154" s="631" t="str">
        <f t="shared" si="85"/>
        <v>Ô tô vận tải thùng 20 tấn50</v>
      </c>
      <c r="D5154" s="630"/>
      <c r="E5154" s="630"/>
      <c r="F5154" s="630"/>
      <c r="G5154" s="630"/>
    </row>
    <row r="5155" spans="1:7" ht="18.75" x14ac:dyDescent="0.25">
      <c r="A5155" s="629" t="s">
        <v>3059</v>
      </c>
      <c r="B5155" s="630">
        <v>51</v>
      </c>
      <c r="C5155" s="631" t="str">
        <f t="shared" si="85"/>
        <v>Ô tô vận tải thùng 20 tấn51</v>
      </c>
      <c r="D5155" s="630"/>
      <c r="E5155" s="630"/>
      <c r="F5155" s="630"/>
      <c r="G5155" s="630"/>
    </row>
    <row r="5156" spans="1:7" ht="18.75" x14ac:dyDescent="0.25">
      <c r="A5156" s="629" t="s">
        <v>3059</v>
      </c>
      <c r="B5156" s="630">
        <v>52</v>
      </c>
      <c r="C5156" s="631" t="str">
        <f t="shared" si="85"/>
        <v>Ô tô vận tải thùng 20 tấn52</v>
      </c>
      <c r="D5156" s="630"/>
      <c r="E5156" s="630"/>
      <c r="F5156" s="630"/>
      <c r="G5156" s="630"/>
    </row>
    <row r="5157" spans="1:7" ht="18.75" x14ac:dyDescent="0.25">
      <c r="A5157" s="629" t="s">
        <v>3059</v>
      </c>
      <c r="B5157" s="630">
        <v>53</v>
      </c>
      <c r="C5157" s="631" t="str">
        <f t="shared" si="85"/>
        <v>Ô tô vận tải thùng 20 tấn53</v>
      </c>
      <c r="D5157" s="630"/>
      <c r="E5157" s="630"/>
      <c r="F5157" s="630"/>
      <c r="G5157" s="630"/>
    </row>
    <row r="5158" spans="1:7" ht="18.75" x14ac:dyDescent="0.25">
      <c r="A5158" s="629" t="s">
        <v>3059</v>
      </c>
      <c r="B5158" s="630">
        <v>54</v>
      </c>
      <c r="C5158" s="631" t="str">
        <f t="shared" si="85"/>
        <v>Ô tô vận tải thùng 20 tấn54</v>
      </c>
      <c r="D5158" s="630"/>
      <c r="E5158" s="630"/>
      <c r="F5158" s="630"/>
      <c r="G5158" s="630"/>
    </row>
    <row r="5159" spans="1:7" ht="18.75" x14ac:dyDescent="0.25">
      <c r="A5159" s="629" t="s">
        <v>3059</v>
      </c>
      <c r="B5159" s="630">
        <v>55</v>
      </c>
      <c r="C5159" s="631" t="str">
        <f t="shared" si="85"/>
        <v>Ô tô vận tải thùng 20 tấn55</v>
      </c>
      <c r="D5159" s="630"/>
      <c r="E5159" s="630"/>
      <c r="F5159" s="630"/>
      <c r="G5159" s="630"/>
    </row>
    <row r="5160" spans="1:7" ht="18.75" x14ac:dyDescent="0.25">
      <c r="A5160" s="629" t="s">
        <v>3059</v>
      </c>
      <c r="B5160" s="630">
        <v>56</v>
      </c>
      <c r="C5160" s="631" t="str">
        <f t="shared" si="85"/>
        <v>Ô tô vận tải thùng 20 tấn56</v>
      </c>
      <c r="D5160" s="630"/>
      <c r="E5160" s="630"/>
      <c r="F5160" s="630"/>
      <c r="G5160" s="630"/>
    </row>
    <row r="5161" spans="1:7" ht="18.75" x14ac:dyDescent="0.25">
      <c r="A5161" s="629" t="s">
        <v>3059</v>
      </c>
      <c r="B5161" s="630">
        <v>57</v>
      </c>
      <c r="C5161" s="631" t="str">
        <f t="shared" si="85"/>
        <v>Ô tô vận tải thùng 20 tấn57</v>
      </c>
      <c r="D5161" s="630"/>
      <c r="E5161" s="630"/>
      <c r="F5161" s="630"/>
      <c r="G5161" s="630"/>
    </row>
    <row r="5162" spans="1:7" ht="18.75" x14ac:dyDescent="0.25">
      <c r="A5162" s="629" t="s">
        <v>3059</v>
      </c>
      <c r="B5162" s="630">
        <v>58</v>
      </c>
      <c r="C5162" s="631" t="str">
        <f t="shared" si="85"/>
        <v>Ô tô vận tải thùng 20 tấn58</v>
      </c>
      <c r="D5162" s="630"/>
      <c r="E5162" s="630"/>
      <c r="F5162" s="630"/>
      <c r="G5162" s="630"/>
    </row>
    <row r="5163" spans="1:7" ht="18.75" x14ac:dyDescent="0.25">
      <c r="A5163" s="629" t="s">
        <v>3059</v>
      </c>
      <c r="B5163" s="630">
        <v>59</v>
      </c>
      <c r="C5163" s="631" t="str">
        <f t="shared" si="85"/>
        <v>Ô tô vận tải thùng 20 tấn59</v>
      </c>
      <c r="D5163" s="630"/>
      <c r="E5163" s="630"/>
      <c r="F5163" s="630"/>
      <c r="G5163" s="630"/>
    </row>
    <row r="5164" spans="1:7" ht="18.75" x14ac:dyDescent="0.25">
      <c r="A5164" s="629" t="s">
        <v>3059</v>
      </c>
      <c r="B5164" s="630">
        <v>60</v>
      </c>
      <c r="C5164" s="631" t="str">
        <f t="shared" si="85"/>
        <v>Ô tô vận tải thùng 20 tấn60</v>
      </c>
      <c r="D5164" s="630"/>
      <c r="E5164" s="630"/>
      <c r="F5164" s="630"/>
      <c r="G5164" s="630"/>
    </row>
    <row r="5165" spans="1:7" ht="18.75" x14ac:dyDescent="0.25">
      <c r="A5165" s="629" t="s">
        <v>3059</v>
      </c>
      <c r="B5165" s="630">
        <v>61</v>
      </c>
      <c r="C5165" s="631" t="str">
        <f t="shared" si="85"/>
        <v>Ô tô vận tải thùng 20 tấn61</v>
      </c>
      <c r="D5165" s="630"/>
      <c r="E5165" s="630"/>
      <c r="F5165" s="630"/>
      <c r="G5165" s="630"/>
    </row>
    <row r="5166" spans="1:7" ht="18.75" x14ac:dyDescent="0.25">
      <c r="A5166" s="629" t="s">
        <v>3059</v>
      </c>
      <c r="B5166" s="630">
        <v>62</v>
      </c>
      <c r="C5166" s="631" t="str">
        <f t="shared" si="85"/>
        <v>Ô tô vận tải thùng 20 tấn62</v>
      </c>
      <c r="D5166" s="630"/>
      <c r="E5166" s="630"/>
      <c r="F5166" s="630"/>
      <c r="G5166" s="630"/>
    </row>
    <row r="5167" spans="1:7" ht="18.75" x14ac:dyDescent="0.25">
      <c r="A5167" s="629" t="s">
        <v>3059</v>
      </c>
      <c r="B5167" s="630">
        <v>63</v>
      </c>
      <c r="C5167" s="631" t="str">
        <f t="shared" si="85"/>
        <v>Ô tô vận tải thùng 20 tấn63</v>
      </c>
      <c r="D5167" s="630"/>
      <c r="E5167" s="630"/>
      <c r="F5167" s="630"/>
      <c r="G5167" s="630"/>
    </row>
    <row r="5168" spans="1:7" ht="18.75" x14ac:dyDescent="0.25">
      <c r="A5168" s="629" t="s">
        <v>3059</v>
      </c>
      <c r="B5168" s="630">
        <v>64</v>
      </c>
      <c r="C5168" s="631" t="str">
        <f t="shared" si="85"/>
        <v>Ô tô vận tải thùng 20 tấn64</v>
      </c>
      <c r="D5168" s="630"/>
      <c r="E5168" s="630"/>
      <c r="F5168" s="630"/>
      <c r="G5168" s="630"/>
    </row>
    <row r="5169" spans="1:7" ht="18.75" x14ac:dyDescent="0.25">
      <c r="A5169" s="629" t="s">
        <v>3059</v>
      </c>
      <c r="B5169" s="630">
        <v>65</v>
      </c>
      <c r="C5169" s="631" t="str">
        <f t="shared" si="85"/>
        <v>Ô tô vận tải thùng 20 tấn65</v>
      </c>
      <c r="D5169" s="630"/>
      <c r="E5169" s="630"/>
      <c r="F5169" s="630"/>
      <c r="G5169" s="630"/>
    </row>
    <row r="5170" spans="1:7" ht="18.75" x14ac:dyDescent="0.25">
      <c r="A5170" s="629" t="s">
        <v>3059</v>
      </c>
      <c r="B5170" s="630">
        <v>66</v>
      </c>
      <c r="C5170" s="631" t="str">
        <f t="shared" ref="C5170:C5233" si="86">A5170&amp;B5170</f>
        <v>Ô tô vận tải thùng 20 tấn66</v>
      </c>
      <c r="D5170" s="630"/>
      <c r="E5170" s="630"/>
      <c r="F5170" s="630"/>
      <c r="G5170" s="630"/>
    </row>
    <row r="5171" spans="1:7" ht="18.75" x14ac:dyDescent="0.25">
      <c r="A5171" s="629" t="s">
        <v>3059</v>
      </c>
      <c r="B5171" s="630">
        <v>67</v>
      </c>
      <c r="C5171" s="631" t="str">
        <f t="shared" si="86"/>
        <v>Ô tô vận tải thùng 20 tấn67</v>
      </c>
      <c r="D5171" s="630"/>
      <c r="E5171" s="630"/>
      <c r="F5171" s="630"/>
      <c r="G5171" s="630"/>
    </row>
    <row r="5172" spans="1:7" ht="18.75" x14ac:dyDescent="0.25">
      <c r="A5172" s="629" t="s">
        <v>3059</v>
      </c>
      <c r="B5172" s="630">
        <v>68</v>
      </c>
      <c r="C5172" s="631" t="str">
        <f t="shared" si="86"/>
        <v>Ô tô vận tải thùng 20 tấn68</v>
      </c>
      <c r="D5172" s="630"/>
      <c r="E5172" s="630"/>
      <c r="F5172" s="630"/>
      <c r="G5172" s="630"/>
    </row>
    <row r="5173" spans="1:7" ht="18.75" x14ac:dyDescent="0.25">
      <c r="A5173" s="629" t="s">
        <v>3059</v>
      </c>
      <c r="B5173" s="630">
        <v>69</v>
      </c>
      <c r="C5173" s="631" t="str">
        <f t="shared" si="86"/>
        <v>Ô tô vận tải thùng 20 tấn69</v>
      </c>
      <c r="D5173" s="630"/>
      <c r="E5173" s="630"/>
      <c r="F5173" s="630"/>
      <c r="G5173" s="630"/>
    </row>
    <row r="5174" spans="1:7" ht="18.75" x14ac:dyDescent="0.25">
      <c r="A5174" s="629" t="s">
        <v>3059</v>
      </c>
      <c r="B5174" s="630">
        <v>70</v>
      </c>
      <c r="C5174" s="631" t="str">
        <f t="shared" si="86"/>
        <v>Ô tô vận tải thùng 20 tấn70</v>
      </c>
      <c r="D5174" s="630"/>
      <c r="E5174" s="630"/>
      <c r="F5174" s="630"/>
      <c r="G5174" s="630"/>
    </row>
    <row r="5175" spans="1:7" ht="18.75" x14ac:dyDescent="0.25">
      <c r="A5175" s="629" t="s">
        <v>3059</v>
      </c>
      <c r="B5175" s="630">
        <v>71</v>
      </c>
      <c r="C5175" s="631" t="str">
        <f t="shared" si="86"/>
        <v>Ô tô vận tải thùng 20 tấn71</v>
      </c>
      <c r="D5175" s="630"/>
      <c r="E5175" s="630"/>
      <c r="F5175" s="630"/>
      <c r="G5175" s="630"/>
    </row>
    <row r="5176" spans="1:7" ht="18.75" x14ac:dyDescent="0.25">
      <c r="A5176" s="629" t="s">
        <v>3059</v>
      </c>
      <c r="B5176" s="630">
        <v>72</v>
      </c>
      <c r="C5176" s="631" t="str">
        <f t="shared" si="86"/>
        <v>Ô tô vận tải thùng 20 tấn72</v>
      </c>
      <c r="D5176" s="630"/>
      <c r="E5176" s="630"/>
      <c r="F5176" s="630"/>
      <c r="G5176" s="630"/>
    </row>
    <row r="5177" spans="1:7" ht="18.75" x14ac:dyDescent="0.25">
      <c r="A5177" s="629" t="s">
        <v>3059</v>
      </c>
      <c r="B5177" s="630">
        <v>73</v>
      </c>
      <c r="C5177" s="631" t="str">
        <f t="shared" si="86"/>
        <v>Ô tô vận tải thùng 20 tấn73</v>
      </c>
      <c r="D5177" s="630"/>
      <c r="E5177" s="630"/>
      <c r="F5177" s="630"/>
      <c r="G5177" s="630"/>
    </row>
    <row r="5178" spans="1:7" ht="18.75" x14ac:dyDescent="0.25">
      <c r="A5178" s="629" t="s">
        <v>3059</v>
      </c>
      <c r="B5178" s="630">
        <v>74</v>
      </c>
      <c r="C5178" s="631" t="str">
        <f t="shared" si="86"/>
        <v>Ô tô vận tải thùng 20 tấn74</v>
      </c>
      <c r="D5178" s="630"/>
      <c r="E5178" s="630"/>
      <c r="F5178" s="630"/>
      <c r="G5178" s="630"/>
    </row>
    <row r="5179" spans="1:7" ht="18.75" x14ac:dyDescent="0.25">
      <c r="A5179" s="629" t="s">
        <v>3059</v>
      </c>
      <c r="B5179" s="630">
        <v>75</v>
      </c>
      <c r="C5179" s="631" t="str">
        <f t="shared" si="86"/>
        <v>Ô tô vận tải thùng 20 tấn75</v>
      </c>
      <c r="D5179" s="630"/>
      <c r="E5179" s="630"/>
      <c r="F5179" s="630"/>
      <c r="G5179" s="630"/>
    </row>
    <row r="5180" spans="1:7" ht="18.75" x14ac:dyDescent="0.25">
      <c r="A5180" s="629" t="s">
        <v>3059</v>
      </c>
      <c r="B5180" s="630">
        <v>76</v>
      </c>
      <c r="C5180" s="631" t="str">
        <f t="shared" si="86"/>
        <v>Ô tô vận tải thùng 20 tấn76</v>
      </c>
      <c r="D5180" s="630"/>
      <c r="E5180" s="630"/>
      <c r="F5180" s="630"/>
      <c r="G5180" s="630"/>
    </row>
    <row r="5181" spans="1:7" ht="18.75" x14ac:dyDescent="0.25">
      <c r="A5181" s="629" t="s">
        <v>3059</v>
      </c>
      <c r="B5181" s="630">
        <v>77</v>
      </c>
      <c r="C5181" s="631" t="str">
        <f t="shared" si="86"/>
        <v>Ô tô vận tải thùng 20 tấn77</v>
      </c>
      <c r="D5181" s="630"/>
      <c r="E5181" s="630"/>
      <c r="F5181" s="630"/>
      <c r="G5181" s="630"/>
    </row>
    <row r="5182" spans="1:7" ht="18.75" x14ac:dyDescent="0.25">
      <c r="A5182" s="629" t="s">
        <v>3059</v>
      </c>
      <c r="B5182" s="630">
        <v>78</v>
      </c>
      <c r="C5182" s="631" t="str">
        <f t="shared" si="86"/>
        <v>Ô tô vận tải thùng 20 tấn78</v>
      </c>
      <c r="D5182" s="630"/>
      <c r="E5182" s="630"/>
      <c r="F5182" s="630"/>
      <c r="G5182" s="630"/>
    </row>
    <row r="5183" spans="1:7" ht="18.75" x14ac:dyDescent="0.25">
      <c r="A5183" s="629" t="s">
        <v>3059</v>
      </c>
      <c r="B5183" s="630">
        <v>79</v>
      </c>
      <c r="C5183" s="631" t="str">
        <f t="shared" si="86"/>
        <v>Ô tô vận tải thùng 20 tấn79</v>
      </c>
      <c r="D5183" s="630"/>
      <c r="E5183" s="630"/>
      <c r="F5183" s="630"/>
      <c r="G5183" s="630"/>
    </row>
    <row r="5184" spans="1:7" ht="18.75" x14ac:dyDescent="0.25">
      <c r="A5184" s="629" t="s">
        <v>3059</v>
      </c>
      <c r="B5184" s="630">
        <v>80</v>
      </c>
      <c r="C5184" s="631" t="str">
        <f t="shared" si="86"/>
        <v>Ô tô vận tải thùng 20 tấn80</v>
      </c>
      <c r="D5184" s="630"/>
      <c r="E5184" s="630"/>
      <c r="F5184" s="630"/>
      <c r="G5184" s="630"/>
    </row>
    <row r="5185" spans="1:7" ht="18.75" x14ac:dyDescent="0.25">
      <c r="A5185" s="629" t="s">
        <v>3059</v>
      </c>
      <c r="B5185" s="630">
        <v>81</v>
      </c>
      <c r="C5185" s="631" t="str">
        <f t="shared" si="86"/>
        <v>Ô tô vận tải thùng 20 tấn81</v>
      </c>
      <c r="D5185" s="630"/>
      <c r="E5185" s="630"/>
      <c r="F5185" s="630"/>
      <c r="G5185" s="630"/>
    </row>
    <row r="5186" spans="1:7" ht="18.75" x14ac:dyDescent="0.25">
      <c r="A5186" s="629" t="s">
        <v>3059</v>
      </c>
      <c r="B5186" s="630">
        <v>82</v>
      </c>
      <c r="C5186" s="631" t="str">
        <f t="shared" si="86"/>
        <v>Ô tô vận tải thùng 20 tấn82</v>
      </c>
      <c r="D5186" s="630"/>
      <c r="E5186" s="630"/>
      <c r="F5186" s="630"/>
      <c r="G5186" s="630"/>
    </row>
    <row r="5187" spans="1:7" ht="18.75" x14ac:dyDescent="0.25">
      <c r="A5187" s="629" t="s">
        <v>3059</v>
      </c>
      <c r="B5187" s="630">
        <v>83</v>
      </c>
      <c r="C5187" s="631" t="str">
        <f t="shared" si="86"/>
        <v>Ô tô vận tải thùng 20 tấn83</v>
      </c>
      <c r="D5187" s="630"/>
      <c r="E5187" s="630"/>
      <c r="F5187" s="630"/>
      <c r="G5187" s="630"/>
    </row>
    <row r="5188" spans="1:7" ht="18.75" x14ac:dyDescent="0.25">
      <c r="A5188" s="629" t="s">
        <v>3059</v>
      </c>
      <c r="B5188" s="630">
        <v>84</v>
      </c>
      <c r="C5188" s="631" t="str">
        <f t="shared" si="86"/>
        <v>Ô tô vận tải thùng 20 tấn84</v>
      </c>
      <c r="D5188" s="630"/>
      <c r="E5188" s="630"/>
      <c r="F5188" s="630"/>
      <c r="G5188" s="630"/>
    </row>
    <row r="5189" spans="1:7" ht="18.75" x14ac:dyDescent="0.25">
      <c r="A5189" s="629" t="s">
        <v>3059</v>
      </c>
      <c r="B5189" s="630">
        <v>85</v>
      </c>
      <c r="C5189" s="631" t="str">
        <f t="shared" si="86"/>
        <v>Ô tô vận tải thùng 20 tấn85</v>
      </c>
      <c r="D5189" s="630"/>
      <c r="E5189" s="630"/>
      <c r="F5189" s="630"/>
      <c r="G5189" s="630"/>
    </row>
    <row r="5190" spans="1:7" ht="18.75" x14ac:dyDescent="0.25">
      <c r="A5190" s="629" t="s">
        <v>3059</v>
      </c>
      <c r="B5190" s="630">
        <v>86</v>
      </c>
      <c r="C5190" s="631" t="str">
        <f t="shared" si="86"/>
        <v>Ô tô vận tải thùng 20 tấn86</v>
      </c>
      <c r="D5190" s="630"/>
      <c r="E5190" s="630"/>
      <c r="F5190" s="630"/>
      <c r="G5190" s="630"/>
    </row>
    <row r="5191" spans="1:7" ht="18.75" x14ac:dyDescent="0.25">
      <c r="A5191" s="629" t="s">
        <v>3059</v>
      </c>
      <c r="B5191" s="630">
        <v>87</v>
      </c>
      <c r="C5191" s="631" t="str">
        <f t="shared" si="86"/>
        <v>Ô tô vận tải thùng 20 tấn87</v>
      </c>
      <c r="D5191" s="630"/>
      <c r="E5191" s="630"/>
      <c r="F5191" s="630"/>
      <c r="G5191" s="630"/>
    </row>
    <row r="5192" spans="1:7" ht="18.75" x14ac:dyDescent="0.25">
      <c r="A5192" s="629" t="s">
        <v>3059</v>
      </c>
      <c r="B5192" s="630">
        <v>88</v>
      </c>
      <c r="C5192" s="631" t="str">
        <f t="shared" si="86"/>
        <v>Ô tô vận tải thùng 20 tấn88</v>
      </c>
      <c r="D5192" s="630"/>
      <c r="E5192" s="630"/>
      <c r="F5192" s="630"/>
      <c r="G5192" s="630"/>
    </row>
    <row r="5193" spans="1:7" ht="18.75" x14ac:dyDescent="0.25">
      <c r="A5193" s="629" t="s">
        <v>3059</v>
      </c>
      <c r="B5193" s="630">
        <v>89</v>
      </c>
      <c r="C5193" s="631" t="str">
        <f t="shared" si="86"/>
        <v>Ô tô vận tải thùng 20 tấn89</v>
      </c>
      <c r="D5193" s="630"/>
      <c r="E5193" s="630"/>
      <c r="F5193" s="630"/>
      <c r="G5193" s="630"/>
    </row>
    <row r="5194" spans="1:7" ht="18.75" x14ac:dyDescent="0.25">
      <c r="A5194" s="629" t="s">
        <v>3059</v>
      </c>
      <c r="B5194" s="630">
        <v>90</v>
      </c>
      <c r="C5194" s="631" t="str">
        <f t="shared" si="86"/>
        <v>Ô tô vận tải thùng 20 tấn90</v>
      </c>
      <c r="D5194" s="630"/>
      <c r="E5194" s="630"/>
      <c r="F5194" s="630"/>
      <c r="G5194" s="630"/>
    </row>
    <row r="5195" spans="1:7" ht="18.75" x14ac:dyDescent="0.25">
      <c r="A5195" s="629" t="s">
        <v>3059</v>
      </c>
      <c r="B5195" s="630">
        <v>91</v>
      </c>
      <c r="C5195" s="631" t="str">
        <f t="shared" si="86"/>
        <v>Ô tô vận tải thùng 20 tấn91</v>
      </c>
      <c r="D5195" s="630"/>
      <c r="E5195" s="630"/>
      <c r="F5195" s="630"/>
      <c r="G5195" s="630"/>
    </row>
    <row r="5196" spans="1:7" ht="18.75" x14ac:dyDescent="0.25">
      <c r="A5196" s="629" t="s">
        <v>3059</v>
      </c>
      <c r="B5196" s="630">
        <v>92</v>
      </c>
      <c r="C5196" s="631" t="str">
        <f t="shared" si="86"/>
        <v>Ô tô vận tải thùng 20 tấn92</v>
      </c>
      <c r="D5196" s="630"/>
      <c r="E5196" s="630"/>
      <c r="F5196" s="630"/>
      <c r="G5196" s="630"/>
    </row>
    <row r="5197" spans="1:7" ht="18.75" x14ac:dyDescent="0.25">
      <c r="A5197" s="629" t="s">
        <v>3059</v>
      </c>
      <c r="B5197" s="630">
        <v>93</v>
      </c>
      <c r="C5197" s="631" t="str">
        <f t="shared" si="86"/>
        <v>Ô tô vận tải thùng 20 tấn93</v>
      </c>
      <c r="D5197" s="630"/>
      <c r="E5197" s="630"/>
      <c r="F5197" s="630"/>
      <c r="G5197" s="630"/>
    </row>
    <row r="5198" spans="1:7" ht="18.75" x14ac:dyDescent="0.25">
      <c r="A5198" s="629" t="s">
        <v>3059</v>
      </c>
      <c r="B5198" s="630">
        <v>94</v>
      </c>
      <c r="C5198" s="631" t="str">
        <f t="shared" si="86"/>
        <v>Ô tô vận tải thùng 20 tấn94</v>
      </c>
      <c r="D5198" s="630"/>
      <c r="E5198" s="630"/>
      <c r="F5198" s="630"/>
      <c r="G5198" s="630"/>
    </row>
    <row r="5199" spans="1:7" ht="18.75" x14ac:dyDescent="0.25">
      <c r="A5199" s="629" t="s">
        <v>3059</v>
      </c>
      <c r="B5199" s="630">
        <v>95</v>
      </c>
      <c r="C5199" s="631" t="str">
        <f t="shared" si="86"/>
        <v>Ô tô vận tải thùng 20 tấn95</v>
      </c>
      <c r="D5199" s="630"/>
      <c r="E5199" s="630"/>
      <c r="F5199" s="630"/>
      <c r="G5199" s="630"/>
    </row>
    <row r="5200" spans="1:7" ht="18.75" x14ac:dyDescent="0.25">
      <c r="A5200" s="629" t="s">
        <v>3059</v>
      </c>
      <c r="B5200" s="630">
        <v>96</v>
      </c>
      <c r="C5200" s="631" t="str">
        <f t="shared" si="86"/>
        <v>Ô tô vận tải thùng 20 tấn96</v>
      </c>
      <c r="D5200" s="630"/>
      <c r="E5200" s="630"/>
      <c r="F5200" s="630"/>
      <c r="G5200" s="630"/>
    </row>
    <row r="5201" spans="1:7" ht="18.75" x14ac:dyDescent="0.25">
      <c r="A5201" s="629" t="s">
        <v>3059</v>
      </c>
      <c r="B5201" s="630">
        <v>97</v>
      </c>
      <c r="C5201" s="631" t="str">
        <f t="shared" si="86"/>
        <v>Ô tô vận tải thùng 20 tấn97</v>
      </c>
      <c r="D5201" s="630"/>
      <c r="E5201" s="630"/>
      <c r="F5201" s="630"/>
      <c r="G5201" s="630"/>
    </row>
    <row r="5202" spans="1:7" ht="18.75" x14ac:dyDescent="0.25">
      <c r="A5202" s="629" t="s">
        <v>3059</v>
      </c>
      <c r="B5202" s="630">
        <v>98</v>
      </c>
      <c r="C5202" s="631" t="str">
        <f t="shared" si="86"/>
        <v>Ô tô vận tải thùng 20 tấn98</v>
      </c>
      <c r="D5202" s="630"/>
      <c r="E5202" s="630"/>
      <c r="F5202" s="630"/>
      <c r="G5202" s="630"/>
    </row>
    <row r="5203" spans="1:7" ht="18.75" x14ac:dyDescent="0.25">
      <c r="A5203" s="629" t="s">
        <v>3059</v>
      </c>
      <c r="B5203" s="630">
        <v>99</v>
      </c>
      <c r="C5203" s="631" t="str">
        <f t="shared" si="86"/>
        <v>Ô tô vận tải thùng 20 tấn99</v>
      </c>
      <c r="D5203" s="630"/>
      <c r="E5203" s="630"/>
      <c r="F5203" s="630"/>
      <c r="G5203" s="630"/>
    </row>
    <row r="5204" spans="1:7" ht="18.75" x14ac:dyDescent="0.25">
      <c r="A5204" s="629" t="s">
        <v>3059</v>
      </c>
      <c r="B5204" s="630">
        <v>100</v>
      </c>
      <c r="C5204" s="631" t="str">
        <f t="shared" si="86"/>
        <v>Ô tô vận tải thùng 20 tấn100</v>
      </c>
      <c r="D5204" s="630"/>
      <c r="E5204" s="630"/>
      <c r="F5204" s="630"/>
      <c r="G5204" s="630"/>
    </row>
    <row r="5205" spans="1:7" ht="18.75" x14ac:dyDescent="0.25">
      <c r="A5205" s="629" t="s">
        <v>3059</v>
      </c>
      <c r="B5205" s="630">
        <v>101</v>
      </c>
      <c r="C5205" s="631" t="str">
        <f t="shared" si="86"/>
        <v>Ô tô vận tải thùng 20 tấn101</v>
      </c>
      <c r="D5205" s="398"/>
      <c r="E5205" s="398"/>
      <c r="F5205" s="398"/>
      <c r="G5205" s="398"/>
    </row>
    <row r="5206" spans="1:7" ht="18.75" x14ac:dyDescent="0.25">
      <c r="A5206" s="629" t="s">
        <v>3059</v>
      </c>
      <c r="B5206" s="630">
        <v>102</v>
      </c>
      <c r="C5206" s="631" t="str">
        <f t="shared" si="86"/>
        <v>Ô tô vận tải thùng 20 tấn102</v>
      </c>
      <c r="D5206" s="398"/>
      <c r="E5206" s="398"/>
      <c r="F5206" s="398"/>
      <c r="G5206" s="398"/>
    </row>
    <row r="5207" spans="1:7" ht="18.75" x14ac:dyDescent="0.25">
      <c r="A5207" s="629" t="s">
        <v>3059</v>
      </c>
      <c r="B5207" s="630">
        <v>103</v>
      </c>
      <c r="C5207" s="631" t="str">
        <f t="shared" si="86"/>
        <v>Ô tô vận tải thùng 20 tấn103</v>
      </c>
      <c r="D5207" s="398"/>
      <c r="E5207" s="398"/>
      <c r="F5207" s="398"/>
      <c r="G5207" s="398"/>
    </row>
    <row r="5208" spans="1:7" ht="18.75" x14ac:dyDescent="0.25">
      <c r="A5208" s="629" t="s">
        <v>3059</v>
      </c>
      <c r="B5208" s="630">
        <v>104</v>
      </c>
      <c r="C5208" s="631" t="str">
        <f t="shared" si="86"/>
        <v>Ô tô vận tải thùng 20 tấn104</v>
      </c>
      <c r="D5208" s="398"/>
      <c r="E5208" s="398"/>
      <c r="F5208" s="398"/>
      <c r="G5208" s="398"/>
    </row>
    <row r="5209" spans="1:7" ht="18.75" x14ac:dyDescent="0.25">
      <c r="A5209" s="629" t="s">
        <v>3059</v>
      </c>
      <c r="B5209" s="630">
        <v>105</v>
      </c>
      <c r="C5209" s="631" t="str">
        <f t="shared" si="86"/>
        <v>Ô tô vận tải thùng 20 tấn105</v>
      </c>
      <c r="D5209" s="398"/>
      <c r="E5209" s="398"/>
      <c r="F5209" s="398"/>
      <c r="G5209" s="398"/>
    </row>
    <row r="5210" spans="1:7" ht="18.75" x14ac:dyDescent="0.25">
      <c r="A5210" s="629" t="s">
        <v>3059</v>
      </c>
      <c r="B5210" s="630">
        <v>106</v>
      </c>
      <c r="C5210" s="631" t="str">
        <f t="shared" si="86"/>
        <v>Ô tô vận tải thùng 20 tấn106</v>
      </c>
      <c r="D5210" s="398"/>
      <c r="E5210" s="398"/>
      <c r="F5210" s="398"/>
      <c r="G5210" s="398"/>
    </row>
    <row r="5211" spans="1:7" ht="18.75" x14ac:dyDescent="0.25">
      <c r="A5211" s="629" t="s">
        <v>3059</v>
      </c>
      <c r="B5211" s="630">
        <v>107</v>
      </c>
      <c r="C5211" s="631" t="str">
        <f t="shared" si="86"/>
        <v>Ô tô vận tải thùng 20 tấn107</v>
      </c>
      <c r="D5211" s="398"/>
      <c r="E5211" s="398"/>
      <c r="F5211" s="398"/>
      <c r="G5211" s="398"/>
    </row>
    <row r="5212" spans="1:7" ht="18.75" x14ac:dyDescent="0.25">
      <c r="A5212" s="629" t="s">
        <v>3059</v>
      </c>
      <c r="B5212" s="630">
        <v>108</v>
      </c>
      <c r="C5212" s="631" t="str">
        <f t="shared" si="86"/>
        <v>Ô tô vận tải thùng 20 tấn108</v>
      </c>
      <c r="D5212" s="398"/>
      <c r="E5212" s="398"/>
      <c r="F5212" s="398"/>
      <c r="G5212" s="398"/>
    </row>
    <row r="5213" spans="1:7" ht="18.75" x14ac:dyDescent="0.25">
      <c r="A5213" s="629" t="s">
        <v>3059</v>
      </c>
      <c r="B5213" s="630">
        <v>109</v>
      </c>
      <c r="C5213" s="631" t="str">
        <f t="shared" si="86"/>
        <v>Ô tô vận tải thùng 20 tấn109</v>
      </c>
      <c r="D5213" s="398"/>
      <c r="E5213" s="398"/>
      <c r="F5213" s="398"/>
      <c r="G5213" s="398"/>
    </row>
    <row r="5214" spans="1:7" ht="18.75" x14ac:dyDescent="0.25">
      <c r="A5214" s="629" t="s">
        <v>3059</v>
      </c>
      <c r="B5214" s="630">
        <v>110</v>
      </c>
      <c r="C5214" s="631" t="str">
        <f t="shared" si="86"/>
        <v>Ô tô vận tải thùng 20 tấn110</v>
      </c>
      <c r="D5214" s="398"/>
      <c r="E5214" s="398"/>
      <c r="F5214" s="398"/>
      <c r="G5214" s="398"/>
    </row>
    <row r="5215" spans="1:7" ht="18.75" x14ac:dyDescent="0.25">
      <c r="A5215" s="629" t="s">
        <v>3059</v>
      </c>
      <c r="B5215" s="630">
        <v>111</v>
      </c>
      <c r="C5215" s="631" t="str">
        <f t="shared" si="86"/>
        <v>Ô tô vận tải thùng 20 tấn111</v>
      </c>
      <c r="D5215" s="398"/>
      <c r="E5215" s="398"/>
      <c r="F5215" s="398"/>
      <c r="G5215" s="398"/>
    </row>
    <row r="5216" spans="1:7" ht="18.75" x14ac:dyDescent="0.25">
      <c r="A5216" s="629" t="s">
        <v>3059</v>
      </c>
      <c r="B5216" s="630">
        <v>112</v>
      </c>
      <c r="C5216" s="631" t="str">
        <f t="shared" si="86"/>
        <v>Ô tô vận tải thùng 20 tấn112</v>
      </c>
      <c r="D5216" s="398"/>
      <c r="E5216" s="398"/>
      <c r="F5216" s="398"/>
      <c r="G5216" s="398"/>
    </row>
    <row r="5217" spans="1:7" ht="18.75" x14ac:dyDescent="0.25">
      <c r="A5217" s="629" t="s">
        <v>3059</v>
      </c>
      <c r="B5217" s="630">
        <v>113</v>
      </c>
      <c r="C5217" s="631" t="str">
        <f t="shared" si="86"/>
        <v>Ô tô vận tải thùng 20 tấn113</v>
      </c>
      <c r="D5217" s="398"/>
      <c r="E5217" s="398"/>
      <c r="F5217" s="398"/>
      <c r="G5217" s="398"/>
    </row>
    <row r="5218" spans="1:7" ht="18.75" x14ac:dyDescent="0.25">
      <c r="A5218" s="629" t="s">
        <v>3059</v>
      </c>
      <c r="B5218" s="630">
        <v>114</v>
      </c>
      <c r="C5218" s="631" t="str">
        <f t="shared" si="86"/>
        <v>Ô tô vận tải thùng 20 tấn114</v>
      </c>
      <c r="D5218" s="398"/>
      <c r="E5218" s="398"/>
      <c r="F5218" s="398"/>
      <c r="G5218" s="398"/>
    </row>
    <row r="5219" spans="1:7" ht="18.75" x14ac:dyDescent="0.25">
      <c r="A5219" s="629" t="s">
        <v>3059</v>
      </c>
      <c r="B5219" s="630">
        <v>115</v>
      </c>
      <c r="C5219" s="631" t="str">
        <f t="shared" si="86"/>
        <v>Ô tô vận tải thùng 20 tấn115</v>
      </c>
      <c r="D5219" s="398"/>
      <c r="E5219" s="398"/>
      <c r="F5219" s="398"/>
      <c r="G5219" s="398"/>
    </row>
    <row r="5220" spans="1:7" ht="18.75" x14ac:dyDescent="0.25">
      <c r="A5220" s="629" t="s">
        <v>3059</v>
      </c>
      <c r="B5220" s="630">
        <v>116</v>
      </c>
      <c r="C5220" s="631" t="str">
        <f t="shared" si="86"/>
        <v>Ô tô vận tải thùng 20 tấn116</v>
      </c>
      <c r="D5220" s="398"/>
      <c r="E5220" s="398"/>
      <c r="F5220" s="398"/>
      <c r="G5220" s="398"/>
    </row>
    <row r="5221" spans="1:7" ht="18.75" x14ac:dyDescent="0.25">
      <c r="A5221" s="629" t="s">
        <v>3059</v>
      </c>
      <c r="B5221" s="630">
        <v>117</v>
      </c>
      <c r="C5221" s="631" t="str">
        <f t="shared" si="86"/>
        <v>Ô tô vận tải thùng 20 tấn117</v>
      </c>
      <c r="D5221" s="398"/>
      <c r="E5221" s="398"/>
      <c r="F5221" s="398"/>
      <c r="G5221" s="398"/>
    </row>
    <row r="5222" spans="1:7" ht="18.75" x14ac:dyDescent="0.25">
      <c r="A5222" s="629" t="s">
        <v>3059</v>
      </c>
      <c r="B5222" s="630">
        <v>118</v>
      </c>
      <c r="C5222" s="631" t="str">
        <f t="shared" si="86"/>
        <v>Ô tô vận tải thùng 20 tấn118</v>
      </c>
      <c r="D5222" s="398"/>
      <c r="E5222" s="398"/>
      <c r="F5222" s="398"/>
      <c r="G5222" s="398"/>
    </row>
    <row r="5223" spans="1:7" ht="18.75" x14ac:dyDescent="0.25">
      <c r="A5223" s="629" t="s">
        <v>3059</v>
      </c>
      <c r="B5223" s="630">
        <v>119</v>
      </c>
      <c r="C5223" s="631" t="str">
        <f t="shared" si="86"/>
        <v>Ô tô vận tải thùng 20 tấn119</v>
      </c>
      <c r="D5223" s="398"/>
      <c r="E5223" s="398"/>
      <c r="F5223" s="398"/>
      <c r="G5223" s="398"/>
    </row>
    <row r="5224" spans="1:7" ht="18.75" x14ac:dyDescent="0.25">
      <c r="A5224" s="629" t="s">
        <v>3059</v>
      </c>
      <c r="B5224" s="630">
        <v>120</v>
      </c>
      <c r="C5224" s="631" t="str">
        <f t="shared" si="86"/>
        <v>Ô tô vận tải thùng 20 tấn120</v>
      </c>
      <c r="D5224" s="398"/>
      <c r="E5224" s="398"/>
      <c r="F5224" s="398"/>
      <c r="G5224" s="398"/>
    </row>
    <row r="5225" spans="1:7" ht="18.75" x14ac:dyDescent="0.25">
      <c r="A5225" s="629" t="s">
        <v>3059</v>
      </c>
      <c r="B5225" s="630">
        <v>121</v>
      </c>
      <c r="C5225" s="631" t="str">
        <f t="shared" si="86"/>
        <v>Ô tô vận tải thùng 20 tấn121</v>
      </c>
      <c r="D5225" s="398"/>
      <c r="E5225" s="398"/>
      <c r="F5225" s="398"/>
      <c r="G5225" s="398"/>
    </row>
    <row r="5226" spans="1:7" ht="18.75" x14ac:dyDescent="0.25">
      <c r="A5226" s="629" t="s">
        <v>3059</v>
      </c>
      <c r="B5226" s="630">
        <v>122</v>
      </c>
      <c r="C5226" s="631" t="str">
        <f t="shared" si="86"/>
        <v>Ô tô vận tải thùng 20 tấn122</v>
      </c>
      <c r="D5226" s="398"/>
      <c r="E5226" s="398"/>
      <c r="F5226" s="398"/>
      <c r="G5226" s="398"/>
    </row>
    <row r="5227" spans="1:7" ht="18.75" x14ac:dyDescent="0.25">
      <c r="A5227" s="629" t="s">
        <v>3059</v>
      </c>
      <c r="B5227" s="630">
        <v>123</v>
      </c>
      <c r="C5227" s="631" t="str">
        <f t="shared" si="86"/>
        <v>Ô tô vận tải thùng 20 tấn123</v>
      </c>
      <c r="D5227" s="398"/>
      <c r="E5227" s="398"/>
      <c r="F5227" s="398"/>
      <c r="G5227" s="398"/>
    </row>
    <row r="5228" spans="1:7" ht="18.75" x14ac:dyDescent="0.25">
      <c r="A5228" s="629" t="s">
        <v>3059</v>
      </c>
      <c r="B5228" s="630">
        <v>124</v>
      </c>
      <c r="C5228" s="631" t="str">
        <f t="shared" si="86"/>
        <v>Ô tô vận tải thùng 20 tấn124</v>
      </c>
      <c r="D5228" s="398"/>
      <c r="E5228" s="398"/>
      <c r="F5228" s="398"/>
      <c r="G5228" s="398"/>
    </row>
    <row r="5229" spans="1:7" ht="18.75" x14ac:dyDescent="0.25">
      <c r="A5229" s="629" t="s">
        <v>3059</v>
      </c>
      <c r="B5229" s="630">
        <v>125</v>
      </c>
      <c r="C5229" s="631" t="str">
        <f t="shared" si="86"/>
        <v>Ô tô vận tải thùng 20 tấn125</v>
      </c>
      <c r="D5229" s="398"/>
      <c r="E5229" s="398"/>
      <c r="F5229" s="398"/>
      <c r="G5229" s="398"/>
    </row>
    <row r="5230" spans="1:7" ht="18.75" x14ac:dyDescent="0.25">
      <c r="A5230" s="629" t="s">
        <v>3059</v>
      </c>
      <c r="B5230" s="630">
        <v>126</v>
      </c>
      <c r="C5230" s="631" t="str">
        <f t="shared" si="86"/>
        <v>Ô tô vận tải thùng 20 tấn126</v>
      </c>
      <c r="D5230" s="398"/>
      <c r="E5230" s="398"/>
      <c r="F5230" s="398"/>
      <c r="G5230" s="398"/>
    </row>
    <row r="5231" spans="1:7" ht="18.75" x14ac:dyDescent="0.25">
      <c r="A5231" s="629" t="s">
        <v>3059</v>
      </c>
      <c r="B5231" s="630">
        <v>127</v>
      </c>
      <c r="C5231" s="631" t="str">
        <f t="shared" si="86"/>
        <v>Ô tô vận tải thùng 20 tấn127</v>
      </c>
      <c r="D5231" s="398"/>
      <c r="E5231" s="398"/>
      <c r="F5231" s="398"/>
      <c r="G5231" s="398"/>
    </row>
    <row r="5232" spans="1:7" ht="18.75" x14ac:dyDescent="0.25">
      <c r="A5232" s="629" t="s">
        <v>3059</v>
      </c>
      <c r="B5232" s="630">
        <v>128</v>
      </c>
      <c r="C5232" s="631" t="str">
        <f t="shared" si="86"/>
        <v>Ô tô vận tải thùng 20 tấn128</v>
      </c>
      <c r="D5232" s="398"/>
      <c r="E5232" s="398"/>
      <c r="F5232" s="398"/>
      <c r="G5232" s="398"/>
    </row>
    <row r="5233" spans="1:7" ht="18.75" x14ac:dyDescent="0.25">
      <c r="A5233" s="629" t="s">
        <v>3059</v>
      </c>
      <c r="B5233" s="630">
        <v>129</v>
      </c>
      <c r="C5233" s="631" t="str">
        <f t="shared" si="86"/>
        <v>Ô tô vận tải thùng 20 tấn129</v>
      </c>
      <c r="D5233" s="398"/>
      <c r="E5233" s="398"/>
      <c r="F5233" s="398"/>
      <c r="G5233" s="398"/>
    </row>
    <row r="5234" spans="1:7" ht="18.75" x14ac:dyDescent="0.25">
      <c r="A5234" s="629" t="s">
        <v>3059</v>
      </c>
      <c r="B5234" s="630">
        <v>130</v>
      </c>
      <c r="C5234" s="631" t="str">
        <f t="shared" ref="C5234:C5297" si="87">A5234&amp;B5234</f>
        <v>Ô tô vận tải thùng 20 tấn130</v>
      </c>
      <c r="D5234" s="398"/>
      <c r="E5234" s="398"/>
      <c r="F5234" s="398"/>
      <c r="G5234" s="398"/>
    </row>
    <row r="5235" spans="1:7" ht="18.75" x14ac:dyDescent="0.25">
      <c r="A5235" s="629" t="s">
        <v>3059</v>
      </c>
      <c r="B5235" s="630">
        <v>131</v>
      </c>
      <c r="C5235" s="631" t="str">
        <f t="shared" si="87"/>
        <v>Ô tô vận tải thùng 20 tấn131</v>
      </c>
      <c r="D5235" s="398"/>
      <c r="E5235" s="398"/>
      <c r="F5235" s="398"/>
      <c r="G5235" s="398"/>
    </row>
    <row r="5236" spans="1:7" ht="18.75" x14ac:dyDescent="0.25">
      <c r="A5236" s="629" t="s">
        <v>3059</v>
      </c>
      <c r="B5236" s="630">
        <v>132</v>
      </c>
      <c r="C5236" s="631" t="str">
        <f t="shared" si="87"/>
        <v>Ô tô vận tải thùng 20 tấn132</v>
      </c>
      <c r="D5236" s="398"/>
      <c r="E5236" s="398"/>
      <c r="F5236" s="398"/>
      <c r="G5236" s="398"/>
    </row>
    <row r="5237" spans="1:7" ht="18.75" x14ac:dyDescent="0.25">
      <c r="A5237" s="629" t="s">
        <v>3059</v>
      </c>
      <c r="B5237" s="630">
        <v>133</v>
      </c>
      <c r="C5237" s="631" t="str">
        <f t="shared" si="87"/>
        <v>Ô tô vận tải thùng 20 tấn133</v>
      </c>
      <c r="D5237" s="398"/>
      <c r="E5237" s="398"/>
      <c r="F5237" s="398"/>
      <c r="G5237" s="398"/>
    </row>
    <row r="5238" spans="1:7" ht="18.75" x14ac:dyDescent="0.25">
      <c r="A5238" s="629" t="s">
        <v>3059</v>
      </c>
      <c r="B5238" s="630">
        <v>134</v>
      </c>
      <c r="C5238" s="631" t="str">
        <f t="shared" si="87"/>
        <v>Ô tô vận tải thùng 20 tấn134</v>
      </c>
      <c r="D5238" s="398"/>
      <c r="E5238" s="398"/>
      <c r="F5238" s="398"/>
      <c r="G5238" s="398"/>
    </row>
    <row r="5239" spans="1:7" ht="18.75" x14ac:dyDescent="0.25">
      <c r="A5239" s="629" t="s">
        <v>3059</v>
      </c>
      <c r="B5239" s="630">
        <v>135</v>
      </c>
      <c r="C5239" s="631" t="str">
        <f t="shared" si="87"/>
        <v>Ô tô vận tải thùng 20 tấn135</v>
      </c>
      <c r="D5239" s="398"/>
      <c r="E5239" s="398"/>
      <c r="F5239" s="398"/>
      <c r="G5239" s="398"/>
    </row>
    <row r="5240" spans="1:7" ht="18.75" x14ac:dyDescent="0.25">
      <c r="A5240" s="629" t="s">
        <v>3059</v>
      </c>
      <c r="B5240" s="630">
        <v>136</v>
      </c>
      <c r="C5240" s="631" t="str">
        <f t="shared" si="87"/>
        <v>Ô tô vận tải thùng 20 tấn136</v>
      </c>
      <c r="D5240" s="398"/>
      <c r="E5240" s="398"/>
      <c r="F5240" s="398"/>
      <c r="G5240" s="398"/>
    </row>
    <row r="5241" spans="1:7" ht="18.75" x14ac:dyDescent="0.25">
      <c r="A5241" s="629" t="s">
        <v>3059</v>
      </c>
      <c r="B5241" s="630">
        <v>137</v>
      </c>
      <c r="C5241" s="631" t="str">
        <f t="shared" si="87"/>
        <v>Ô tô vận tải thùng 20 tấn137</v>
      </c>
      <c r="D5241" s="398"/>
      <c r="E5241" s="398"/>
      <c r="F5241" s="398"/>
      <c r="G5241" s="398"/>
    </row>
    <row r="5242" spans="1:7" ht="18.75" x14ac:dyDescent="0.25">
      <c r="A5242" s="629" t="s">
        <v>3059</v>
      </c>
      <c r="B5242" s="630">
        <v>138</v>
      </c>
      <c r="C5242" s="631" t="str">
        <f t="shared" si="87"/>
        <v>Ô tô vận tải thùng 20 tấn138</v>
      </c>
      <c r="D5242" s="398"/>
      <c r="E5242" s="398"/>
      <c r="F5242" s="398"/>
      <c r="G5242" s="398"/>
    </row>
    <row r="5243" spans="1:7" ht="18.75" x14ac:dyDescent="0.25">
      <c r="A5243" s="629" t="s">
        <v>3059</v>
      </c>
      <c r="B5243" s="630">
        <v>139</v>
      </c>
      <c r="C5243" s="631" t="str">
        <f t="shared" si="87"/>
        <v>Ô tô vận tải thùng 20 tấn139</v>
      </c>
      <c r="D5243" s="398"/>
      <c r="E5243" s="398"/>
      <c r="F5243" s="398"/>
      <c r="G5243" s="398"/>
    </row>
    <row r="5244" spans="1:7" ht="18.75" x14ac:dyDescent="0.25">
      <c r="A5244" s="629" t="s">
        <v>3059</v>
      </c>
      <c r="B5244" s="630">
        <v>140</v>
      </c>
      <c r="C5244" s="631" t="str">
        <f t="shared" si="87"/>
        <v>Ô tô vận tải thùng 20 tấn140</v>
      </c>
      <c r="D5244" s="398"/>
      <c r="E5244" s="398"/>
      <c r="F5244" s="398"/>
      <c r="G5244" s="398"/>
    </row>
    <row r="5245" spans="1:7" ht="18.75" x14ac:dyDescent="0.25">
      <c r="A5245" s="629" t="s">
        <v>3059</v>
      </c>
      <c r="B5245" s="630">
        <v>141</v>
      </c>
      <c r="C5245" s="631" t="str">
        <f t="shared" si="87"/>
        <v>Ô tô vận tải thùng 20 tấn141</v>
      </c>
      <c r="D5245" s="398"/>
      <c r="E5245" s="398"/>
      <c r="F5245" s="398"/>
      <c r="G5245" s="398"/>
    </row>
    <row r="5246" spans="1:7" ht="18.75" x14ac:dyDescent="0.25">
      <c r="A5246" s="629" t="s">
        <v>3059</v>
      </c>
      <c r="B5246" s="630">
        <v>142</v>
      </c>
      <c r="C5246" s="631" t="str">
        <f t="shared" si="87"/>
        <v>Ô tô vận tải thùng 20 tấn142</v>
      </c>
      <c r="D5246" s="398"/>
      <c r="E5246" s="398"/>
      <c r="F5246" s="398"/>
      <c r="G5246" s="398"/>
    </row>
    <row r="5247" spans="1:7" ht="18.75" x14ac:dyDescent="0.25">
      <c r="A5247" s="629" t="s">
        <v>3059</v>
      </c>
      <c r="B5247" s="630">
        <v>143</v>
      </c>
      <c r="C5247" s="631" t="str">
        <f t="shared" si="87"/>
        <v>Ô tô vận tải thùng 20 tấn143</v>
      </c>
      <c r="D5247" s="398"/>
      <c r="E5247" s="398"/>
      <c r="F5247" s="398"/>
      <c r="G5247" s="398"/>
    </row>
    <row r="5248" spans="1:7" ht="18.75" x14ac:dyDescent="0.25">
      <c r="A5248" s="629" t="s">
        <v>3059</v>
      </c>
      <c r="B5248" s="630">
        <v>144</v>
      </c>
      <c r="C5248" s="631" t="str">
        <f t="shared" si="87"/>
        <v>Ô tô vận tải thùng 20 tấn144</v>
      </c>
      <c r="D5248" s="398"/>
      <c r="E5248" s="398"/>
      <c r="F5248" s="398"/>
      <c r="G5248" s="398"/>
    </row>
    <row r="5249" spans="1:7" ht="18.75" x14ac:dyDescent="0.25">
      <c r="A5249" s="629" t="s">
        <v>3059</v>
      </c>
      <c r="B5249" s="630">
        <v>145</v>
      </c>
      <c r="C5249" s="631" t="str">
        <f t="shared" si="87"/>
        <v>Ô tô vận tải thùng 20 tấn145</v>
      </c>
      <c r="D5249" s="398"/>
      <c r="E5249" s="398"/>
      <c r="F5249" s="398"/>
      <c r="G5249" s="398"/>
    </row>
    <row r="5250" spans="1:7" ht="18.75" x14ac:dyDescent="0.25">
      <c r="A5250" s="629" t="s">
        <v>3059</v>
      </c>
      <c r="B5250" s="630">
        <v>146</v>
      </c>
      <c r="C5250" s="631" t="str">
        <f t="shared" si="87"/>
        <v>Ô tô vận tải thùng 20 tấn146</v>
      </c>
      <c r="D5250" s="398"/>
      <c r="E5250" s="398"/>
      <c r="F5250" s="398"/>
      <c r="G5250" s="398"/>
    </row>
    <row r="5251" spans="1:7" ht="18.75" x14ac:dyDescent="0.25">
      <c r="A5251" s="629" t="s">
        <v>3059</v>
      </c>
      <c r="B5251" s="630">
        <v>147</v>
      </c>
      <c r="C5251" s="631" t="str">
        <f t="shared" si="87"/>
        <v>Ô tô vận tải thùng 20 tấn147</v>
      </c>
      <c r="D5251" s="398"/>
      <c r="E5251" s="398"/>
      <c r="F5251" s="398"/>
      <c r="G5251" s="398"/>
    </row>
    <row r="5252" spans="1:7" ht="18.75" x14ac:dyDescent="0.25">
      <c r="A5252" s="629" t="s">
        <v>3059</v>
      </c>
      <c r="B5252" s="630">
        <v>148</v>
      </c>
      <c r="C5252" s="631" t="str">
        <f t="shared" si="87"/>
        <v>Ô tô vận tải thùng 20 tấn148</v>
      </c>
      <c r="D5252" s="398"/>
      <c r="E5252" s="398"/>
      <c r="F5252" s="398"/>
      <c r="G5252" s="398"/>
    </row>
    <row r="5253" spans="1:7" ht="18.75" x14ac:dyDescent="0.25">
      <c r="A5253" s="629" t="s">
        <v>3059</v>
      </c>
      <c r="B5253" s="630">
        <v>149</v>
      </c>
      <c r="C5253" s="631" t="str">
        <f t="shared" si="87"/>
        <v>Ô tô vận tải thùng 20 tấn149</v>
      </c>
      <c r="D5253" s="398"/>
      <c r="E5253" s="398"/>
      <c r="F5253" s="398"/>
      <c r="G5253" s="398"/>
    </row>
    <row r="5254" spans="1:7" ht="18.75" x14ac:dyDescent="0.25">
      <c r="A5254" s="629" t="s">
        <v>3059</v>
      </c>
      <c r="B5254" s="630">
        <v>150</v>
      </c>
      <c r="C5254" s="631" t="str">
        <f t="shared" si="87"/>
        <v>Ô tô vận tải thùng 20 tấn150</v>
      </c>
      <c r="D5254" s="398"/>
      <c r="E5254" s="398"/>
      <c r="F5254" s="398"/>
      <c r="G5254" s="398"/>
    </row>
    <row r="5255" spans="1:7" ht="18.75" x14ac:dyDescent="0.25">
      <c r="A5255" s="629" t="s">
        <v>3059</v>
      </c>
      <c r="B5255" s="630">
        <v>151</v>
      </c>
      <c r="C5255" s="631" t="str">
        <f t="shared" si="87"/>
        <v>Ô tô vận tải thùng 20 tấn151</v>
      </c>
      <c r="D5255" s="398"/>
      <c r="E5255" s="398"/>
      <c r="F5255" s="398"/>
      <c r="G5255" s="398"/>
    </row>
    <row r="5256" spans="1:7" ht="18.75" x14ac:dyDescent="0.25">
      <c r="A5256" s="629" t="s">
        <v>3059</v>
      </c>
      <c r="B5256" s="630">
        <v>152</v>
      </c>
      <c r="C5256" s="631" t="str">
        <f t="shared" si="87"/>
        <v>Ô tô vận tải thùng 20 tấn152</v>
      </c>
      <c r="D5256" s="398"/>
      <c r="E5256" s="398"/>
      <c r="F5256" s="398"/>
      <c r="G5256" s="398"/>
    </row>
    <row r="5257" spans="1:7" ht="18.75" x14ac:dyDescent="0.25">
      <c r="A5257" s="629" t="s">
        <v>3059</v>
      </c>
      <c r="B5257" s="630">
        <v>153</v>
      </c>
      <c r="C5257" s="631" t="str">
        <f t="shared" si="87"/>
        <v>Ô tô vận tải thùng 20 tấn153</v>
      </c>
      <c r="D5257" s="398"/>
      <c r="E5257" s="398"/>
      <c r="F5257" s="398"/>
      <c r="G5257" s="398"/>
    </row>
    <row r="5258" spans="1:7" ht="18.75" x14ac:dyDescent="0.25">
      <c r="A5258" s="629" t="s">
        <v>3059</v>
      </c>
      <c r="B5258" s="630">
        <v>154</v>
      </c>
      <c r="C5258" s="631" t="str">
        <f t="shared" si="87"/>
        <v>Ô tô vận tải thùng 20 tấn154</v>
      </c>
      <c r="D5258" s="398"/>
      <c r="E5258" s="398"/>
      <c r="F5258" s="398"/>
      <c r="G5258" s="398"/>
    </row>
    <row r="5259" spans="1:7" ht="18.75" x14ac:dyDescent="0.25">
      <c r="A5259" s="629" t="s">
        <v>3059</v>
      </c>
      <c r="B5259" s="630">
        <v>155</v>
      </c>
      <c r="C5259" s="631" t="str">
        <f t="shared" si="87"/>
        <v>Ô tô vận tải thùng 20 tấn155</v>
      </c>
      <c r="D5259" s="398"/>
      <c r="E5259" s="398"/>
      <c r="F5259" s="398"/>
      <c r="G5259" s="398"/>
    </row>
    <row r="5260" spans="1:7" ht="18.75" x14ac:dyDescent="0.25">
      <c r="A5260" s="629" t="s">
        <v>3059</v>
      </c>
      <c r="B5260" s="630">
        <v>156</v>
      </c>
      <c r="C5260" s="631" t="str">
        <f t="shared" si="87"/>
        <v>Ô tô vận tải thùng 20 tấn156</v>
      </c>
      <c r="D5260" s="398"/>
      <c r="E5260" s="398"/>
      <c r="F5260" s="398"/>
      <c r="G5260" s="398"/>
    </row>
    <row r="5261" spans="1:7" ht="18.75" x14ac:dyDescent="0.25">
      <c r="A5261" s="629" t="s">
        <v>3059</v>
      </c>
      <c r="B5261" s="630">
        <v>157</v>
      </c>
      <c r="C5261" s="631" t="str">
        <f t="shared" si="87"/>
        <v>Ô tô vận tải thùng 20 tấn157</v>
      </c>
      <c r="D5261" s="398"/>
      <c r="E5261" s="398"/>
      <c r="F5261" s="398"/>
      <c r="G5261" s="398"/>
    </row>
    <row r="5262" spans="1:7" ht="18.75" x14ac:dyDescent="0.25">
      <c r="A5262" s="629" t="s">
        <v>3059</v>
      </c>
      <c r="B5262" s="630">
        <v>158</v>
      </c>
      <c r="C5262" s="631" t="str">
        <f t="shared" si="87"/>
        <v>Ô tô vận tải thùng 20 tấn158</v>
      </c>
      <c r="D5262" s="398"/>
      <c r="E5262" s="398"/>
      <c r="F5262" s="398"/>
      <c r="G5262" s="398"/>
    </row>
    <row r="5263" spans="1:7" ht="18.75" x14ac:dyDescent="0.25">
      <c r="A5263" s="629" t="s">
        <v>3059</v>
      </c>
      <c r="B5263" s="630">
        <v>159</v>
      </c>
      <c r="C5263" s="631" t="str">
        <f t="shared" si="87"/>
        <v>Ô tô vận tải thùng 20 tấn159</v>
      </c>
      <c r="D5263" s="398"/>
      <c r="E5263" s="398"/>
      <c r="F5263" s="398"/>
      <c r="G5263" s="398"/>
    </row>
    <row r="5264" spans="1:7" ht="18.75" x14ac:dyDescent="0.25">
      <c r="A5264" s="629" t="s">
        <v>3059</v>
      </c>
      <c r="B5264" s="630">
        <v>160</v>
      </c>
      <c r="C5264" s="631" t="str">
        <f t="shared" si="87"/>
        <v>Ô tô vận tải thùng 20 tấn160</v>
      </c>
      <c r="D5264" s="398"/>
      <c r="E5264" s="398"/>
      <c r="F5264" s="398"/>
      <c r="G5264" s="398"/>
    </row>
    <row r="5265" spans="1:7" ht="18.75" x14ac:dyDescent="0.25">
      <c r="A5265" s="629" t="s">
        <v>3059</v>
      </c>
      <c r="B5265" s="630">
        <v>161</v>
      </c>
      <c r="C5265" s="631" t="str">
        <f t="shared" si="87"/>
        <v>Ô tô vận tải thùng 20 tấn161</v>
      </c>
      <c r="D5265" s="398"/>
      <c r="E5265" s="398"/>
      <c r="F5265" s="398"/>
      <c r="G5265" s="398"/>
    </row>
    <row r="5266" spans="1:7" ht="18.75" x14ac:dyDescent="0.25">
      <c r="A5266" s="629" t="s">
        <v>3059</v>
      </c>
      <c r="B5266" s="630">
        <v>162</v>
      </c>
      <c r="C5266" s="631" t="str">
        <f t="shared" si="87"/>
        <v>Ô tô vận tải thùng 20 tấn162</v>
      </c>
      <c r="D5266" s="398"/>
      <c r="E5266" s="398"/>
      <c r="F5266" s="398"/>
      <c r="G5266" s="398"/>
    </row>
    <row r="5267" spans="1:7" ht="18.75" x14ac:dyDescent="0.25">
      <c r="A5267" s="629" t="s">
        <v>3059</v>
      </c>
      <c r="B5267" s="630">
        <v>163</v>
      </c>
      <c r="C5267" s="631" t="str">
        <f t="shared" si="87"/>
        <v>Ô tô vận tải thùng 20 tấn163</v>
      </c>
      <c r="D5267" s="398"/>
      <c r="E5267" s="398"/>
      <c r="F5267" s="398"/>
      <c r="G5267" s="398"/>
    </row>
    <row r="5268" spans="1:7" ht="18.75" x14ac:dyDescent="0.25">
      <c r="A5268" s="629" t="s">
        <v>3059</v>
      </c>
      <c r="B5268" s="630">
        <v>164</v>
      </c>
      <c r="C5268" s="631" t="str">
        <f t="shared" si="87"/>
        <v>Ô tô vận tải thùng 20 tấn164</v>
      </c>
      <c r="D5268" s="398"/>
      <c r="E5268" s="398"/>
      <c r="F5268" s="398"/>
      <c r="G5268" s="398"/>
    </row>
    <row r="5269" spans="1:7" ht="18.75" x14ac:dyDescent="0.25">
      <c r="A5269" s="629" t="s">
        <v>3059</v>
      </c>
      <c r="B5269" s="630">
        <v>165</v>
      </c>
      <c r="C5269" s="631" t="str">
        <f t="shared" si="87"/>
        <v>Ô tô vận tải thùng 20 tấn165</v>
      </c>
      <c r="D5269" s="398"/>
      <c r="E5269" s="398"/>
      <c r="F5269" s="398"/>
      <c r="G5269" s="398"/>
    </row>
    <row r="5270" spans="1:7" ht="18.75" x14ac:dyDescent="0.25">
      <c r="A5270" s="629" t="s">
        <v>3059</v>
      </c>
      <c r="B5270" s="630">
        <v>166</v>
      </c>
      <c r="C5270" s="631" t="str">
        <f t="shared" si="87"/>
        <v>Ô tô vận tải thùng 20 tấn166</v>
      </c>
      <c r="D5270" s="398"/>
      <c r="E5270" s="398"/>
      <c r="F5270" s="398"/>
      <c r="G5270" s="398"/>
    </row>
    <row r="5271" spans="1:7" ht="18.75" x14ac:dyDescent="0.25">
      <c r="A5271" s="629" t="s">
        <v>3059</v>
      </c>
      <c r="B5271" s="630">
        <v>167</v>
      </c>
      <c r="C5271" s="631" t="str">
        <f t="shared" si="87"/>
        <v>Ô tô vận tải thùng 20 tấn167</v>
      </c>
      <c r="D5271" s="398"/>
      <c r="E5271" s="398"/>
      <c r="F5271" s="398"/>
      <c r="G5271" s="398"/>
    </row>
    <row r="5272" spans="1:7" ht="18.75" x14ac:dyDescent="0.25">
      <c r="A5272" s="629" t="s">
        <v>3059</v>
      </c>
      <c r="B5272" s="630">
        <v>168</v>
      </c>
      <c r="C5272" s="631" t="str">
        <f t="shared" si="87"/>
        <v>Ô tô vận tải thùng 20 tấn168</v>
      </c>
      <c r="D5272" s="398"/>
      <c r="E5272" s="398"/>
      <c r="F5272" s="398"/>
      <c r="G5272" s="398"/>
    </row>
    <row r="5273" spans="1:7" ht="18.75" x14ac:dyDescent="0.25">
      <c r="A5273" s="629" t="s">
        <v>3059</v>
      </c>
      <c r="B5273" s="630">
        <v>169</v>
      </c>
      <c r="C5273" s="631" t="str">
        <f t="shared" si="87"/>
        <v>Ô tô vận tải thùng 20 tấn169</v>
      </c>
      <c r="D5273" s="398"/>
      <c r="E5273" s="398"/>
      <c r="F5273" s="398"/>
      <c r="G5273" s="398"/>
    </row>
    <row r="5274" spans="1:7" ht="18.75" x14ac:dyDescent="0.25">
      <c r="A5274" s="629" t="s">
        <v>3059</v>
      </c>
      <c r="B5274" s="630">
        <v>170</v>
      </c>
      <c r="C5274" s="631" t="str">
        <f t="shared" si="87"/>
        <v>Ô tô vận tải thùng 20 tấn170</v>
      </c>
      <c r="D5274" s="398"/>
      <c r="E5274" s="398"/>
      <c r="F5274" s="398"/>
      <c r="G5274" s="398"/>
    </row>
    <row r="5275" spans="1:7" ht="18.75" x14ac:dyDescent="0.25">
      <c r="A5275" s="629" t="s">
        <v>3059</v>
      </c>
      <c r="B5275" s="630">
        <v>171</v>
      </c>
      <c r="C5275" s="631" t="str">
        <f t="shared" si="87"/>
        <v>Ô tô vận tải thùng 20 tấn171</v>
      </c>
      <c r="D5275" s="398"/>
      <c r="E5275" s="398"/>
      <c r="F5275" s="398"/>
      <c r="G5275" s="398"/>
    </row>
    <row r="5276" spans="1:7" ht="18.75" x14ac:dyDescent="0.25">
      <c r="A5276" s="629" t="s">
        <v>3059</v>
      </c>
      <c r="B5276" s="630">
        <v>172</v>
      </c>
      <c r="C5276" s="631" t="str">
        <f t="shared" si="87"/>
        <v>Ô tô vận tải thùng 20 tấn172</v>
      </c>
      <c r="D5276" s="398"/>
      <c r="E5276" s="398"/>
      <c r="F5276" s="398"/>
      <c r="G5276" s="398"/>
    </row>
    <row r="5277" spans="1:7" ht="18.75" x14ac:dyDescent="0.25">
      <c r="A5277" s="629" t="s">
        <v>3059</v>
      </c>
      <c r="B5277" s="630">
        <v>173</v>
      </c>
      <c r="C5277" s="631" t="str">
        <f t="shared" si="87"/>
        <v>Ô tô vận tải thùng 20 tấn173</v>
      </c>
      <c r="D5277" s="398"/>
      <c r="E5277" s="398"/>
      <c r="F5277" s="398"/>
      <c r="G5277" s="398"/>
    </row>
    <row r="5278" spans="1:7" ht="18.75" x14ac:dyDescent="0.25">
      <c r="A5278" s="629" t="s">
        <v>3059</v>
      </c>
      <c r="B5278" s="630">
        <v>174</v>
      </c>
      <c r="C5278" s="631" t="str">
        <f t="shared" si="87"/>
        <v>Ô tô vận tải thùng 20 tấn174</v>
      </c>
      <c r="D5278" s="398"/>
      <c r="E5278" s="398"/>
      <c r="F5278" s="398"/>
      <c r="G5278" s="398"/>
    </row>
    <row r="5279" spans="1:7" ht="18.75" x14ac:dyDescent="0.25">
      <c r="A5279" s="629" t="s">
        <v>3059</v>
      </c>
      <c r="B5279" s="630">
        <v>175</v>
      </c>
      <c r="C5279" s="631" t="str">
        <f t="shared" si="87"/>
        <v>Ô tô vận tải thùng 20 tấn175</v>
      </c>
      <c r="D5279" s="398"/>
      <c r="E5279" s="398"/>
      <c r="F5279" s="398"/>
      <c r="G5279" s="398"/>
    </row>
    <row r="5280" spans="1:7" ht="18.75" x14ac:dyDescent="0.25">
      <c r="A5280" s="629" t="s">
        <v>3059</v>
      </c>
      <c r="B5280" s="630">
        <v>176</v>
      </c>
      <c r="C5280" s="631" t="str">
        <f t="shared" si="87"/>
        <v>Ô tô vận tải thùng 20 tấn176</v>
      </c>
      <c r="D5280" s="398"/>
      <c r="E5280" s="398"/>
      <c r="F5280" s="398"/>
      <c r="G5280" s="398"/>
    </row>
    <row r="5281" spans="1:7" ht="18.75" x14ac:dyDescent="0.25">
      <c r="A5281" s="629" t="s">
        <v>3059</v>
      </c>
      <c r="B5281" s="630">
        <v>177</v>
      </c>
      <c r="C5281" s="631" t="str">
        <f t="shared" si="87"/>
        <v>Ô tô vận tải thùng 20 tấn177</v>
      </c>
      <c r="D5281" s="398"/>
      <c r="E5281" s="398"/>
      <c r="F5281" s="398"/>
      <c r="G5281" s="398"/>
    </row>
    <row r="5282" spans="1:7" ht="18.75" x14ac:dyDescent="0.25">
      <c r="A5282" s="629" t="s">
        <v>3059</v>
      </c>
      <c r="B5282" s="630">
        <v>178</v>
      </c>
      <c r="C5282" s="631" t="str">
        <f t="shared" si="87"/>
        <v>Ô tô vận tải thùng 20 tấn178</v>
      </c>
      <c r="D5282" s="398"/>
      <c r="E5282" s="398"/>
      <c r="F5282" s="398"/>
      <c r="G5282" s="398"/>
    </row>
    <row r="5283" spans="1:7" ht="18.75" x14ac:dyDescent="0.25">
      <c r="A5283" s="629" t="s">
        <v>3059</v>
      </c>
      <c r="B5283" s="630">
        <v>179</v>
      </c>
      <c r="C5283" s="631" t="str">
        <f t="shared" si="87"/>
        <v>Ô tô vận tải thùng 20 tấn179</v>
      </c>
      <c r="D5283" s="398"/>
      <c r="E5283" s="398"/>
      <c r="F5283" s="398"/>
      <c r="G5283" s="398"/>
    </row>
    <row r="5284" spans="1:7" ht="18.75" x14ac:dyDescent="0.25">
      <c r="A5284" s="629" t="s">
        <v>3059</v>
      </c>
      <c r="B5284" s="630">
        <v>180</v>
      </c>
      <c r="C5284" s="631" t="str">
        <f t="shared" si="87"/>
        <v>Ô tô vận tải thùng 20 tấn180</v>
      </c>
      <c r="D5284" s="398"/>
      <c r="E5284" s="398"/>
      <c r="F5284" s="398"/>
      <c r="G5284" s="398"/>
    </row>
    <row r="5285" spans="1:7" ht="18.75" x14ac:dyDescent="0.25">
      <c r="A5285" s="629" t="s">
        <v>3059</v>
      </c>
      <c r="B5285" s="630">
        <v>181</v>
      </c>
      <c r="C5285" s="631" t="str">
        <f t="shared" si="87"/>
        <v>Ô tô vận tải thùng 20 tấn181</v>
      </c>
      <c r="D5285" s="398"/>
      <c r="E5285" s="398"/>
      <c r="F5285" s="398"/>
      <c r="G5285" s="398"/>
    </row>
    <row r="5286" spans="1:7" ht="18.75" x14ac:dyDescent="0.25">
      <c r="A5286" s="629" t="s">
        <v>3059</v>
      </c>
      <c r="B5286" s="630">
        <v>182</v>
      </c>
      <c r="C5286" s="631" t="str">
        <f t="shared" si="87"/>
        <v>Ô tô vận tải thùng 20 tấn182</v>
      </c>
      <c r="D5286" s="398"/>
      <c r="E5286" s="398"/>
      <c r="F5286" s="398"/>
      <c r="G5286" s="398"/>
    </row>
    <row r="5287" spans="1:7" ht="18.75" x14ac:dyDescent="0.25">
      <c r="A5287" s="629" t="s">
        <v>3059</v>
      </c>
      <c r="B5287" s="630">
        <v>183</v>
      </c>
      <c r="C5287" s="631" t="str">
        <f t="shared" si="87"/>
        <v>Ô tô vận tải thùng 20 tấn183</v>
      </c>
      <c r="D5287" s="398"/>
      <c r="E5287" s="398"/>
      <c r="F5287" s="398"/>
      <c r="G5287" s="398"/>
    </row>
    <row r="5288" spans="1:7" ht="18.75" x14ac:dyDescent="0.25">
      <c r="A5288" s="629" t="s">
        <v>3059</v>
      </c>
      <c r="B5288" s="630">
        <v>184</v>
      </c>
      <c r="C5288" s="631" t="str">
        <f t="shared" si="87"/>
        <v>Ô tô vận tải thùng 20 tấn184</v>
      </c>
      <c r="D5288" s="398"/>
      <c r="E5288" s="398"/>
      <c r="F5288" s="398"/>
      <c r="G5288" s="398"/>
    </row>
    <row r="5289" spans="1:7" ht="18.75" x14ac:dyDescent="0.25">
      <c r="A5289" s="629" t="s">
        <v>3059</v>
      </c>
      <c r="B5289" s="630">
        <v>185</v>
      </c>
      <c r="C5289" s="631" t="str">
        <f t="shared" si="87"/>
        <v>Ô tô vận tải thùng 20 tấn185</v>
      </c>
      <c r="D5289" s="398"/>
      <c r="E5289" s="398"/>
      <c r="F5289" s="398"/>
      <c r="G5289" s="398"/>
    </row>
    <row r="5290" spans="1:7" ht="18.75" x14ac:dyDescent="0.25">
      <c r="A5290" s="629" t="s">
        <v>3059</v>
      </c>
      <c r="B5290" s="630">
        <v>186</v>
      </c>
      <c r="C5290" s="631" t="str">
        <f t="shared" si="87"/>
        <v>Ô tô vận tải thùng 20 tấn186</v>
      </c>
      <c r="D5290" s="398"/>
      <c r="E5290" s="398"/>
      <c r="F5290" s="398"/>
      <c r="G5290" s="398"/>
    </row>
    <row r="5291" spans="1:7" ht="18.75" x14ac:dyDescent="0.25">
      <c r="A5291" s="629" t="s">
        <v>3059</v>
      </c>
      <c r="B5291" s="630">
        <v>187</v>
      </c>
      <c r="C5291" s="631" t="str">
        <f t="shared" si="87"/>
        <v>Ô tô vận tải thùng 20 tấn187</v>
      </c>
      <c r="D5291" s="398"/>
      <c r="E5291" s="398"/>
      <c r="F5291" s="398"/>
      <c r="G5291" s="398"/>
    </row>
    <row r="5292" spans="1:7" ht="18.75" x14ac:dyDescent="0.25">
      <c r="A5292" s="629" t="s">
        <v>3059</v>
      </c>
      <c r="B5292" s="630">
        <v>188</v>
      </c>
      <c r="C5292" s="631" t="str">
        <f t="shared" si="87"/>
        <v>Ô tô vận tải thùng 20 tấn188</v>
      </c>
      <c r="D5292" s="398"/>
      <c r="E5292" s="398"/>
      <c r="F5292" s="398"/>
      <c r="G5292" s="398"/>
    </row>
    <row r="5293" spans="1:7" ht="18.75" x14ac:dyDescent="0.25">
      <c r="A5293" s="629" t="s">
        <v>3059</v>
      </c>
      <c r="B5293" s="630">
        <v>189</v>
      </c>
      <c r="C5293" s="631" t="str">
        <f t="shared" si="87"/>
        <v>Ô tô vận tải thùng 20 tấn189</v>
      </c>
      <c r="D5293" s="398"/>
      <c r="E5293" s="398"/>
      <c r="F5293" s="398"/>
      <c r="G5293" s="398"/>
    </row>
    <row r="5294" spans="1:7" ht="18.75" x14ac:dyDescent="0.25">
      <c r="A5294" s="629" t="s">
        <v>3059</v>
      </c>
      <c r="B5294" s="630">
        <v>190</v>
      </c>
      <c r="C5294" s="631" t="str">
        <f t="shared" si="87"/>
        <v>Ô tô vận tải thùng 20 tấn190</v>
      </c>
      <c r="D5294" s="398"/>
      <c r="E5294" s="398"/>
      <c r="F5294" s="398"/>
      <c r="G5294" s="398"/>
    </row>
    <row r="5295" spans="1:7" ht="18.75" x14ac:dyDescent="0.25">
      <c r="A5295" s="629" t="s">
        <v>3059</v>
      </c>
      <c r="B5295" s="630">
        <v>191</v>
      </c>
      <c r="C5295" s="631" t="str">
        <f t="shared" si="87"/>
        <v>Ô tô vận tải thùng 20 tấn191</v>
      </c>
      <c r="D5295" s="398"/>
      <c r="E5295" s="398"/>
      <c r="F5295" s="398"/>
      <c r="G5295" s="398"/>
    </row>
    <row r="5296" spans="1:7" ht="18.75" x14ac:dyDescent="0.25">
      <c r="A5296" s="629" t="s">
        <v>3059</v>
      </c>
      <c r="B5296" s="630">
        <v>192</v>
      </c>
      <c r="C5296" s="631" t="str">
        <f t="shared" si="87"/>
        <v>Ô tô vận tải thùng 20 tấn192</v>
      </c>
      <c r="D5296" s="398"/>
      <c r="E5296" s="398"/>
      <c r="F5296" s="398"/>
      <c r="G5296" s="398"/>
    </row>
    <row r="5297" spans="1:7" ht="18.75" x14ac:dyDescent="0.25">
      <c r="A5297" s="629" t="s">
        <v>3059</v>
      </c>
      <c r="B5297" s="630">
        <v>193</v>
      </c>
      <c r="C5297" s="631" t="str">
        <f t="shared" si="87"/>
        <v>Ô tô vận tải thùng 20 tấn193</v>
      </c>
      <c r="D5297" s="398"/>
      <c r="E5297" s="398"/>
      <c r="F5297" s="398"/>
      <c r="G5297" s="398"/>
    </row>
    <row r="5298" spans="1:7" ht="18.75" x14ac:dyDescent="0.25">
      <c r="A5298" s="629" t="s">
        <v>3059</v>
      </c>
      <c r="B5298" s="630">
        <v>194</v>
      </c>
      <c r="C5298" s="631" t="str">
        <f t="shared" ref="C5298:C5361" si="88">A5298&amp;B5298</f>
        <v>Ô tô vận tải thùng 20 tấn194</v>
      </c>
      <c r="D5298" s="398"/>
      <c r="E5298" s="398"/>
      <c r="F5298" s="398"/>
      <c r="G5298" s="398"/>
    </row>
    <row r="5299" spans="1:7" ht="18.75" x14ac:dyDescent="0.25">
      <c r="A5299" s="629" t="s">
        <v>3059</v>
      </c>
      <c r="B5299" s="630">
        <v>195</v>
      </c>
      <c r="C5299" s="631" t="str">
        <f t="shared" si="88"/>
        <v>Ô tô vận tải thùng 20 tấn195</v>
      </c>
      <c r="D5299" s="398"/>
      <c r="E5299" s="398"/>
      <c r="F5299" s="398"/>
      <c r="G5299" s="398"/>
    </row>
    <row r="5300" spans="1:7" ht="18.75" x14ac:dyDescent="0.25">
      <c r="A5300" s="629" t="s">
        <v>3059</v>
      </c>
      <c r="B5300" s="630">
        <v>196</v>
      </c>
      <c r="C5300" s="631" t="str">
        <f t="shared" si="88"/>
        <v>Ô tô vận tải thùng 20 tấn196</v>
      </c>
      <c r="D5300" s="398"/>
      <c r="E5300" s="398"/>
      <c r="F5300" s="398"/>
      <c r="G5300" s="398"/>
    </row>
    <row r="5301" spans="1:7" ht="18.75" x14ac:dyDescent="0.25">
      <c r="A5301" s="629" t="s">
        <v>3059</v>
      </c>
      <c r="B5301" s="630">
        <v>197</v>
      </c>
      <c r="C5301" s="631" t="str">
        <f t="shared" si="88"/>
        <v>Ô tô vận tải thùng 20 tấn197</v>
      </c>
      <c r="D5301" s="398"/>
      <c r="E5301" s="398"/>
      <c r="F5301" s="398"/>
      <c r="G5301" s="398"/>
    </row>
    <row r="5302" spans="1:7" ht="18.75" x14ac:dyDescent="0.25">
      <c r="A5302" s="629" t="s">
        <v>3059</v>
      </c>
      <c r="B5302" s="630">
        <v>198</v>
      </c>
      <c r="C5302" s="631" t="str">
        <f t="shared" si="88"/>
        <v>Ô tô vận tải thùng 20 tấn198</v>
      </c>
      <c r="D5302" s="398"/>
      <c r="E5302" s="398"/>
      <c r="F5302" s="398"/>
      <c r="G5302" s="398"/>
    </row>
    <row r="5303" spans="1:7" ht="18.75" x14ac:dyDescent="0.25">
      <c r="A5303" s="629" t="s">
        <v>3059</v>
      </c>
      <c r="B5303" s="630">
        <v>199</v>
      </c>
      <c r="C5303" s="631" t="str">
        <f t="shared" si="88"/>
        <v>Ô tô vận tải thùng 20 tấn199</v>
      </c>
      <c r="D5303" s="398"/>
      <c r="E5303" s="398"/>
      <c r="F5303" s="398"/>
      <c r="G5303" s="398"/>
    </row>
    <row r="5304" spans="1:7" ht="18.75" x14ac:dyDescent="0.25">
      <c r="A5304" s="629" t="s">
        <v>3059</v>
      </c>
      <c r="B5304" s="630">
        <v>200</v>
      </c>
      <c r="C5304" s="631" t="str">
        <f t="shared" si="88"/>
        <v>Ô tô vận tải thùng 20 tấn200</v>
      </c>
      <c r="D5304" s="398"/>
      <c r="E5304" s="398"/>
      <c r="F5304" s="398"/>
      <c r="G5304" s="398"/>
    </row>
    <row r="5305" spans="1:7" ht="18.75" x14ac:dyDescent="0.25">
      <c r="A5305" s="629" t="s">
        <v>3059</v>
      </c>
      <c r="B5305" s="630">
        <v>201</v>
      </c>
      <c r="C5305" s="631" t="str">
        <f t="shared" si="88"/>
        <v>Ô tô vận tải thùng 20 tấn201</v>
      </c>
      <c r="D5305" s="398"/>
      <c r="E5305" s="398"/>
      <c r="F5305" s="398"/>
      <c r="G5305" s="398"/>
    </row>
    <row r="5306" spans="1:7" ht="18.75" x14ac:dyDescent="0.25">
      <c r="A5306" s="629" t="s">
        <v>3059</v>
      </c>
      <c r="B5306" s="630">
        <v>202</v>
      </c>
      <c r="C5306" s="631" t="str">
        <f t="shared" si="88"/>
        <v>Ô tô vận tải thùng 20 tấn202</v>
      </c>
      <c r="D5306" s="398"/>
      <c r="E5306" s="398"/>
      <c r="F5306" s="398"/>
      <c r="G5306" s="398"/>
    </row>
    <row r="5307" spans="1:7" ht="18.75" x14ac:dyDescent="0.25">
      <c r="A5307" s="629" t="s">
        <v>3059</v>
      </c>
      <c r="B5307" s="630">
        <v>203</v>
      </c>
      <c r="C5307" s="631" t="str">
        <f t="shared" si="88"/>
        <v>Ô tô vận tải thùng 20 tấn203</v>
      </c>
      <c r="D5307" s="398"/>
      <c r="E5307" s="398"/>
      <c r="F5307" s="398"/>
      <c r="G5307" s="398"/>
    </row>
    <row r="5308" spans="1:7" ht="18.75" x14ac:dyDescent="0.25">
      <c r="A5308" s="629" t="s">
        <v>3059</v>
      </c>
      <c r="B5308" s="630">
        <v>204</v>
      </c>
      <c r="C5308" s="631" t="str">
        <f t="shared" si="88"/>
        <v>Ô tô vận tải thùng 20 tấn204</v>
      </c>
      <c r="D5308" s="398"/>
      <c r="E5308" s="398"/>
      <c r="F5308" s="398"/>
      <c r="G5308" s="398"/>
    </row>
    <row r="5309" spans="1:7" ht="18.75" x14ac:dyDescent="0.25">
      <c r="A5309" s="629" t="s">
        <v>3059</v>
      </c>
      <c r="B5309" s="630">
        <v>205</v>
      </c>
      <c r="C5309" s="631" t="str">
        <f t="shared" si="88"/>
        <v>Ô tô vận tải thùng 20 tấn205</v>
      </c>
      <c r="D5309" s="398"/>
      <c r="E5309" s="398"/>
      <c r="F5309" s="398"/>
      <c r="G5309" s="398"/>
    </row>
    <row r="5310" spans="1:7" ht="18.75" x14ac:dyDescent="0.25">
      <c r="A5310" s="629" t="s">
        <v>3059</v>
      </c>
      <c r="B5310" s="630">
        <v>206</v>
      </c>
      <c r="C5310" s="631" t="str">
        <f t="shared" si="88"/>
        <v>Ô tô vận tải thùng 20 tấn206</v>
      </c>
      <c r="D5310" s="398"/>
      <c r="E5310" s="398"/>
      <c r="F5310" s="398"/>
      <c r="G5310" s="398"/>
    </row>
    <row r="5311" spans="1:7" ht="18.75" x14ac:dyDescent="0.25">
      <c r="A5311" s="629" t="s">
        <v>3059</v>
      </c>
      <c r="B5311" s="630">
        <v>207</v>
      </c>
      <c r="C5311" s="631" t="str">
        <f t="shared" si="88"/>
        <v>Ô tô vận tải thùng 20 tấn207</v>
      </c>
      <c r="D5311" s="398"/>
      <c r="E5311" s="398"/>
      <c r="F5311" s="398"/>
      <c r="G5311" s="398"/>
    </row>
    <row r="5312" spans="1:7" ht="18.75" x14ac:dyDescent="0.25">
      <c r="A5312" s="629" t="s">
        <v>3059</v>
      </c>
      <c r="B5312" s="630">
        <v>208</v>
      </c>
      <c r="C5312" s="631" t="str">
        <f t="shared" si="88"/>
        <v>Ô tô vận tải thùng 20 tấn208</v>
      </c>
      <c r="D5312" s="398"/>
      <c r="E5312" s="398"/>
      <c r="F5312" s="398"/>
      <c r="G5312" s="398"/>
    </row>
    <row r="5313" spans="1:7" ht="18.75" x14ac:dyDescent="0.25">
      <c r="A5313" s="629" t="s">
        <v>3059</v>
      </c>
      <c r="B5313" s="630">
        <v>209</v>
      </c>
      <c r="C5313" s="631" t="str">
        <f t="shared" si="88"/>
        <v>Ô tô vận tải thùng 20 tấn209</v>
      </c>
      <c r="D5313" s="398"/>
      <c r="E5313" s="398"/>
      <c r="F5313" s="398"/>
      <c r="G5313" s="398"/>
    </row>
    <row r="5314" spans="1:7" ht="18.75" x14ac:dyDescent="0.25">
      <c r="A5314" s="629" t="s">
        <v>3059</v>
      </c>
      <c r="B5314" s="630">
        <v>210</v>
      </c>
      <c r="C5314" s="631" t="str">
        <f t="shared" si="88"/>
        <v>Ô tô vận tải thùng 20 tấn210</v>
      </c>
      <c r="D5314" s="398"/>
      <c r="E5314" s="398"/>
      <c r="F5314" s="398"/>
      <c r="G5314" s="398"/>
    </row>
    <row r="5315" spans="1:7" ht="18.75" x14ac:dyDescent="0.25">
      <c r="A5315" s="629" t="s">
        <v>3059</v>
      </c>
      <c r="B5315" s="630">
        <v>211</v>
      </c>
      <c r="C5315" s="631" t="str">
        <f t="shared" si="88"/>
        <v>Ô tô vận tải thùng 20 tấn211</v>
      </c>
      <c r="D5315" s="398"/>
      <c r="E5315" s="398"/>
      <c r="F5315" s="398"/>
      <c r="G5315" s="398"/>
    </row>
    <row r="5316" spans="1:7" ht="18.75" x14ac:dyDescent="0.25">
      <c r="A5316" s="629" t="s">
        <v>3059</v>
      </c>
      <c r="B5316" s="630">
        <v>212</v>
      </c>
      <c r="C5316" s="631" t="str">
        <f t="shared" si="88"/>
        <v>Ô tô vận tải thùng 20 tấn212</v>
      </c>
      <c r="D5316" s="398"/>
      <c r="E5316" s="398"/>
      <c r="F5316" s="398"/>
      <c r="G5316" s="398"/>
    </row>
    <row r="5317" spans="1:7" ht="18.75" x14ac:dyDescent="0.25">
      <c r="A5317" s="629" t="s">
        <v>3059</v>
      </c>
      <c r="B5317" s="630">
        <v>213</v>
      </c>
      <c r="C5317" s="631" t="str">
        <f t="shared" si="88"/>
        <v>Ô tô vận tải thùng 20 tấn213</v>
      </c>
      <c r="D5317" s="398"/>
      <c r="E5317" s="398"/>
      <c r="F5317" s="398"/>
      <c r="G5317" s="398"/>
    </row>
    <row r="5318" spans="1:7" ht="18.75" x14ac:dyDescent="0.25">
      <c r="A5318" s="629" t="s">
        <v>3059</v>
      </c>
      <c r="B5318" s="630">
        <v>214</v>
      </c>
      <c r="C5318" s="631" t="str">
        <f t="shared" si="88"/>
        <v>Ô tô vận tải thùng 20 tấn214</v>
      </c>
      <c r="D5318" s="398"/>
      <c r="E5318" s="398"/>
      <c r="F5318" s="398"/>
      <c r="G5318" s="398"/>
    </row>
    <row r="5319" spans="1:7" ht="18.75" x14ac:dyDescent="0.25">
      <c r="A5319" s="629" t="s">
        <v>3059</v>
      </c>
      <c r="B5319" s="630">
        <v>215</v>
      </c>
      <c r="C5319" s="631" t="str">
        <f t="shared" si="88"/>
        <v>Ô tô vận tải thùng 20 tấn215</v>
      </c>
      <c r="D5319" s="398"/>
      <c r="E5319" s="398"/>
      <c r="F5319" s="398"/>
      <c r="G5319" s="398"/>
    </row>
    <row r="5320" spans="1:7" ht="18.75" x14ac:dyDescent="0.25">
      <c r="A5320" s="629" t="s">
        <v>3059</v>
      </c>
      <c r="B5320" s="630">
        <v>216</v>
      </c>
      <c r="C5320" s="631" t="str">
        <f t="shared" si="88"/>
        <v>Ô tô vận tải thùng 20 tấn216</v>
      </c>
      <c r="D5320" s="398"/>
      <c r="E5320" s="398"/>
      <c r="F5320" s="398"/>
      <c r="G5320" s="398"/>
    </row>
    <row r="5321" spans="1:7" ht="18.75" x14ac:dyDescent="0.25">
      <c r="A5321" s="629" t="s">
        <v>3059</v>
      </c>
      <c r="B5321" s="630">
        <v>217</v>
      </c>
      <c r="C5321" s="631" t="str">
        <f t="shared" si="88"/>
        <v>Ô tô vận tải thùng 20 tấn217</v>
      </c>
      <c r="D5321" s="398"/>
      <c r="E5321" s="398"/>
      <c r="F5321" s="398"/>
      <c r="G5321" s="398"/>
    </row>
    <row r="5322" spans="1:7" ht="18.75" x14ac:dyDescent="0.25">
      <c r="A5322" s="629" t="s">
        <v>3059</v>
      </c>
      <c r="B5322" s="630">
        <v>218</v>
      </c>
      <c r="C5322" s="631" t="str">
        <f t="shared" si="88"/>
        <v>Ô tô vận tải thùng 20 tấn218</v>
      </c>
      <c r="D5322" s="398"/>
      <c r="E5322" s="398"/>
      <c r="F5322" s="398"/>
      <c r="G5322" s="398"/>
    </row>
    <row r="5323" spans="1:7" ht="18.75" x14ac:dyDescent="0.25">
      <c r="A5323" s="629" t="s">
        <v>3059</v>
      </c>
      <c r="B5323" s="630">
        <v>219</v>
      </c>
      <c r="C5323" s="631" t="str">
        <f t="shared" si="88"/>
        <v>Ô tô vận tải thùng 20 tấn219</v>
      </c>
      <c r="D5323" s="398"/>
      <c r="E5323" s="398"/>
      <c r="F5323" s="398"/>
      <c r="G5323" s="398"/>
    </row>
    <row r="5324" spans="1:7" ht="18.75" x14ac:dyDescent="0.25">
      <c r="A5324" s="629" t="s">
        <v>3059</v>
      </c>
      <c r="B5324" s="630">
        <v>220</v>
      </c>
      <c r="C5324" s="631" t="str">
        <f t="shared" si="88"/>
        <v>Ô tô vận tải thùng 20 tấn220</v>
      </c>
      <c r="D5324" s="398"/>
      <c r="E5324" s="398"/>
      <c r="F5324" s="398"/>
      <c r="G5324" s="398"/>
    </row>
    <row r="5325" spans="1:7" ht="18.75" x14ac:dyDescent="0.25">
      <c r="A5325" s="629" t="s">
        <v>3059</v>
      </c>
      <c r="B5325" s="630">
        <v>221</v>
      </c>
      <c r="C5325" s="631" t="str">
        <f t="shared" si="88"/>
        <v>Ô tô vận tải thùng 20 tấn221</v>
      </c>
      <c r="D5325" s="398"/>
      <c r="E5325" s="398"/>
      <c r="F5325" s="398"/>
      <c r="G5325" s="398"/>
    </row>
    <row r="5326" spans="1:7" ht="18.75" x14ac:dyDescent="0.25">
      <c r="A5326" s="629" t="s">
        <v>3059</v>
      </c>
      <c r="B5326" s="630">
        <v>222</v>
      </c>
      <c r="C5326" s="631" t="str">
        <f t="shared" si="88"/>
        <v>Ô tô vận tải thùng 20 tấn222</v>
      </c>
      <c r="D5326" s="398"/>
      <c r="E5326" s="398"/>
      <c r="F5326" s="398"/>
      <c r="G5326" s="398"/>
    </row>
    <row r="5327" spans="1:7" ht="18.75" x14ac:dyDescent="0.25">
      <c r="A5327" s="629" t="s">
        <v>3059</v>
      </c>
      <c r="B5327" s="630">
        <v>223</v>
      </c>
      <c r="C5327" s="631" t="str">
        <f t="shared" si="88"/>
        <v>Ô tô vận tải thùng 20 tấn223</v>
      </c>
      <c r="D5327" s="398"/>
      <c r="E5327" s="398"/>
      <c r="F5327" s="398"/>
      <c r="G5327" s="398"/>
    </row>
    <row r="5328" spans="1:7" ht="18.75" x14ac:dyDescent="0.25">
      <c r="A5328" s="629" t="s">
        <v>3059</v>
      </c>
      <c r="B5328" s="630">
        <v>224</v>
      </c>
      <c r="C5328" s="631" t="str">
        <f t="shared" si="88"/>
        <v>Ô tô vận tải thùng 20 tấn224</v>
      </c>
      <c r="D5328" s="398"/>
      <c r="E5328" s="398"/>
      <c r="F5328" s="398"/>
      <c r="G5328" s="398"/>
    </row>
    <row r="5329" spans="1:7" ht="18.75" x14ac:dyDescent="0.25">
      <c r="A5329" s="629" t="s">
        <v>3059</v>
      </c>
      <c r="B5329" s="630">
        <v>225</v>
      </c>
      <c r="C5329" s="631" t="str">
        <f t="shared" si="88"/>
        <v>Ô tô vận tải thùng 20 tấn225</v>
      </c>
      <c r="D5329" s="398"/>
      <c r="E5329" s="398"/>
      <c r="F5329" s="398"/>
      <c r="G5329" s="398"/>
    </row>
    <row r="5330" spans="1:7" ht="18.75" x14ac:dyDescent="0.25">
      <c r="A5330" s="629" t="s">
        <v>3059</v>
      </c>
      <c r="B5330" s="630">
        <v>226</v>
      </c>
      <c r="C5330" s="631" t="str">
        <f t="shared" si="88"/>
        <v>Ô tô vận tải thùng 20 tấn226</v>
      </c>
      <c r="D5330" s="398"/>
      <c r="E5330" s="398"/>
      <c r="F5330" s="398"/>
      <c r="G5330" s="398"/>
    </row>
    <row r="5331" spans="1:7" ht="18.75" x14ac:dyDescent="0.25">
      <c r="A5331" s="629" t="s">
        <v>3059</v>
      </c>
      <c r="B5331" s="630">
        <v>227</v>
      </c>
      <c r="C5331" s="631" t="str">
        <f t="shared" si="88"/>
        <v>Ô tô vận tải thùng 20 tấn227</v>
      </c>
      <c r="D5331" s="398"/>
      <c r="E5331" s="398"/>
      <c r="F5331" s="398"/>
      <c r="G5331" s="398"/>
    </row>
    <row r="5332" spans="1:7" ht="18.75" x14ac:dyDescent="0.25">
      <c r="A5332" s="629" t="s">
        <v>3059</v>
      </c>
      <c r="B5332" s="630">
        <v>228</v>
      </c>
      <c r="C5332" s="631" t="str">
        <f t="shared" si="88"/>
        <v>Ô tô vận tải thùng 20 tấn228</v>
      </c>
      <c r="D5332" s="398"/>
      <c r="E5332" s="398"/>
      <c r="F5332" s="398"/>
      <c r="G5332" s="398"/>
    </row>
    <row r="5333" spans="1:7" ht="18.75" x14ac:dyDescent="0.25">
      <c r="A5333" s="629" t="s">
        <v>3059</v>
      </c>
      <c r="B5333" s="630">
        <v>229</v>
      </c>
      <c r="C5333" s="631" t="str">
        <f t="shared" si="88"/>
        <v>Ô tô vận tải thùng 20 tấn229</v>
      </c>
      <c r="D5333" s="398"/>
      <c r="E5333" s="398"/>
      <c r="F5333" s="398"/>
      <c r="G5333" s="398"/>
    </row>
    <row r="5334" spans="1:7" ht="18.75" x14ac:dyDescent="0.25">
      <c r="A5334" s="629" t="s">
        <v>3059</v>
      </c>
      <c r="B5334" s="630">
        <v>230</v>
      </c>
      <c r="C5334" s="631" t="str">
        <f t="shared" si="88"/>
        <v>Ô tô vận tải thùng 20 tấn230</v>
      </c>
      <c r="D5334" s="398"/>
      <c r="E5334" s="398"/>
      <c r="F5334" s="398"/>
      <c r="G5334" s="398"/>
    </row>
    <row r="5335" spans="1:7" ht="18.75" x14ac:dyDescent="0.25">
      <c r="A5335" s="629" t="s">
        <v>3059</v>
      </c>
      <c r="B5335" s="630">
        <v>231</v>
      </c>
      <c r="C5335" s="631" t="str">
        <f t="shared" si="88"/>
        <v>Ô tô vận tải thùng 20 tấn231</v>
      </c>
      <c r="D5335" s="398"/>
      <c r="E5335" s="398"/>
      <c r="F5335" s="398"/>
      <c r="G5335" s="398"/>
    </row>
    <row r="5336" spans="1:7" ht="18.75" x14ac:dyDescent="0.25">
      <c r="A5336" s="629" t="s">
        <v>3059</v>
      </c>
      <c r="B5336" s="630">
        <v>232</v>
      </c>
      <c r="C5336" s="631" t="str">
        <f t="shared" si="88"/>
        <v>Ô tô vận tải thùng 20 tấn232</v>
      </c>
      <c r="D5336" s="398"/>
      <c r="E5336" s="398"/>
      <c r="F5336" s="398"/>
      <c r="G5336" s="398"/>
    </row>
    <row r="5337" spans="1:7" ht="18.75" x14ac:dyDescent="0.25">
      <c r="A5337" s="629" t="s">
        <v>3059</v>
      </c>
      <c r="B5337" s="630">
        <v>233</v>
      </c>
      <c r="C5337" s="631" t="str">
        <f t="shared" si="88"/>
        <v>Ô tô vận tải thùng 20 tấn233</v>
      </c>
      <c r="D5337" s="398"/>
      <c r="E5337" s="398"/>
      <c r="F5337" s="398"/>
      <c r="G5337" s="398"/>
    </row>
    <row r="5338" spans="1:7" ht="18.75" x14ac:dyDescent="0.25">
      <c r="A5338" s="629" t="s">
        <v>3059</v>
      </c>
      <c r="B5338" s="630">
        <v>234</v>
      </c>
      <c r="C5338" s="631" t="str">
        <f t="shared" si="88"/>
        <v>Ô tô vận tải thùng 20 tấn234</v>
      </c>
      <c r="D5338" s="398"/>
      <c r="E5338" s="398"/>
      <c r="F5338" s="398"/>
      <c r="G5338" s="398"/>
    </row>
    <row r="5339" spans="1:7" ht="18.75" x14ac:dyDescent="0.25">
      <c r="A5339" s="629" t="s">
        <v>3059</v>
      </c>
      <c r="B5339" s="630">
        <v>235</v>
      </c>
      <c r="C5339" s="631" t="str">
        <f t="shared" si="88"/>
        <v>Ô tô vận tải thùng 20 tấn235</v>
      </c>
      <c r="D5339" s="398"/>
      <c r="E5339" s="398"/>
      <c r="F5339" s="398"/>
      <c r="G5339" s="398"/>
    </row>
    <row r="5340" spans="1:7" ht="18.75" x14ac:dyDescent="0.25">
      <c r="A5340" s="629" t="s">
        <v>3059</v>
      </c>
      <c r="B5340" s="630">
        <v>236</v>
      </c>
      <c r="C5340" s="631" t="str">
        <f t="shared" si="88"/>
        <v>Ô tô vận tải thùng 20 tấn236</v>
      </c>
      <c r="D5340" s="398"/>
      <c r="E5340" s="398"/>
      <c r="F5340" s="398"/>
      <c r="G5340" s="398"/>
    </row>
    <row r="5341" spans="1:7" ht="18.75" x14ac:dyDescent="0.25">
      <c r="A5341" s="629" t="s">
        <v>3059</v>
      </c>
      <c r="B5341" s="630">
        <v>237</v>
      </c>
      <c r="C5341" s="631" t="str">
        <f t="shared" si="88"/>
        <v>Ô tô vận tải thùng 20 tấn237</v>
      </c>
      <c r="D5341" s="398"/>
      <c r="E5341" s="398"/>
      <c r="F5341" s="398"/>
      <c r="G5341" s="398"/>
    </row>
    <row r="5342" spans="1:7" ht="18.75" x14ac:dyDescent="0.25">
      <c r="A5342" s="629" t="s">
        <v>3059</v>
      </c>
      <c r="B5342" s="630">
        <v>238</v>
      </c>
      <c r="C5342" s="631" t="str">
        <f t="shared" si="88"/>
        <v>Ô tô vận tải thùng 20 tấn238</v>
      </c>
      <c r="D5342" s="398"/>
      <c r="E5342" s="398"/>
      <c r="F5342" s="398"/>
      <c r="G5342" s="398"/>
    </row>
    <row r="5343" spans="1:7" ht="18.75" x14ac:dyDescent="0.25">
      <c r="A5343" s="629" t="s">
        <v>3059</v>
      </c>
      <c r="B5343" s="630">
        <v>239</v>
      </c>
      <c r="C5343" s="631" t="str">
        <f t="shared" si="88"/>
        <v>Ô tô vận tải thùng 20 tấn239</v>
      </c>
      <c r="D5343" s="398"/>
      <c r="E5343" s="398"/>
      <c r="F5343" s="398"/>
      <c r="G5343" s="398"/>
    </row>
    <row r="5344" spans="1:7" ht="18.75" x14ac:dyDescent="0.25">
      <c r="A5344" s="629" t="s">
        <v>3059</v>
      </c>
      <c r="B5344" s="630">
        <v>240</v>
      </c>
      <c r="C5344" s="631" t="str">
        <f t="shared" si="88"/>
        <v>Ô tô vận tải thùng 20 tấn240</v>
      </c>
      <c r="D5344" s="398"/>
      <c r="E5344" s="398"/>
      <c r="F5344" s="398"/>
      <c r="G5344" s="398"/>
    </row>
    <row r="5345" spans="1:7" ht="18.75" x14ac:dyDescent="0.25">
      <c r="A5345" s="629" t="s">
        <v>3059</v>
      </c>
      <c r="B5345" s="630">
        <v>241</v>
      </c>
      <c r="C5345" s="631" t="str">
        <f t="shared" si="88"/>
        <v>Ô tô vận tải thùng 20 tấn241</v>
      </c>
      <c r="D5345" s="398"/>
      <c r="E5345" s="398"/>
      <c r="F5345" s="398"/>
      <c r="G5345" s="398"/>
    </row>
    <row r="5346" spans="1:7" ht="18.75" x14ac:dyDescent="0.25">
      <c r="A5346" s="629" t="s">
        <v>3059</v>
      </c>
      <c r="B5346" s="630">
        <v>242</v>
      </c>
      <c r="C5346" s="631" t="str">
        <f t="shared" si="88"/>
        <v>Ô tô vận tải thùng 20 tấn242</v>
      </c>
      <c r="D5346" s="398"/>
      <c r="E5346" s="398"/>
      <c r="F5346" s="398"/>
      <c r="G5346" s="398"/>
    </row>
    <row r="5347" spans="1:7" ht="18.75" x14ac:dyDescent="0.25">
      <c r="A5347" s="629" t="s">
        <v>3059</v>
      </c>
      <c r="B5347" s="630">
        <v>243</v>
      </c>
      <c r="C5347" s="631" t="str">
        <f t="shared" si="88"/>
        <v>Ô tô vận tải thùng 20 tấn243</v>
      </c>
      <c r="D5347" s="398"/>
      <c r="E5347" s="398"/>
      <c r="F5347" s="398"/>
      <c r="G5347" s="398"/>
    </row>
    <row r="5348" spans="1:7" ht="18.75" x14ac:dyDescent="0.25">
      <c r="A5348" s="629" t="s">
        <v>3059</v>
      </c>
      <c r="B5348" s="630">
        <v>244</v>
      </c>
      <c r="C5348" s="631" t="str">
        <f t="shared" si="88"/>
        <v>Ô tô vận tải thùng 20 tấn244</v>
      </c>
      <c r="D5348" s="398"/>
      <c r="E5348" s="398"/>
      <c r="F5348" s="398"/>
      <c r="G5348" s="398"/>
    </row>
    <row r="5349" spans="1:7" ht="18.75" x14ac:dyDescent="0.25">
      <c r="A5349" s="629" t="s">
        <v>3059</v>
      </c>
      <c r="B5349" s="630">
        <v>245</v>
      </c>
      <c r="C5349" s="631" t="str">
        <f t="shared" si="88"/>
        <v>Ô tô vận tải thùng 20 tấn245</v>
      </c>
      <c r="D5349" s="398"/>
      <c r="E5349" s="398"/>
      <c r="F5349" s="398"/>
      <c r="G5349" s="398"/>
    </row>
    <row r="5350" spans="1:7" ht="18.75" x14ac:dyDescent="0.25">
      <c r="A5350" s="629" t="s">
        <v>3059</v>
      </c>
      <c r="B5350" s="630">
        <v>246</v>
      </c>
      <c r="C5350" s="631" t="str">
        <f t="shared" si="88"/>
        <v>Ô tô vận tải thùng 20 tấn246</v>
      </c>
      <c r="D5350" s="398"/>
      <c r="E5350" s="398"/>
      <c r="F5350" s="398"/>
      <c r="G5350" s="398"/>
    </row>
    <row r="5351" spans="1:7" ht="18.75" x14ac:dyDescent="0.25">
      <c r="A5351" s="629" t="s">
        <v>3059</v>
      </c>
      <c r="B5351" s="630">
        <v>247</v>
      </c>
      <c r="C5351" s="631" t="str">
        <f t="shared" si="88"/>
        <v>Ô tô vận tải thùng 20 tấn247</v>
      </c>
      <c r="D5351" s="398"/>
      <c r="E5351" s="398"/>
      <c r="F5351" s="398"/>
      <c r="G5351" s="398"/>
    </row>
    <row r="5352" spans="1:7" ht="18.75" x14ac:dyDescent="0.25">
      <c r="A5352" s="629" t="s">
        <v>3059</v>
      </c>
      <c r="B5352" s="630">
        <v>248</v>
      </c>
      <c r="C5352" s="631" t="str">
        <f t="shared" si="88"/>
        <v>Ô tô vận tải thùng 20 tấn248</v>
      </c>
      <c r="D5352" s="398"/>
      <c r="E5352" s="398"/>
      <c r="F5352" s="398"/>
      <c r="G5352" s="398"/>
    </row>
    <row r="5353" spans="1:7" ht="18.75" x14ac:dyDescent="0.25">
      <c r="A5353" s="629" t="s">
        <v>3059</v>
      </c>
      <c r="B5353" s="630">
        <v>249</v>
      </c>
      <c r="C5353" s="631" t="str">
        <f t="shared" si="88"/>
        <v>Ô tô vận tải thùng 20 tấn249</v>
      </c>
      <c r="D5353" s="398"/>
      <c r="E5353" s="398"/>
      <c r="F5353" s="398"/>
      <c r="G5353" s="398"/>
    </row>
    <row r="5354" spans="1:7" ht="18.75" x14ac:dyDescent="0.25">
      <c r="A5354" s="629" t="s">
        <v>3059</v>
      </c>
      <c r="B5354" s="630">
        <v>250</v>
      </c>
      <c r="C5354" s="631" t="str">
        <f t="shared" si="88"/>
        <v>Ô tô vận tải thùng 20 tấn250</v>
      </c>
      <c r="D5354" s="398"/>
      <c r="E5354" s="398"/>
      <c r="F5354" s="398"/>
      <c r="G5354" s="398"/>
    </row>
    <row r="5355" spans="1:7" ht="18.75" x14ac:dyDescent="0.25">
      <c r="A5355" s="629" t="s">
        <v>3059</v>
      </c>
      <c r="B5355" s="630">
        <v>251</v>
      </c>
      <c r="C5355" s="631" t="str">
        <f t="shared" si="88"/>
        <v>Ô tô vận tải thùng 20 tấn251</v>
      </c>
      <c r="D5355" s="398"/>
      <c r="E5355" s="398"/>
      <c r="F5355" s="398"/>
      <c r="G5355" s="398"/>
    </row>
    <row r="5356" spans="1:7" ht="18.75" x14ac:dyDescent="0.25">
      <c r="A5356" s="629" t="s">
        <v>3059</v>
      </c>
      <c r="B5356" s="630">
        <v>252</v>
      </c>
      <c r="C5356" s="631" t="str">
        <f t="shared" si="88"/>
        <v>Ô tô vận tải thùng 20 tấn252</v>
      </c>
      <c r="D5356" s="398"/>
      <c r="E5356" s="398"/>
      <c r="F5356" s="398"/>
      <c r="G5356" s="398"/>
    </row>
    <row r="5357" spans="1:7" ht="18.75" x14ac:dyDescent="0.25">
      <c r="A5357" s="629" t="s">
        <v>3059</v>
      </c>
      <c r="B5357" s="630">
        <v>253</v>
      </c>
      <c r="C5357" s="631" t="str">
        <f t="shared" si="88"/>
        <v>Ô tô vận tải thùng 20 tấn253</v>
      </c>
      <c r="D5357" s="398"/>
      <c r="E5357" s="398"/>
      <c r="F5357" s="398"/>
      <c r="G5357" s="398"/>
    </row>
    <row r="5358" spans="1:7" ht="18.75" x14ac:dyDescent="0.25">
      <c r="A5358" s="629" t="s">
        <v>3059</v>
      </c>
      <c r="B5358" s="630">
        <v>254</v>
      </c>
      <c r="C5358" s="631" t="str">
        <f t="shared" si="88"/>
        <v>Ô tô vận tải thùng 20 tấn254</v>
      </c>
      <c r="D5358" s="398"/>
      <c r="E5358" s="398"/>
      <c r="F5358" s="398"/>
      <c r="G5358" s="398"/>
    </row>
    <row r="5359" spans="1:7" ht="18.75" x14ac:dyDescent="0.25">
      <c r="A5359" s="629" t="s">
        <v>3059</v>
      </c>
      <c r="B5359" s="630">
        <v>255</v>
      </c>
      <c r="C5359" s="631" t="str">
        <f t="shared" si="88"/>
        <v>Ô tô vận tải thùng 20 tấn255</v>
      </c>
      <c r="D5359" s="398"/>
      <c r="E5359" s="398"/>
      <c r="F5359" s="398"/>
      <c r="G5359" s="398"/>
    </row>
    <row r="5360" spans="1:7" ht="18.75" x14ac:dyDescent="0.25">
      <c r="A5360" s="629" t="s">
        <v>3059</v>
      </c>
      <c r="B5360" s="630">
        <v>256</v>
      </c>
      <c r="C5360" s="631" t="str">
        <f t="shared" si="88"/>
        <v>Ô tô vận tải thùng 20 tấn256</v>
      </c>
      <c r="D5360" s="398"/>
      <c r="E5360" s="398"/>
      <c r="F5360" s="398"/>
      <c r="G5360" s="398"/>
    </row>
    <row r="5361" spans="1:7" ht="18.75" x14ac:dyDescent="0.25">
      <c r="A5361" s="629" t="s">
        <v>3059</v>
      </c>
      <c r="B5361" s="630">
        <v>257</v>
      </c>
      <c r="C5361" s="631" t="str">
        <f t="shared" si="88"/>
        <v>Ô tô vận tải thùng 20 tấn257</v>
      </c>
      <c r="D5361" s="398"/>
      <c r="E5361" s="398"/>
      <c r="F5361" s="398"/>
      <c r="G5361" s="398"/>
    </row>
    <row r="5362" spans="1:7" ht="18.75" x14ac:dyDescent="0.25">
      <c r="A5362" s="629" t="s">
        <v>3059</v>
      </c>
      <c r="B5362" s="630">
        <v>258</v>
      </c>
      <c r="C5362" s="631" t="str">
        <f t="shared" ref="C5362:C5425" si="89">A5362&amp;B5362</f>
        <v>Ô tô vận tải thùng 20 tấn258</v>
      </c>
      <c r="D5362" s="398"/>
      <c r="E5362" s="398"/>
      <c r="F5362" s="398"/>
      <c r="G5362" s="398"/>
    </row>
    <row r="5363" spans="1:7" ht="18.75" x14ac:dyDescent="0.25">
      <c r="A5363" s="629" t="s">
        <v>3059</v>
      </c>
      <c r="B5363" s="630">
        <v>259</v>
      </c>
      <c r="C5363" s="631" t="str">
        <f t="shared" si="89"/>
        <v>Ô tô vận tải thùng 20 tấn259</v>
      </c>
      <c r="D5363" s="398"/>
      <c r="E5363" s="398"/>
      <c r="F5363" s="398"/>
      <c r="G5363" s="398"/>
    </row>
    <row r="5364" spans="1:7" ht="18.75" x14ac:dyDescent="0.25">
      <c r="A5364" s="629" t="s">
        <v>3059</v>
      </c>
      <c r="B5364" s="630">
        <v>260</v>
      </c>
      <c r="C5364" s="631" t="str">
        <f t="shared" si="89"/>
        <v>Ô tô vận tải thùng 20 tấn260</v>
      </c>
      <c r="D5364" s="398"/>
      <c r="E5364" s="398"/>
      <c r="F5364" s="398"/>
      <c r="G5364" s="398"/>
    </row>
    <row r="5365" spans="1:7" ht="18.75" x14ac:dyDescent="0.25">
      <c r="A5365" s="629" t="s">
        <v>3059</v>
      </c>
      <c r="B5365" s="630">
        <v>261</v>
      </c>
      <c r="C5365" s="631" t="str">
        <f t="shared" si="89"/>
        <v>Ô tô vận tải thùng 20 tấn261</v>
      </c>
      <c r="D5365" s="398"/>
      <c r="E5365" s="398"/>
      <c r="F5365" s="398"/>
      <c r="G5365" s="398"/>
    </row>
    <row r="5366" spans="1:7" ht="18.75" x14ac:dyDescent="0.25">
      <c r="A5366" s="629" t="s">
        <v>3059</v>
      </c>
      <c r="B5366" s="630">
        <v>262</v>
      </c>
      <c r="C5366" s="631" t="str">
        <f t="shared" si="89"/>
        <v>Ô tô vận tải thùng 20 tấn262</v>
      </c>
      <c r="D5366" s="398"/>
      <c r="E5366" s="398"/>
      <c r="F5366" s="398"/>
      <c r="G5366" s="398"/>
    </row>
    <row r="5367" spans="1:7" ht="18.75" x14ac:dyDescent="0.25">
      <c r="A5367" s="629" t="s">
        <v>3059</v>
      </c>
      <c r="B5367" s="630">
        <v>263</v>
      </c>
      <c r="C5367" s="631" t="str">
        <f t="shared" si="89"/>
        <v>Ô tô vận tải thùng 20 tấn263</v>
      </c>
      <c r="D5367" s="398"/>
      <c r="E5367" s="398"/>
      <c r="F5367" s="398"/>
      <c r="G5367" s="398"/>
    </row>
    <row r="5368" spans="1:7" ht="18.75" x14ac:dyDescent="0.25">
      <c r="A5368" s="629" t="s">
        <v>3059</v>
      </c>
      <c r="B5368" s="630">
        <v>264</v>
      </c>
      <c r="C5368" s="631" t="str">
        <f t="shared" si="89"/>
        <v>Ô tô vận tải thùng 20 tấn264</v>
      </c>
      <c r="D5368" s="398"/>
      <c r="E5368" s="398"/>
      <c r="F5368" s="398"/>
      <c r="G5368" s="398"/>
    </row>
    <row r="5369" spans="1:7" ht="18.75" x14ac:dyDescent="0.25">
      <c r="A5369" s="629" t="s">
        <v>3059</v>
      </c>
      <c r="B5369" s="630">
        <v>265</v>
      </c>
      <c r="C5369" s="631" t="str">
        <f t="shared" si="89"/>
        <v>Ô tô vận tải thùng 20 tấn265</v>
      </c>
      <c r="D5369" s="398"/>
      <c r="E5369" s="398"/>
      <c r="F5369" s="398"/>
      <c r="G5369" s="398"/>
    </row>
    <row r="5370" spans="1:7" ht="18.75" x14ac:dyDescent="0.25">
      <c r="A5370" s="629" t="s">
        <v>3059</v>
      </c>
      <c r="B5370" s="630">
        <v>266</v>
      </c>
      <c r="C5370" s="631" t="str">
        <f t="shared" si="89"/>
        <v>Ô tô vận tải thùng 20 tấn266</v>
      </c>
      <c r="D5370" s="398"/>
      <c r="E5370" s="398"/>
      <c r="F5370" s="398"/>
      <c r="G5370" s="398"/>
    </row>
    <row r="5371" spans="1:7" ht="18.75" x14ac:dyDescent="0.25">
      <c r="A5371" s="629" t="s">
        <v>3059</v>
      </c>
      <c r="B5371" s="630">
        <v>267</v>
      </c>
      <c r="C5371" s="631" t="str">
        <f t="shared" si="89"/>
        <v>Ô tô vận tải thùng 20 tấn267</v>
      </c>
      <c r="D5371" s="398"/>
      <c r="E5371" s="398"/>
      <c r="F5371" s="398"/>
      <c r="G5371" s="398"/>
    </row>
    <row r="5372" spans="1:7" ht="18.75" x14ac:dyDescent="0.25">
      <c r="A5372" s="629" t="s">
        <v>3059</v>
      </c>
      <c r="B5372" s="630">
        <v>268</v>
      </c>
      <c r="C5372" s="631" t="str">
        <f t="shared" si="89"/>
        <v>Ô tô vận tải thùng 20 tấn268</v>
      </c>
      <c r="D5372" s="398"/>
      <c r="E5372" s="398"/>
      <c r="F5372" s="398"/>
      <c r="G5372" s="398"/>
    </row>
    <row r="5373" spans="1:7" ht="18.75" x14ac:dyDescent="0.25">
      <c r="A5373" s="629" t="s">
        <v>3059</v>
      </c>
      <c r="B5373" s="630">
        <v>269</v>
      </c>
      <c r="C5373" s="631" t="str">
        <f t="shared" si="89"/>
        <v>Ô tô vận tải thùng 20 tấn269</v>
      </c>
      <c r="D5373" s="398"/>
      <c r="E5373" s="398"/>
      <c r="F5373" s="398"/>
      <c r="G5373" s="398"/>
    </row>
    <row r="5374" spans="1:7" ht="18.75" x14ac:dyDescent="0.25">
      <c r="A5374" s="629" t="s">
        <v>3059</v>
      </c>
      <c r="B5374" s="630">
        <v>270</v>
      </c>
      <c r="C5374" s="631" t="str">
        <f t="shared" si="89"/>
        <v>Ô tô vận tải thùng 20 tấn270</v>
      </c>
      <c r="D5374" s="398"/>
      <c r="E5374" s="398"/>
      <c r="F5374" s="398"/>
      <c r="G5374" s="398"/>
    </row>
    <row r="5375" spans="1:7" ht="18.75" x14ac:dyDescent="0.25">
      <c r="A5375" s="629" t="s">
        <v>3059</v>
      </c>
      <c r="B5375" s="630">
        <v>271</v>
      </c>
      <c r="C5375" s="631" t="str">
        <f t="shared" si="89"/>
        <v>Ô tô vận tải thùng 20 tấn271</v>
      </c>
      <c r="D5375" s="398"/>
      <c r="E5375" s="398"/>
      <c r="F5375" s="398"/>
      <c r="G5375" s="398"/>
    </row>
    <row r="5376" spans="1:7" ht="18.75" x14ac:dyDescent="0.25">
      <c r="A5376" s="629" t="s">
        <v>3059</v>
      </c>
      <c r="B5376" s="630">
        <v>272</v>
      </c>
      <c r="C5376" s="631" t="str">
        <f t="shared" si="89"/>
        <v>Ô tô vận tải thùng 20 tấn272</v>
      </c>
      <c r="D5376" s="398"/>
      <c r="E5376" s="398"/>
      <c r="F5376" s="398"/>
      <c r="G5376" s="398"/>
    </row>
    <row r="5377" spans="1:7" ht="18.75" x14ac:dyDescent="0.25">
      <c r="A5377" s="629" t="s">
        <v>3059</v>
      </c>
      <c r="B5377" s="630">
        <v>273</v>
      </c>
      <c r="C5377" s="631" t="str">
        <f t="shared" si="89"/>
        <v>Ô tô vận tải thùng 20 tấn273</v>
      </c>
      <c r="D5377" s="398"/>
      <c r="E5377" s="398"/>
      <c r="F5377" s="398"/>
      <c r="G5377" s="398"/>
    </row>
    <row r="5378" spans="1:7" ht="18.75" x14ac:dyDescent="0.25">
      <c r="A5378" s="629" t="s">
        <v>3059</v>
      </c>
      <c r="B5378" s="630">
        <v>274</v>
      </c>
      <c r="C5378" s="631" t="str">
        <f t="shared" si="89"/>
        <v>Ô tô vận tải thùng 20 tấn274</v>
      </c>
      <c r="D5378" s="398"/>
      <c r="E5378" s="398"/>
      <c r="F5378" s="398"/>
      <c r="G5378" s="398"/>
    </row>
    <row r="5379" spans="1:7" ht="18.75" x14ac:dyDescent="0.25">
      <c r="A5379" s="629" t="s">
        <v>3059</v>
      </c>
      <c r="B5379" s="630">
        <v>275</v>
      </c>
      <c r="C5379" s="631" t="str">
        <f t="shared" si="89"/>
        <v>Ô tô vận tải thùng 20 tấn275</v>
      </c>
      <c r="D5379" s="398"/>
      <c r="E5379" s="398"/>
      <c r="F5379" s="398"/>
      <c r="G5379" s="398"/>
    </row>
    <row r="5380" spans="1:7" ht="18.75" x14ac:dyDescent="0.25">
      <c r="A5380" s="629" t="s">
        <v>3059</v>
      </c>
      <c r="B5380" s="630">
        <v>276</v>
      </c>
      <c r="C5380" s="631" t="str">
        <f t="shared" si="89"/>
        <v>Ô tô vận tải thùng 20 tấn276</v>
      </c>
      <c r="D5380" s="398"/>
      <c r="E5380" s="398"/>
      <c r="F5380" s="398"/>
      <c r="G5380" s="398"/>
    </row>
    <row r="5381" spans="1:7" ht="18.75" x14ac:dyDescent="0.25">
      <c r="A5381" s="629" t="s">
        <v>3059</v>
      </c>
      <c r="B5381" s="630">
        <v>277</v>
      </c>
      <c r="C5381" s="631" t="str">
        <f t="shared" si="89"/>
        <v>Ô tô vận tải thùng 20 tấn277</v>
      </c>
      <c r="D5381" s="398"/>
      <c r="E5381" s="398"/>
      <c r="F5381" s="398"/>
      <c r="G5381" s="398"/>
    </row>
    <row r="5382" spans="1:7" ht="18.75" x14ac:dyDescent="0.25">
      <c r="A5382" s="629" t="s">
        <v>3059</v>
      </c>
      <c r="B5382" s="630">
        <v>278</v>
      </c>
      <c r="C5382" s="631" t="str">
        <f t="shared" si="89"/>
        <v>Ô tô vận tải thùng 20 tấn278</v>
      </c>
      <c r="D5382" s="398"/>
      <c r="E5382" s="398"/>
      <c r="F5382" s="398"/>
      <c r="G5382" s="398"/>
    </row>
    <row r="5383" spans="1:7" ht="18.75" x14ac:dyDescent="0.25">
      <c r="A5383" s="629" t="s">
        <v>3059</v>
      </c>
      <c r="B5383" s="630">
        <v>279</v>
      </c>
      <c r="C5383" s="631" t="str">
        <f t="shared" si="89"/>
        <v>Ô tô vận tải thùng 20 tấn279</v>
      </c>
      <c r="D5383" s="398"/>
      <c r="E5383" s="398"/>
      <c r="F5383" s="398"/>
      <c r="G5383" s="398"/>
    </row>
    <row r="5384" spans="1:7" ht="18.75" x14ac:dyDescent="0.25">
      <c r="A5384" s="629" t="s">
        <v>3059</v>
      </c>
      <c r="B5384" s="630">
        <v>280</v>
      </c>
      <c r="C5384" s="631" t="str">
        <f t="shared" si="89"/>
        <v>Ô tô vận tải thùng 20 tấn280</v>
      </c>
      <c r="D5384" s="398"/>
      <c r="E5384" s="398"/>
      <c r="F5384" s="398"/>
      <c r="G5384" s="398"/>
    </row>
    <row r="5385" spans="1:7" ht="18.75" x14ac:dyDescent="0.25">
      <c r="A5385" s="629" t="s">
        <v>3059</v>
      </c>
      <c r="B5385" s="630">
        <v>281</v>
      </c>
      <c r="C5385" s="631" t="str">
        <f t="shared" si="89"/>
        <v>Ô tô vận tải thùng 20 tấn281</v>
      </c>
      <c r="D5385" s="398"/>
      <c r="E5385" s="398"/>
      <c r="F5385" s="398"/>
      <c r="G5385" s="398"/>
    </row>
    <row r="5386" spans="1:7" ht="18.75" x14ac:dyDescent="0.25">
      <c r="A5386" s="629" t="s">
        <v>3059</v>
      </c>
      <c r="B5386" s="630">
        <v>282</v>
      </c>
      <c r="C5386" s="631" t="str">
        <f t="shared" si="89"/>
        <v>Ô tô vận tải thùng 20 tấn282</v>
      </c>
      <c r="D5386" s="398"/>
      <c r="E5386" s="398"/>
      <c r="F5386" s="398"/>
      <c r="G5386" s="398"/>
    </row>
    <row r="5387" spans="1:7" ht="18.75" x14ac:dyDescent="0.25">
      <c r="A5387" s="629" t="s">
        <v>3059</v>
      </c>
      <c r="B5387" s="630">
        <v>283</v>
      </c>
      <c r="C5387" s="631" t="str">
        <f t="shared" si="89"/>
        <v>Ô tô vận tải thùng 20 tấn283</v>
      </c>
      <c r="D5387" s="398"/>
      <c r="E5387" s="398"/>
      <c r="F5387" s="398"/>
      <c r="G5387" s="398"/>
    </row>
    <row r="5388" spans="1:7" ht="18.75" x14ac:dyDescent="0.25">
      <c r="A5388" s="629" t="s">
        <v>3059</v>
      </c>
      <c r="B5388" s="630">
        <v>284</v>
      </c>
      <c r="C5388" s="631" t="str">
        <f t="shared" si="89"/>
        <v>Ô tô vận tải thùng 20 tấn284</v>
      </c>
      <c r="D5388" s="398"/>
      <c r="E5388" s="398"/>
      <c r="F5388" s="398"/>
      <c r="G5388" s="398"/>
    </row>
    <row r="5389" spans="1:7" ht="18.75" x14ac:dyDescent="0.25">
      <c r="A5389" s="629" t="s">
        <v>3059</v>
      </c>
      <c r="B5389" s="630">
        <v>285</v>
      </c>
      <c r="C5389" s="631" t="str">
        <f t="shared" si="89"/>
        <v>Ô tô vận tải thùng 20 tấn285</v>
      </c>
      <c r="D5389" s="398"/>
      <c r="E5389" s="398"/>
      <c r="F5389" s="398"/>
      <c r="G5389" s="398"/>
    </row>
    <row r="5390" spans="1:7" ht="18.75" x14ac:dyDescent="0.25">
      <c r="A5390" s="629" t="s">
        <v>3059</v>
      </c>
      <c r="B5390" s="630">
        <v>286</v>
      </c>
      <c r="C5390" s="631" t="str">
        <f t="shared" si="89"/>
        <v>Ô tô vận tải thùng 20 tấn286</v>
      </c>
      <c r="D5390" s="398"/>
      <c r="E5390" s="398"/>
      <c r="F5390" s="398"/>
      <c r="G5390" s="398"/>
    </row>
    <row r="5391" spans="1:7" ht="18.75" x14ac:dyDescent="0.25">
      <c r="A5391" s="629" t="s">
        <v>3059</v>
      </c>
      <c r="B5391" s="630">
        <v>287</v>
      </c>
      <c r="C5391" s="631" t="str">
        <f t="shared" si="89"/>
        <v>Ô tô vận tải thùng 20 tấn287</v>
      </c>
      <c r="D5391" s="398"/>
      <c r="E5391" s="398"/>
      <c r="F5391" s="398"/>
      <c r="G5391" s="398"/>
    </row>
    <row r="5392" spans="1:7" ht="18.75" x14ac:dyDescent="0.25">
      <c r="A5392" s="629" t="s">
        <v>3059</v>
      </c>
      <c r="B5392" s="630">
        <v>288</v>
      </c>
      <c r="C5392" s="631" t="str">
        <f t="shared" si="89"/>
        <v>Ô tô vận tải thùng 20 tấn288</v>
      </c>
      <c r="D5392" s="398"/>
      <c r="E5392" s="398"/>
      <c r="F5392" s="398"/>
      <c r="G5392" s="398"/>
    </row>
    <row r="5393" spans="1:7" ht="18.75" x14ac:dyDescent="0.25">
      <c r="A5393" s="629" t="s">
        <v>3059</v>
      </c>
      <c r="B5393" s="630">
        <v>289</v>
      </c>
      <c r="C5393" s="631" t="str">
        <f t="shared" si="89"/>
        <v>Ô tô vận tải thùng 20 tấn289</v>
      </c>
      <c r="D5393" s="398"/>
      <c r="E5393" s="398"/>
      <c r="F5393" s="398"/>
      <c r="G5393" s="398"/>
    </row>
    <row r="5394" spans="1:7" ht="18.75" x14ac:dyDescent="0.25">
      <c r="A5394" s="629" t="s">
        <v>3059</v>
      </c>
      <c r="B5394" s="630">
        <v>290</v>
      </c>
      <c r="C5394" s="631" t="str">
        <f t="shared" si="89"/>
        <v>Ô tô vận tải thùng 20 tấn290</v>
      </c>
      <c r="D5394" s="398"/>
      <c r="E5394" s="398"/>
      <c r="F5394" s="398"/>
      <c r="G5394" s="398"/>
    </row>
    <row r="5395" spans="1:7" ht="18.75" x14ac:dyDescent="0.25">
      <c r="A5395" s="629" t="s">
        <v>3059</v>
      </c>
      <c r="B5395" s="630">
        <v>291</v>
      </c>
      <c r="C5395" s="631" t="str">
        <f t="shared" si="89"/>
        <v>Ô tô vận tải thùng 20 tấn291</v>
      </c>
      <c r="D5395" s="398"/>
      <c r="E5395" s="398"/>
      <c r="F5395" s="398"/>
      <c r="G5395" s="398"/>
    </row>
    <row r="5396" spans="1:7" ht="18.75" x14ac:dyDescent="0.25">
      <c r="A5396" s="629" t="s">
        <v>3059</v>
      </c>
      <c r="B5396" s="630">
        <v>292</v>
      </c>
      <c r="C5396" s="631" t="str">
        <f t="shared" si="89"/>
        <v>Ô tô vận tải thùng 20 tấn292</v>
      </c>
      <c r="D5396" s="398"/>
      <c r="E5396" s="398"/>
      <c r="F5396" s="398"/>
      <c r="G5396" s="398"/>
    </row>
    <row r="5397" spans="1:7" ht="18.75" x14ac:dyDescent="0.25">
      <c r="A5397" s="629" t="s">
        <v>3059</v>
      </c>
      <c r="B5397" s="630">
        <v>293</v>
      </c>
      <c r="C5397" s="631" t="str">
        <f t="shared" si="89"/>
        <v>Ô tô vận tải thùng 20 tấn293</v>
      </c>
      <c r="D5397" s="398"/>
      <c r="E5397" s="398"/>
      <c r="F5397" s="398"/>
      <c r="G5397" s="398"/>
    </row>
    <row r="5398" spans="1:7" ht="18.75" x14ac:dyDescent="0.25">
      <c r="A5398" s="629" t="s">
        <v>3059</v>
      </c>
      <c r="B5398" s="630">
        <v>294</v>
      </c>
      <c r="C5398" s="631" t="str">
        <f t="shared" si="89"/>
        <v>Ô tô vận tải thùng 20 tấn294</v>
      </c>
      <c r="D5398" s="398"/>
      <c r="E5398" s="398"/>
      <c r="F5398" s="398"/>
      <c r="G5398" s="398"/>
    </row>
    <row r="5399" spans="1:7" ht="18.75" x14ac:dyDescent="0.25">
      <c r="A5399" s="629" t="s">
        <v>3059</v>
      </c>
      <c r="B5399" s="630">
        <v>295</v>
      </c>
      <c r="C5399" s="631" t="str">
        <f t="shared" si="89"/>
        <v>Ô tô vận tải thùng 20 tấn295</v>
      </c>
      <c r="D5399" s="398"/>
      <c r="E5399" s="398"/>
      <c r="F5399" s="398"/>
      <c r="G5399" s="398"/>
    </row>
    <row r="5400" spans="1:7" ht="18.75" x14ac:dyDescent="0.25">
      <c r="A5400" s="629" t="s">
        <v>3059</v>
      </c>
      <c r="B5400" s="630">
        <v>296</v>
      </c>
      <c r="C5400" s="631" t="str">
        <f t="shared" si="89"/>
        <v>Ô tô vận tải thùng 20 tấn296</v>
      </c>
      <c r="D5400" s="398"/>
      <c r="E5400" s="398"/>
      <c r="F5400" s="398"/>
      <c r="G5400" s="398"/>
    </row>
    <row r="5401" spans="1:7" ht="18.75" x14ac:dyDescent="0.25">
      <c r="A5401" s="629" t="s">
        <v>3059</v>
      </c>
      <c r="B5401" s="630">
        <v>297</v>
      </c>
      <c r="C5401" s="631" t="str">
        <f t="shared" si="89"/>
        <v>Ô tô vận tải thùng 20 tấn297</v>
      </c>
      <c r="D5401" s="398"/>
      <c r="E5401" s="398"/>
      <c r="F5401" s="398"/>
      <c r="G5401" s="398"/>
    </row>
    <row r="5402" spans="1:7" ht="18.75" x14ac:dyDescent="0.25">
      <c r="A5402" s="629" t="s">
        <v>3059</v>
      </c>
      <c r="B5402" s="630">
        <v>298</v>
      </c>
      <c r="C5402" s="631" t="str">
        <f t="shared" si="89"/>
        <v>Ô tô vận tải thùng 20 tấn298</v>
      </c>
      <c r="D5402" s="398"/>
      <c r="E5402" s="398"/>
      <c r="F5402" s="398"/>
      <c r="G5402" s="398"/>
    </row>
    <row r="5403" spans="1:7" ht="18.75" x14ac:dyDescent="0.25">
      <c r="A5403" s="629" t="s">
        <v>3059</v>
      </c>
      <c r="B5403" s="630">
        <v>299</v>
      </c>
      <c r="C5403" s="631" t="str">
        <f t="shared" si="89"/>
        <v>Ô tô vận tải thùng 20 tấn299</v>
      </c>
      <c r="D5403" s="398"/>
      <c r="E5403" s="398"/>
      <c r="F5403" s="398"/>
      <c r="G5403" s="398"/>
    </row>
    <row r="5404" spans="1:7" ht="18.75" x14ac:dyDescent="0.25">
      <c r="A5404" s="629" t="s">
        <v>3059</v>
      </c>
      <c r="B5404" s="630">
        <v>300</v>
      </c>
      <c r="C5404" s="631" t="str">
        <f t="shared" si="89"/>
        <v>Ô tô vận tải thùng 20 tấn300</v>
      </c>
      <c r="D5404" s="398"/>
      <c r="E5404" s="398"/>
      <c r="F5404" s="398"/>
      <c r="G5404" s="398"/>
    </row>
    <row r="5405" spans="1:7" ht="18.75" x14ac:dyDescent="0.25">
      <c r="A5405" s="629" t="s">
        <v>3059</v>
      </c>
      <c r="B5405" s="630">
        <v>301</v>
      </c>
      <c r="C5405" s="631" t="str">
        <f t="shared" si="89"/>
        <v>Ô tô vận tải thùng 20 tấn301</v>
      </c>
      <c r="D5405" s="398"/>
      <c r="E5405" s="398"/>
      <c r="F5405" s="398"/>
      <c r="G5405" s="398"/>
    </row>
    <row r="5406" spans="1:7" ht="18.75" x14ac:dyDescent="0.25">
      <c r="A5406" s="629" t="s">
        <v>3059</v>
      </c>
      <c r="B5406" s="630">
        <v>302</v>
      </c>
      <c r="C5406" s="631" t="str">
        <f t="shared" si="89"/>
        <v>Ô tô vận tải thùng 20 tấn302</v>
      </c>
      <c r="D5406" s="398"/>
      <c r="E5406" s="398"/>
      <c r="F5406" s="398"/>
      <c r="G5406" s="398"/>
    </row>
    <row r="5407" spans="1:7" ht="18.75" x14ac:dyDescent="0.25">
      <c r="A5407" s="629" t="s">
        <v>3059</v>
      </c>
      <c r="B5407" s="630">
        <v>303</v>
      </c>
      <c r="C5407" s="631" t="str">
        <f t="shared" si="89"/>
        <v>Ô tô vận tải thùng 20 tấn303</v>
      </c>
      <c r="D5407" s="398"/>
      <c r="E5407" s="398"/>
      <c r="F5407" s="398"/>
      <c r="G5407" s="398"/>
    </row>
    <row r="5408" spans="1:7" ht="18.75" x14ac:dyDescent="0.25">
      <c r="A5408" s="629" t="s">
        <v>3059</v>
      </c>
      <c r="B5408" s="630">
        <v>304</v>
      </c>
      <c r="C5408" s="631" t="str">
        <f t="shared" si="89"/>
        <v>Ô tô vận tải thùng 20 tấn304</v>
      </c>
      <c r="D5408" s="398"/>
      <c r="E5408" s="398"/>
      <c r="F5408" s="398"/>
      <c r="G5408" s="398"/>
    </row>
    <row r="5409" spans="1:7" ht="18.75" x14ac:dyDescent="0.25">
      <c r="A5409" s="629" t="s">
        <v>3059</v>
      </c>
      <c r="B5409" s="630">
        <v>305</v>
      </c>
      <c r="C5409" s="631" t="str">
        <f t="shared" si="89"/>
        <v>Ô tô vận tải thùng 20 tấn305</v>
      </c>
      <c r="D5409" s="398"/>
      <c r="E5409" s="398"/>
      <c r="F5409" s="398"/>
      <c r="G5409" s="398"/>
    </row>
    <row r="5410" spans="1:7" ht="18.75" x14ac:dyDescent="0.25">
      <c r="A5410" s="629" t="s">
        <v>3059</v>
      </c>
      <c r="B5410" s="630">
        <v>306</v>
      </c>
      <c r="C5410" s="631" t="str">
        <f t="shared" si="89"/>
        <v>Ô tô vận tải thùng 20 tấn306</v>
      </c>
      <c r="D5410" s="398"/>
      <c r="E5410" s="398"/>
      <c r="F5410" s="398"/>
      <c r="G5410" s="398"/>
    </row>
    <row r="5411" spans="1:7" ht="18.75" x14ac:dyDescent="0.25">
      <c r="A5411" s="629" t="s">
        <v>3059</v>
      </c>
      <c r="B5411" s="630">
        <v>307</v>
      </c>
      <c r="C5411" s="631" t="str">
        <f t="shared" si="89"/>
        <v>Ô tô vận tải thùng 20 tấn307</v>
      </c>
      <c r="D5411" s="398"/>
      <c r="E5411" s="398"/>
      <c r="F5411" s="398"/>
      <c r="G5411" s="398"/>
    </row>
    <row r="5412" spans="1:7" ht="18.75" x14ac:dyDescent="0.25">
      <c r="A5412" s="629" t="s">
        <v>3059</v>
      </c>
      <c r="B5412" s="630">
        <v>308</v>
      </c>
      <c r="C5412" s="631" t="str">
        <f t="shared" si="89"/>
        <v>Ô tô vận tải thùng 20 tấn308</v>
      </c>
      <c r="D5412" s="398"/>
      <c r="E5412" s="398"/>
      <c r="F5412" s="398"/>
      <c r="G5412" s="398"/>
    </row>
    <row r="5413" spans="1:7" ht="18.75" x14ac:dyDescent="0.25">
      <c r="A5413" s="629" t="s">
        <v>3059</v>
      </c>
      <c r="B5413" s="630">
        <v>309</v>
      </c>
      <c r="C5413" s="631" t="str">
        <f t="shared" si="89"/>
        <v>Ô tô vận tải thùng 20 tấn309</v>
      </c>
      <c r="D5413" s="398"/>
      <c r="E5413" s="398"/>
      <c r="F5413" s="398"/>
      <c r="G5413" s="398"/>
    </row>
    <row r="5414" spans="1:7" ht="18.75" x14ac:dyDescent="0.25">
      <c r="A5414" s="629" t="s">
        <v>3059</v>
      </c>
      <c r="B5414" s="630">
        <v>310</v>
      </c>
      <c r="C5414" s="631" t="str">
        <f t="shared" si="89"/>
        <v>Ô tô vận tải thùng 20 tấn310</v>
      </c>
      <c r="D5414" s="398"/>
      <c r="E5414" s="398"/>
      <c r="F5414" s="398"/>
      <c r="G5414" s="398"/>
    </row>
    <row r="5415" spans="1:7" ht="18.75" x14ac:dyDescent="0.25">
      <c r="A5415" s="629" t="s">
        <v>3059</v>
      </c>
      <c r="B5415" s="630">
        <v>311</v>
      </c>
      <c r="C5415" s="631" t="str">
        <f t="shared" si="89"/>
        <v>Ô tô vận tải thùng 20 tấn311</v>
      </c>
      <c r="D5415" s="398"/>
      <c r="E5415" s="398"/>
      <c r="F5415" s="398"/>
      <c r="G5415" s="398"/>
    </row>
    <row r="5416" spans="1:7" ht="18.75" x14ac:dyDescent="0.25">
      <c r="A5416" s="629" t="s">
        <v>3059</v>
      </c>
      <c r="B5416" s="630">
        <v>312</v>
      </c>
      <c r="C5416" s="631" t="str">
        <f t="shared" si="89"/>
        <v>Ô tô vận tải thùng 20 tấn312</v>
      </c>
      <c r="D5416" s="398"/>
      <c r="E5416" s="398"/>
      <c r="F5416" s="398"/>
      <c r="G5416" s="398"/>
    </row>
    <row r="5417" spans="1:7" ht="18.75" x14ac:dyDescent="0.25">
      <c r="A5417" s="629" t="s">
        <v>3059</v>
      </c>
      <c r="B5417" s="630">
        <v>313</v>
      </c>
      <c r="C5417" s="631" t="str">
        <f t="shared" si="89"/>
        <v>Ô tô vận tải thùng 20 tấn313</v>
      </c>
      <c r="D5417" s="398"/>
      <c r="E5417" s="398"/>
      <c r="F5417" s="398"/>
      <c r="G5417" s="398"/>
    </row>
    <row r="5418" spans="1:7" ht="18.75" x14ac:dyDescent="0.25">
      <c r="A5418" s="629" t="s">
        <v>3059</v>
      </c>
      <c r="B5418" s="630">
        <v>314</v>
      </c>
      <c r="C5418" s="631" t="str">
        <f t="shared" si="89"/>
        <v>Ô tô vận tải thùng 20 tấn314</v>
      </c>
      <c r="D5418" s="398"/>
      <c r="E5418" s="398"/>
      <c r="F5418" s="398"/>
      <c r="G5418" s="398"/>
    </row>
    <row r="5419" spans="1:7" ht="18.75" x14ac:dyDescent="0.25">
      <c r="A5419" s="629" t="s">
        <v>3059</v>
      </c>
      <c r="B5419" s="630">
        <v>315</v>
      </c>
      <c r="C5419" s="631" t="str">
        <f t="shared" si="89"/>
        <v>Ô tô vận tải thùng 20 tấn315</v>
      </c>
      <c r="D5419" s="398"/>
      <c r="E5419" s="398"/>
      <c r="F5419" s="398"/>
      <c r="G5419" s="398"/>
    </row>
    <row r="5420" spans="1:7" ht="18.75" x14ac:dyDescent="0.25">
      <c r="A5420" s="629" t="s">
        <v>3059</v>
      </c>
      <c r="B5420" s="630">
        <v>316</v>
      </c>
      <c r="C5420" s="631" t="str">
        <f t="shared" si="89"/>
        <v>Ô tô vận tải thùng 20 tấn316</v>
      </c>
      <c r="D5420" s="398"/>
      <c r="E5420" s="398"/>
      <c r="F5420" s="398"/>
      <c r="G5420" s="398"/>
    </row>
    <row r="5421" spans="1:7" ht="18.75" x14ac:dyDescent="0.25">
      <c r="A5421" s="629" t="s">
        <v>3059</v>
      </c>
      <c r="B5421" s="630">
        <v>317</v>
      </c>
      <c r="C5421" s="631" t="str">
        <f t="shared" si="89"/>
        <v>Ô tô vận tải thùng 20 tấn317</v>
      </c>
      <c r="D5421" s="398"/>
      <c r="E5421" s="398"/>
      <c r="F5421" s="398"/>
      <c r="G5421" s="398"/>
    </row>
    <row r="5422" spans="1:7" ht="18.75" x14ac:dyDescent="0.25">
      <c r="A5422" s="629" t="s">
        <v>3059</v>
      </c>
      <c r="B5422" s="630">
        <v>318</v>
      </c>
      <c r="C5422" s="631" t="str">
        <f t="shared" si="89"/>
        <v>Ô tô vận tải thùng 20 tấn318</v>
      </c>
      <c r="D5422" s="398"/>
      <c r="E5422" s="398"/>
      <c r="F5422" s="398"/>
      <c r="G5422" s="398"/>
    </row>
    <row r="5423" spans="1:7" ht="18.75" x14ac:dyDescent="0.25">
      <c r="A5423" s="629" t="s">
        <v>3059</v>
      </c>
      <c r="B5423" s="630">
        <v>319</v>
      </c>
      <c r="C5423" s="631" t="str">
        <f t="shared" si="89"/>
        <v>Ô tô vận tải thùng 20 tấn319</v>
      </c>
      <c r="D5423" s="398"/>
      <c r="E5423" s="398"/>
      <c r="F5423" s="398"/>
      <c r="G5423" s="398"/>
    </row>
    <row r="5424" spans="1:7" ht="18.75" x14ac:dyDescent="0.25">
      <c r="A5424" s="629" t="s">
        <v>3059</v>
      </c>
      <c r="B5424" s="630">
        <v>320</v>
      </c>
      <c r="C5424" s="631" t="str">
        <f t="shared" si="89"/>
        <v>Ô tô vận tải thùng 20 tấn320</v>
      </c>
      <c r="D5424" s="398"/>
      <c r="E5424" s="398"/>
      <c r="F5424" s="398"/>
      <c r="G5424" s="398"/>
    </row>
    <row r="5425" spans="1:7" ht="18.75" x14ac:dyDescent="0.25">
      <c r="A5425" s="629" t="s">
        <v>3059</v>
      </c>
      <c r="B5425" s="630">
        <v>321</v>
      </c>
      <c r="C5425" s="631" t="str">
        <f t="shared" si="89"/>
        <v>Ô tô vận tải thùng 20 tấn321</v>
      </c>
      <c r="D5425" s="398"/>
      <c r="E5425" s="398"/>
      <c r="F5425" s="398"/>
      <c r="G5425" s="398"/>
    </row>
    <row r="5426" spans="1:7" ht="18.75" x14ac:dyDescent="0.25">
      <c r="A5426" s="629" t="s">
        <v>3059</v>
      </c>
      <c r="B5426" s="630">
        <v>322</v>
      </c>
      <c r="C5426" s="631" t="str">
        <f t="shared" ref="C5426:C5489" si="90">A5426&amp;B5426</f>
        <v>Ô tô vận tải thùng 20 tấn322</v>
      </c>
      <c r="D5426" s="398"/>
      <c r="E5426" s="398"/>
      <c r="F5426" s="398"/>
      <c r="G5426" s="398"/>
    </row>
    <row r="5427" spans="1:7" ht="18.75" x14ac:dyDescent="0.25">
      <c r="A5427" s="629" t="s">
        <v>3059</v>
      </c>
      <c r="B5427" s="630">
        <v>323</v>
      </c>
      <c r="C5427" s="631" t="str">
        <f t="shared" si="90"/>
        <v>Ô tô vận tải thùng 20 tấn323</v>
      </c>
      <c r="D5427" s="398"/>
      <c r="E5427" s="398"/>
      <c r="F5427" s="398"/>
      <c r="G5427" s="398"/>
    </row>
    <row r="5428" spans="1:7" ht="18.75" x14ac:dyDescent="0.25">
      <c r="A5428" s="629" t="s">
        <v>3059</v>
      </c>
      <c r="B5428" s="630">
        <v>324</v>
      </c>
      <c r="C5428" s="631" t="str">
        <f t="shared" si="90"/>
        <v>Ô tô vận tải thùng 20 tấn324</v>
      </c>
      <c r="D5428" s="398"/>
      <c r="E5428" s="398"/>
      <c r="F5428" s="398"/>
      <c r="G5428" s="398"/>
    </row>
    <row r="5429" spans="1:7" ht="18.75" x14ac:dyDescent="0.25">
      <c r="A5429" s="629" t="s">
        <v>3059</v>
      </c>
      <c r="B5429" s="630">
        <v>325</v>
      </c>
      <c r="C5429" s="631" t="str">
        <f t="shared" si="90"/>
        <v>Ô tô vận tải thùng 20 tấn325</v>
      </c>
      <c r="D5429" s="398"/>
      <c r="E5429" s="398"/>
      <c r="F5429" s="398"/>
      <c r="G5429" s="398"/>
    </row>
    <row r="5430" spans="1:7" ht="18.75" x14ac:dyDescent="0.25">
      <c r="A5430" s="629" t="s">
        <v>3059</v>
      </c>
      <c r="B5430" s="630">
        <v>326</v>
      </c>
      <c r="C5430" s="631" t="str">
        <f t="shared" si="90"/>
        <v>Ô tô vận tải thùng 20 tấn326</v>
      </c>
      <c r="D5430" s="398"/>
      <c r="E5430" s="398"/>
      <c r="F5430" s="398"/>
      <c r="G5430" s="398"/>
    </row>
    <row r="5431" spans="1:7" ht="18.75" x14ac:dyDescent="0.25">
      <c r="A5431" s="629" t="s">
        <v>3059</v>
      </c>
      <c r="B5431" s="630">
        <v>327</v>
      </c>
      <c r="C5431" s="631" t="str">
        <f t="shared" si="90"/>
        <v>Ô tô vận tải thùng 20 tấn327</v>
      </c>
      <c r="D5431" s="398"/>
      <c r="E5431" s="398"/>
      <c r="F5431" s="398"/>
      <c r="G5431" s="398"/>
    </row>
    <row r="5432" spans="1:7" ht="18.75" x14ac:dyDescent="0.25">
      <c r="A5432" s="629" t="s">
        <v>3059</v>
      </c>
      <c r="B5432" s="630">
        <v>328</v>
      </c>
      <c r="C5432" s="631" t="str">
        <f t="shared" si="90"/>
        <v>Ô tô vận tải thùng 20 tấn328</v>
      </c>
      <c r="D5432" s="398"/>
      <c r="E5432" s="398"/>
      <c r="F5432" s="398"/>
      <c r="G5432" s="398"/>
    </row>
    <row r="5433" spans="1:7" ht="18.75" x14ac:dyDescent="0.25">
      <c r="A5433" s="629" t="s">
        <v>3059</v>
      </c>
      <c r="B5433" s="630">
        <v>329</v>
      </c>
      <c r="C5433" s="631" t="str">
        <f t="shared" si="90"/>
        <v>Ô tô vận tải thùng 20 tấn329</v>
      </c>
      <c r="D5433" s="398"/>
      <c r="E5433" s="398"/>
      <c r="F5433" s="398"/>
      <c r="G5433" s="398"/>
    </row>
    <row r="5434" spans="1:7" ht="18.75" x14ac:dyDescent="0.25">
      <c r="A5434" s="629" t="s">
        <v>3059</v>
      </c>
      <c r="B5434" s="630">
        <v>330</v>
      </c>
      <c r="C5434" s="631" t="str">
        <f t="shared" si="90"/>
        <v>Ô tô vận tải thùng 20 tấn330</v>
      </c>
      <c r="D5434" s="398"/>
      <c r="E5434" s="398"/>
      <c r="F5434" s="398"/>
      <c r="G5434" s="398"/>
    </row>
    <row r="5435" spans="1:7" ht="18.75" x14ac:dyDescent="0.25">
      <c r="A5435" s="629" t="s">
        <v>3059</v>
      </c>
      <c r="B5435" s="630">
        <v>331</v>
      </c>
      <c r="C5435" s="631" t="str">
        <f t="shared" si="90"/>
        <v>Ô tô vận tải thùng 20 tấn331</v>
      </c>
      <c r="D5435" s="398"/>
      <c r="E5435" s="398"/>
      <c r="F5435" s="398"/>
      <c r="G5435" s="398"/>
    </row>
    <row r="5436" spans="1:7" ht="18.75" x14ac:dyDescent="0.25">
      <c r="A5436" s="629" t="s">
        <v>3059</v>
      </c>
      <c r="B5436" s="630">
        <v>332</v>
      </c>
      <c r="C5436" s="631" t="str">
        <f t="shared" si="90"/>
        <v>Ô tô vận tải thùng 20 tấn332</v>
      </c>
      <c r="D5436" s="398"/>
      <c r="E5436" s="398"/>
      <c r="F5436" s="398"/>
      <c r="G5436" s="398"/>
    </row>
    <row r="5437" spans="1:7" ht="18.75" x14ac:dyDescent="0.25">
      <c r="A5437" s="629" t="s">
        <v>3059</v>
      </c>
      <c r="B5437" s="630">
        <v>333</v>
      </c>
      <c r="C5437" s="631" t="str">
        <f t="shared" si="90"/>
        <v>Ô tô vận tải thùng 20 tấn333</v>
      </c>
      <c r="D5437" s="398"/>
      <c r="E5437" s="398"/>
      <c r="F5437" s="398"/>
      <c r="G5437" s="398"/>
    </row>
    <row r="5438" spans="1:7" ht="18.75" x14ac:dyDescent="0.25">
      <c r="A5438" s="629" t="s">
        <v>3059</v>
      </c>
      <c r="B5438" s="630">
        <v>334</v>
      </c>
      <c r="C5438" s="631" t="str">
        <f t="shared" si="90"/>
        <v>Ô tô vận tải thùng 20 tấn334</v>
      </c>
      <c r="D5438" s="398"/>
      <c r="E5438" s="398"/>
      <c r="F5438" s="398"/>
      <c r="G5438" s="398"/>
    </row>
    <row r="5439" spans="1:7" ht="18.75" x14ac:dyDescent="0.25">
      <c r="A5439" s="629" t="s">
        <v>3059</v>
      </c>
      <c r="B5439" s="630">
        <v>335</v>
      </c>
      <c r="C5439" s="631" t="str">
        <f t="shared" si="90"/>
        <v>Ô tô vận tải thùng 20 tấn335</v>
      </c>
      <c r="D5439" s="398"/>
      <c r="E5439" s="398"/>
      <c r="F5439" s="398"/>
      <c r="G5439" s="398"/>
    </row>
    <row r="5440" spans="1:7" ht="18.75" x14ac:dyDescent="0.25">
      <c r="A5440" s="629" t="s">
        <v>3059</v>
      </c>
      <c r="B5440" s="630">
        <v>336</v>
      </c>
      <c r="C5440" s="631" t="str">
        <f t="shared" si="90"/>
        <v>Ô tô vận tải thùng 20 tấn336</v>
      </c>
      <c r="D5440" s="398"/>
      <c r="E5440" s="398"/>
      <c r="F5440" s="398"/>
      <c r="G5440" s="398"/>
    </row>
    <row r="5441" spans="1:7" ht="18.75" x14ac:dyDescent="0.25">
      <c r="A5441" s="629" t="s">
        <v>3059</v>
      </c>
      <c r="B5441" s="630">
        <v>337</v>
      </c>
      <c r="C5441" s="631" t="str">
        <f t="shared" si="90"/>
        <v>Ô tô vận tải thùng 20 tấn337</v>
      </c>
      <c r="D5441" s="398"/>
      <c r="E5441" s="398"/>
      <c r="F5441" s="398"/>
      <c r="G5441" s="398"/>
    </row>
    <row r="5442" spans="1:7" ht="18.75" x14ac:dyDescent="0.25">
      <c r="A5442" s="629" t="s">
        <v>3059</v>
      </c>
      <c r="B5442" s="630">
        <v>338</v>
      </c>
      <c r="C5442" s="631" t="str">
        <f t="shared" si="90"/>
        <v>Ô tô vận tải thùng 20 tấn338</v>
      </c>
      <c r="D5442" s="398"/>
      <c r="E5442" s="398"/>
      <c r="F5442" s="398"/>
      <c r="G5442" s="398"/>
    </row>
    <row r="5443" spans="1:7" ht="18.75" x14ac:dyDescent="0.25">
      <c r="A5443" s="629" t="s">
        <v>3059</v>
      </c>
      <c r="B5443" s="630">
        <v>339</v>
      </c>
      <c r="C5443" s="631" t="str">
        <f t="shared" si="90"/>
        <v>Ô tô vận tải thùng 20 tấn339</v>
      </c>
      <c r="D5443" s="398"/>
      <c r="E5443" s="398"/>
      <c r="F5443" s="398"/>
      <c r="G5443" s="398"/>
    </row>
    <row r="5444" spans="1:7" ht="18.75" x14ac:dyDescent="0.25">
      <c r="A5444" s="629" t="s">
        <v>3059</v>
      </c>
      <c r="B5444" s="630">
        <v>340</v>
      </c>
      <c r="C5444" s="631" t="str">
        <f t="shared" si="90"/>
        <v>Ô tô vận tải thùng 20 tấn340</v>
      </c>
      <c r="D5444" s="398"/>
      <c r="E5444" s="398"/>
      <c r="F5444" s="398"/>
      <c r="G5444" s="398"/>
    </row>
    <row r="5445" spans="1:7" ht="18.75" x14ac:dyDescent="0.25">
      <c r="A5445" s="629" t="s">
        <v>3059</v>
      </c>
      <c r="B5445" s="630">
        <v>341</v>
      </c>
      <c r="C5445" s="631" t="str">
        <f t="shared" si="90"/>
        <v>Ô tô vận tải thùng 20 tấn341</v>
      </c>
      <c r="D5445" s="398"/>
      <c r="E5445" s="398"/>
      <c r="F5445" s="398"/>
      <c r="G5445" s="398"/>
    </row>
    <row r="5446" spans="1:7" ht="18.75" x14ac:dyDescent="0.25">
      <c r="A5446" s="629" t="s">
        <v>3059</v>
      </c>
      <c r="B5446" s="630">
        <v>342</v>
      </c>
      <c r="C5446" s="631" t="str">
        <f t="shared" si="90"/>
        <v>Ô tô vận tải thùng 20 tấn342</v>
      </c>
      <c r="D5446" s="398"/>
      <c r="E5446" s="398"/>
      <c r="F5446" s="398"/>
      <c r="G5446" s="398"/>
    </row>
    <row r="5447" spans="1:7" ht="18.75" x14ac:dyDescent="0.25">
      <c r="A5447" s="629" t="s">
        <v>3059</v>
      </c>
      <c r="B5447" s="630">
        <v>343</v>
      </c>
      <c r="C5447" s="631" t="str">
        <f t="shared" si="90"/>
        <v>Ô tô vận tải thùng 20 tấn343</v>
      </c>
      <c r="D5447" s="398"/>
      <c r="E5447" s="398"/>
      <c r="F5447" s="398"/>
      <c r="G5447" s="398"/>
    </row>
    <row r="5448" spans="1:7" ht="18.75" x14ac:dyDescent="0.25">
      <c r="A5448" s="629" t="s">
        <v>3059</v>
      </c>
      <c r="B5448" s="630">
        <v>344</v>
      </c>
      <c r="C5448" s="631" t="str">
        <f t="shared" si="90"/>
        <v>Ô tô vận tải thùng 20 tấn344</v>
      </c>
      <c r="D5448" s="398"/>
      <c r="E5448" s="398"/>
      <c r="F5448" s="398"/>
      <c r="G5448" s="398"/>
    </row>
    <row r="5449" spans="1:7" ht="18.75" x14ac:dyDescent="0.25">
      <c r="A5449" s="629" t="s">
        <v>3059</v>
      </c>
      <c r="B5449" s="630">
        <v>345</v>
      </c>
      <c r="C5449" s="631" t="str">
        <f t="shared" si="90"/>
        <v>Ô tô vận tải thùng 20 tấn345</v>
      </c>
      <c r="D5449" s="398"/>
      <c r="E5449" s="398"/>
      <c r="F5449" s="398"/>
      <c r="G5449" s="398"/>
    </row>
    <row r="5450" spans="1:7" ht="18.75" x14ac:dyDescent="0.25">
      <c r="A5450" s="629" t="s">
        <v>3059</v>
      </c>
      <c r="B5450" s="630">
        <v>346</v>
      </c>
      <c r="C5450" s="631" t="str">
        <f t="shared" si="90"/>
        <v>Ô tô vận tải thùng 20 tấn346</v>
      </c>
      <c r="D5450" s="398"/>
      <c r="E5450" s="398"/>
      <c r="F5450" s="398"/>
      <c r="G5450" s="398"/>
    </row>
    <row r="5451" spans="1:7" ht="18.75" x14ac:dyDescent="0.25">
      <c r="A5451" s="629" t="s">
        <v>3059</v>
      </c>
      <c r="B5451" s="630">
        <v>347</v>
      </c>
      <c r="C5451" s="631" t="str">
        <f t="shared" si="90"/>
        <v>Ô tô vận tải thùng 20 tấn347</v>
      </c>
      <c r="D5451" s="398"/>
      <c r="E5451" s="398"/>
      <c r="F5451" s="398"/>
      <c r="G5451" s="398"/>
    </row>
    <row r="5452" spans="1:7" ht="18.75" x14ac:dyDescent="0.25">
      <c r="A5452" s="629" t="s">
        <v>3059</v>
      </c>
      <c r="B5452" s="630">
        <v>348</v>
      </c>
      <c r="C5452" s="631" t="str">
        <f t="shared" si="90"/>
        <v>Ô tô vận tải thùng 20 tấn348</v>
      </c>
      <c r="D5452" s="398"/>
      <c r="E5452" s="398"/>
      <c r="F5452" s="398"/>
      <c r="G5452" s="398"/>
    </row>
    <row r="5453" spans="1:7" ht="18.75" x14ac:dyDescent="0.25">
      <c r="A5453" s="629" t="s">
        <v>3059</v>
      </c>
      <c r="B5453" s="630">
        <v>349</v>
      </c>
      <c r="C5453" s="631" t="str">
        <f t="shared" si="90"/>
        <v>Ô tô vận tải thùng 20 tấn349</v>
      </c>
      <c r="D5453" s="398"/>
      <c r="E5453" s="398"/>
      <c r="F5453" s="398"/>
      <c r="G5453" s="398"/>
    </row>
    <row r="5454" spans="1:7" ht="18.75" x14ac:dyDescent="0.25">
      <c r="A5454" s="629" t="s">
        <v>3059</v>
      </c>
      <c r="B5454" s="630">
        <v>350</v>
      </c>
      <c r="C5454" s="631" t="str">
        <f t="shared" si="90"/>
        <v>Ô tô vận tải thùng 20 tấn350</v>
      </c>
      <c r="D5454" s="398"/>
      <c r="E5454" s="398"/>
      <c r="F5454" s="398"/>
      <c r="G5454" s="398"/>
    </row>
    <row r="5455" spans="1:7" ht="18.75" x14ac:dyDescent="0.25">
      <c r="A5455" s="629" t="s">
        <v>3059</v>
      </c>
      <c r="B5455" s="630">
        <v>351</v>
      </c>
      <c r="C5455" s="631" t="str">
        <f t="shared" si="90"/>
        <v>Ô tô vận tải thùng 20 tấn351</v>
      </c>
      <c r="D5455" s="398"/>
      <c r="E5455" s="398"/>
      <c r="F5455" s="398"/>
      <c r="G5455" s="398"/>
    </row>
    <row r="5456" spans="1:7" ht="18.75" x14ac:dyDescent="0.25">
      <c r="A5456" s="629" t="s">
        <v>3059</v>
      </c>
      <c r="B5456" s="630">
        <v>352</v>
      </c>
      <c r="C5456" s="631" t="str">
        <f t="shared" si="90"/>
        <v>Ô tô vận tải thùng 20 tấn352</v>
      </c>
      <c r="D5456" s="398"/>
      <c r="E5456" s="398"/>
      <c r="F5456" s="398"/>
      <c r="G5456" s="398"/>
    </row>
    <row r="5457" spans="1:7" ht="18.75" x14ac:dyDescent="0.25">
      <c r="A5457" s="629" t="s">
        <v>3059</v>
      </c>
      <c r="B5457" s="630">
        <v>353</v>
      </c>
      <c r="C5457" s="631" t="str">
        <f t="shared" si="90"/>
        <v>Ô tô vận tải thùng 20 tấn353</v>
      </c>
      <c r="D5457" s="398"/>
      <c r="E5457" s="398"/>
      <c r="F5457" s="398"/>
      <c r="G5457" s="398"/>
    </row>
    <row r="5458" spans="1:7" ht="18.75" x14ac:dyDescent="0.25">
      <c r="A5458" s="629" t="s">
        <v>3059</v>
      </c>
      <c r="B5458" s="630">
        <v>354</v>
      </c>
      <c r="C5458" s="631" t="str">
        <f t="shared" si="90"/>
        <v>Ô tô vận tải thùng 20 tấn354</v>
      </c>
      <c r="D5458" s="398"/>
      <c r="E5458" s="398"/>
      <c r="F5458" s="398"/>
      <c r="G5458" s="398"/>
    </row>
    <row r="5459" spans="1:7" ht="18.75" x14ac:dyDescent="0.25">
      <c r="A5459" s="629" t="s">
        <v>3059</v>
      </c>
      <c r="B5459" s="630">
        <v>355</v>
      </c>
      <c r="C5459" s="631" t="str">
        <f t="shared" si="90"/>
        <v>Ô tô vận tải thùng 20 tấn355</v>
      </c>
      <c r="D5459" s="398"/>
      <c r="E5459" s="398"/>
      <c r="F5459" s="398"/>
      <c r="G5459" s="398"/>
    </row>
    <row r="5460" spans="1:7" ht="18.75" x14ac:dyDescent="0.25">
      <c r="A5460" s="629" t="s">
        <v>3059</v>
      </c>
      <c r="B5460" s="630">
        <v>356</v>
      </c>
      <c r="C5460" s="631" t="str">
        <f t="shared" si="90"/>
        <v>Ô tô vận tải thùng 20 tấn356</v>
      </c>
      <c r="D5460" s="398"/>
      <c r="E5460" s="398"/>
      <c r="F5460" s="398"/>
      <c r="G5460" s="398"/>
    </row>
    <row r="5461" spans="1:7" ht="18.75" x14ac:dyDescent="0.25">
      <c r="A5461" s="629" t="s">
        <v>3059</v>
      </c>
      <c r="B5461" s="630">
        <v>357</v>
      </c>
      <c r="C5461" s="631" t="str">
        <f t="shared" si="90"/>
        <v>Ô tô vận tải thùng 20 tấn357</v>
      </c>
      <c r="D5461" s="398"/>
      <c r="E5461" s="398"/>
      <c r="F5461" s="398"/>
      <c r="G5461" s="398"/>
    </row>
    <row r="5462" spans="1:7" ht="18.75" x14ac:dyDescent="0.25">
      <c r="A5462" s="629" t="s">
        <v>3059</v>
      </c>
      <c r="B5462" s="630">
        <v>358</v>
      </c>
      <c r="C5462" s="631" t="str">
        <f t="shared" si="90"/>
        <v>Ô tô vận tải thùng 20 tấn358</v>
      </c>
      <c r="D5462" s="398"/>
      <c r="E5462" s="398"/>
      <c r="F5462" s="398"/>
      <c r="G5462" s="398"/>
    </row>
    <row r="5463" spans="1:7" ht="18.75" x14ac:dyDescent="0.25">
      <c r="A5463" s="629" t="s">
        <v>3059</v>
      </c>
      <c r="B5463" s="630">
        <v>359</v>
      </c>
      <c r="C5463" s="631" t="str">
        <f t="shared" si="90"/>
        <v>Ô tô vận tải thùng 20 tấn359</v>
      </c>
      <c r="D5463" s="398"/>
      <c r="E5463" s="398"/>
      <c r="F5463" s="398"/>
      <c r="G5463" s="398"/>
    </row>
    <row r="5464" spans="1:7" ht="18.75" x14ac:dyDescent="0.25">
      <c r="A5464" s="629" t="s">
        <v>3059</v>
      </c>
      <c r="B5464" s="630">
        <v>360</v>
      </c>
      <c r="C5464" s="631" t="str">
        <f t="shared" si="90"/>
        <v>Ô tô vận tải thùng 20 tấn360</v>
      </c>
      <c r="D5464" s="398"/>
      <c r="E5464" s="398"/>
      <c r="F5464" s="398"/>
      <c r="G5464" s="398"/>
    </row>
    <row r="5465" spans="1:7" ht="18.75" x14ac:dyDescent="0.25">
      <c r="A5465" s="629" t="s">
        <v>3059</v>
      </c>
      <c r="B5465" s="630">
        <v>361</v>
      </c>
      <c r="C5465" s="631" t="str">
        <f t="shared" si="90"/>
        <v>Ô tô vận tải thùng 20 tấn361</v>
      </c>
      <c r="D5465" s="398"/>
      <c r="E5465" s="398"/>
      <c r="F5465" s="398"/>
      <c r="G5465" s="398"/>
    </row>
    <row r="5466" spans="1:7" ht="18.75" x14ac:dyDescent="0.25">
      <c r="A5466" s="629" t="s">
        <v>3059</v>
      </c>
      <c r="B5466" s="630">
        <v>362</v>
      </c>
      <c r="C5466" s="631" t="str">
        <f t="shared" si="90"/>
        <v>Ô tô vận tải thùng 20 tấn362</v>
      </c>
      <c r="D5466" s="398"/>
      <c r="E5466" s="398"/>
      <c r="F5466" s="398"/>
      <c r="G5466" s="398"/>
    </row>
    <row r="5467" spans="1:7" ht="18.75" x14ac:dyDescent="0.25">
      <c r="A5467" s="629" t="s">
        <v>3059</v>
      </c>
      <c r="B5467" s="630">
        <v>363</v>
      </c>
      <c r="C5467" s="631" t="str">
        <f t="shared" si="90"/>
        <v>Ô tô vận tải thùng 20 tấn363</v>
      </c>
      <c r="D5467" s="398"/>
      <c r="E5467" s="398"/>
      <c r="F5467" s="398"/>
      <c r="G5467" s="398"/>
    </row>
    <row r="5468" spans="1:7" ht="18.75" x14ac:dyDescent="0.25">
      <c r="A5468" s="629" t="s">
        <v>3059</v>
      </c>
      <c r="B5468" s="630">
        <v>364</v>
      </c>
      <c r="C5468" s="631" t="str">
        <f t="shared" si="90"/>
        <v>Ô tô vận tải thùng 20 tấn364</v>
      </c>
      <c r="D5468" s="398"/>
      <c r="E5468" s="398"/>
      <c r="F5468" s="398"/>
      <c r="G5468" s="398"/>
    </row>
    <row r="5469" spans="1:7" ht="18.75" x14ac:dyDescent="0.25">
      <c r="A5469" s="629" t="s">
        <v>3059</v>
      </c>
      <c r="B5469" s="630">
        <v>365</v>
      </c>
      <c r="C5469" s="631" t="str">
        <f t="shared" si="90"/>
        <v>Ô tô vận tải thùng 20 tấn365</v>
      </c>
      <c r="D5469" s="398"/>
      <c r="E5469" s="398"/>
      <c r="F5469" s="398"/>
      <c r="G5469" s="398"/>
    </row>
    <row r="5470" spans="1:7" ht="18.75" x14ac:dyDescent="0.25">
      <c r="A5470" s="629" t="s">
        <v>3059</v>
      </c>
      <c r="B5470" s="630">
        <v>366</v>
      </c>
      <c r="C5470" s="631" t="str">
        <f t="shared" si="90"/>
        <v>Ô tô vận tải thùng 20 tấn366</v>
      </c>
      <c r="D5470" s="398"/>
      <c r="E5470" s="398"/>
      <c r="F5470" s="398"/>
      <c r="G5470" s="398"/>
    </row>
    <row r="5471" spans="1:7" ht="18.75" x14ac:dyDescent="0.25">
      <c r="A5471" s="629" t="s">
        <v>3059</v>
      </c>
      <c r="B5471" s="630">
        <v>367</v>
      </c>
      <c r="C5471" s="631" t="str">
        <f t="shared" si="90"/>
        <v>Ô tô vận tải thùng 20 tấn367</v>
      </c>
      <c r="D5471" s="398"/>
      <c r="E5471" s="398"/>
      <c r="F5471" s="398"/>
      <c r="G5471" s="398"/>
    </row>
    <row r="5472" spans="1:7" ht="18.75" x14ac:dyDescent="0.25">
      <c r="A5472" s="629" t="s">
        <v>3059</v>
      </c>
      <c r="B5472" s="630">
        <v>368</v>
      </c>
      <c r="C5472" s="631" t="str">
        <f t="shared" si="90"/>
        <v>Ô tô vận tải thùng 20 tấn368</v>
      </c>
      <c r="D5472" s="398"/>
      <c r="E5472" s="398"/>
      <c r="F5472" s="398"/>
      <c r="G5472" s="398"/>
    </row>
    <row r="5473" spans="1:7" ht="18.75" x14ac:dyDescent="0.25">
      <c r="A5473" s="629" t="s">
        <v>3059</v>
      </c>
      <c r="B5473" s="630">
        <v>369</v>
      </c>
      <c r="C5473" s="631" t="str">
        <f t="shared" si="90"/>
        <v>Ô tô vận tải thùng 20 tấn369</v>
      </c>
      <c r="D5473" s="398"/>
      <c r="E5473" s="398"/>
      <c r="F5473" s="398"/>
      <c r="G5473" s="398"/>
    </row>
    <row r="5474" spans="1:7" ht="18.75" x14ac:dyDescent="0.25">
      <c r="A5474" s="629" t="s">
        <v>3059</v>
      </c>
      <c r="B5474" s="630">
        <v>370</v>
      </c>
      <c r="C5474" s="631" t="str">
        <f t="shared" si="90"/>
        <v>Ô tô vận tải thùng 20 tấn370</v>
      </c>
      <c r="D5474" s="398"/>
      <c r="E5474" s="398"/>
      <c r="F5474" s="398"/>
      <c r="G5474" s="398"/>
    </row>
    <row r="5475" spans="1:7" ht="18.75" x14ac:dyDescent="0.25">
      <c r="A5475" s="629" t="s">
        <v>3059</v>
      </c>
      <c r="B5475" s="630">
        <v>371</v>
      </c>
      <c r="C5475" s="631" t="str">
        <f t="shared" si="90"/>
        <v>Ô tô vận tải thùng 20 tấn371</v>
      </c>
      <c r="D5475" s="398"/>
      <c r="E5475" s="398"/>
      <c r="F5475" s="398"/>
      <c r="G5475" s="398"/>
    </row>
    <row r="5476" spans="1:7" ht="18.75" x14ac:dyDescent="0.25">
      <c r="A5476" s="629" t="s">
        <v>3059</v>
      </c>
      <c r="B5476" s="630">
        <v>372</v>
      </c>
      <c r="C5476" s="631" t="str">
        <f t="shared" si="90"/>
        <v>Ô tô vận tải thùng 20 tấn372</v>
      </c>
      <c r="D5476" s="398"/>
      <c r="E5476" s="398"/>
      <c r="F5476" s="398"/>
      <c r="G5476" s="398"/>
    </row>
    <row r="5477" spans="1:7" ht="18.75" x14ac:dyDescent="0.25">
      <c r="A5477" s="629" t="s">
        <v>3059</v>
      </c>
      <c r="B5477" s="630">
        <v>373</v>
      </c>
      <c r="C5477" s="631" t="str">
        <f t="shared" si="90"/>
        <v>Ô tô vận tải thùng 20 tấn373</v>
      </c>
      <c r="D5477" s="398"/>
      <c r="E5477" s="398"/>
      <c r="F5477" s="398"/>
      <c r="G5477" s="398"/>
    </row>
    <row r="5478" spans="1:7" ht="18.75" x14ac:dyDescent="0.25">
      <c r="A5478" s="629" t="s">
        <v>3059</v>
      </c>
      <c r="B5478" s="630">
        <v>374</v>
      </c>
      <c r="C5478" s="631" t="str">
        <f t="shared" si="90"/>
        <v>Ô tô vận tải thùng 20 tấn374</v>
      </c>
      <c r="D5478" s="398"/>
      <c r="E5478" s="398"/>
      <c r="F5478" s="398"/>
      <c r="G5478" s="398"/>
    </row>
    <row r="5479" spans="1:7" ht="18.75" x14ac:dyDescent="0.25">
      <c r="A5479" s="629" t="s">
        <v>3059</v>
      </c>
      <c r="B5479" s="630">
        <v>375</v>
      </c>
      <c r="C5479" s="631" t="str">
        <f t="shared" si="90"/>
        <v>Ô tô vận tải thùng 20 tấn375</v>
      </c>
      <c r="D5479" s="398"/>
      <c r="E5479" s="398"/>
      <c r="F5479" s="398"/>
      <c r="G5479" s="398"/>
    </row>
    <row r="5480" spans="1:7" ht="18.75" x14ac:dyDescent="0.25">
      <c r="A5480" s="629" t="s">
        <v>3059</v>
      </c>
      <c r="B5480" s="630">
        <v>376</v>
      </c>
      <c r="C5480" s="631" t="str">
        <f t="shared" si="90"/>
        <v>Ô tô vận tải thùng 20 tấn376</v>
      </c>
      <c r="D5480" s="398"/>
      <c r="E5480" s="398"/>
      <c r="F5480" s="398"/>
      <c r="G5480" s="398"/>
    </row>
    <row r="5481" spans="1:7" ht="18.75" x14ac:dyDescent="0.25">
      <c r="A5481" s="629" t="s">
        <v>3059</v>
      </c>
      <c r="B5481" s="630">
        <v>377</v>
      </c>
      <c r="C5481" s="631" t="str">
        <f t="shared" si="90"/>
        <v>Ô tô vận tải thùng 20 tấn377</v>
      </c>
      <c r="D5481" s="398"/>
      <c r="E5481" s="398"/>
      <c r="F5481" s="398"/>
      <c r="G5481" s="398"/>
    </row>
    <row r="5482" spans="1:7" ht="18.75" x14ac:dyDescent="0.25">
      <c r="A5482" s="629" t="s">
        <v>3059</v>
      </c>
      <c r="B5482" s="630">
        <v>378</v>
      </c>
      <c r="C5482" s="631" t="str">
        <f t="shared" si="90"/>
        <v>Ô tô vận tải thùng 20 tấn378</v>
      </c>
      <c r="D5482" s="398"/>
      <c r="E5482" s="398"/>
      <c r="F5482" s="398"/>
      <c r="G5482" s="398"/>
    </row>
    <row r="5483" spans="1:7" ht="18.75" x14ac:dyDescent="0.25">
      <c r="A5483" s="629" t="s">
        <v>3059</v>
      </c>
      <c r="B5483" s="630">
        <v>379</v>
      </c>
      <c r="C5483" s="631" t="str">
        <f t="shared" si="90"/>
        <v>Ô tô vận tải thùng 20 tấn379</v>
      </c>
      <c r="D5483" s="398"/>
      <c r="E5483" s="398"/>
      <c r="F5483" s="398"/>
      <c r="G5483" s="398"/>
    </row>
    <row r="5484" spans="1:7" ht="18.75" x14ac:dyDescent="0.25">
      <c r="A5484" s="629" t="s">
        <v>3059</v>
      </c>
      <c r="B5484" s="630">
        <v>380</v>
      </c>
      <c r="C5484" s="631" t="str">
        <f t="shared" si="90"/>
        <v>Ô tô vận tải thùng 20 tấn380</v>
      </c>
      <c r="D5484" s="398"/>
      <c r="E5484" s="398"/>
      <c r="F5484" s="398"/>
      <c r="G5484" s="398"/>
    </row>
    <row r="5485" spans="1:7" ht="18.75" x14ac:dyDescent="0.25">
      <c r="A5485" s="629" t="s">
        <v>3059</v>
      </c>
      <c r="B5485" s="630">
        <v>381</v>
      </c>
      <c r="C5485" s="631" t="str">
        <f t="shared" si="90"/>
        <v>Ô tô vận tải thùng 20 tấn381</v>
      </c>
      <c r="D5485" s="398"/>
      <c r="E5485" s="398"/>
      <c r="F5485" s="398"/>
      <c r="G5485" s="398"/>
    </row>
    <row r="5486" spans="1:7" ht="18.75" x14ac:dyDescent="0.25">
      <c r="A5486" s="629" t="s">
        <v>3059</v>
      </c>
      <c r="B5486" s="630">
        <v>382</v>
      </c>
      <c r="C5486" s="631" t="str">
        <f t="shared" si="90"/>
        <v>Ô tô vận tải thùng 20 tấn382</v>
      </c>
      <c r="D5486" s="398"/>
      <c r="E5486" s="398"/>
      <c r="F5486" s="398"/>
      <c r="G5486" s="398"/>
    </row>
    <row r="5487" spans="1:7" ht="18.75" x14ac:dyDescent="0.25">
      <c r="A5487" s="629" t="s">
        <v>3059</v>
      </c>
      <c r="B5487" s="630">
        <v>383</v>
      </c>
      <c r="C5487" s="631" t="str">
        <f t="shared" si="90"/>
        <v>Ô tô vận tải thùng 20 tấn383</v>
      </c>
      <c r="D5487" s="398"/>
      <c r="E5487" s="398"/>
      <c r="F5487" s="398"/>
      <c r="G5487" s="398"/>
    </row>
    <row r="5488" spans="1:7" ht="18.75" x14ac:dyDescent="0.25">
      <c r="A5488" s="629" t="s">
        <v>3059</v>
      </c>
      <c r="B5488" s="630">
        <v>384</v>
      </c>
      <c r="C5488" s="631" t="str">
        <f t="shared" si="90"/>
        <v>Ô tô vận tải thùng 20 tấn384</v>
      </c>
      <c r="D5488" s="398"/>
      <c r="E5488" s="398"/>
      <c r="F5488" s="398"/>
      <c r="G5488" s="398"/>
    </row>
    <row r="5489" spans="1:7" ht="18.75" x14ac:dyDescent="0.25">
      <c r="A5489" s="629" t="s">
        <v>3059</v>
      </c>
      <c r="B5489" s="630">
        <v>385</v>
      </c>
      <c r="C5489" s="631" t="str">
        <f t="shared" si="90"/>
        <v>Ô tô vận tải thùng 20 tấn385</v>
      </c>
      <c r="D5489" s="398"/>
      <c r="E5489" s="398"/>
      <c r="F5489" s="398"/>
      <c r="G5489" s="398"/>
    </row>
    <row r="5490" spans="1:7" ht="18.75" x14ac:dyDescent="0.25">
      <c r="A5490" s="629" t="s">
        <v>3059</v>
      </c>
      <c r="B5490" s="630">
        <v>386</v>
      </c>
      <c r="C5490" s="631" t="str">
        <f t="shared" ref="C5490:C5553" si="91">A5490&amp;B5490</f>
        <v>Ô tô vận tải thùng 20 tấn386</v>
      </c>
      <c r="D5490" s="398"/>
      <c r="E5490" s="398"/>
      <c r="F5490" s="398"/>
      <c r="G5490" s="398"/>
    </row>
    <row r="5491" spans="1:7" ht="18.75" x14ac:dyDescent="0.25">
      <c r="A5491" s="629" t="s">
        <v>3059</v>
      </c>
      <c r="B5491" s="630">
        <v>387</v>
      </c>
      <c r="C5491" s="631" t="str">
        <f t="shared" si="91"/>
        <v>Ô tô vận tải thùng 20 tấn387</v>
      </c>
      <c r="D5491" s="398"/>
      <c r="E5491" s="398"/>
      <c r="F5491" s="398"/>
      <c r="G5491" s="398"/>
    </row>
    <row r="5492" spans="1:7" ht="18.75" x14ac:dyDescent="0.25">
      <c r="A5492" s="629" t="s">
        <v>3059</v>
      </c>
      <c r="B5492" s="630">
        <v>388</v>
      </c>
      <c r="C5492" s="631" t="str">
        <f t="shared" si="91"/>
        <v>Ô tô vận tải thùng 20 tấn388</v>
      </c>
      <c r="D5492" s="398"/>
      <c r="E5492" s="398"/>
      <c r="F5492" s="398"/>
      <c r="G5492" s="398"/>
    </row>
    <row r="5493" spans="1:7" ht="18.75" x14ac:dyDescent="0.25">
      <c r="A5493" s="629" t="s">
        <v>3059</v>
      </c>
      <c r="B5493" s="630">
        <v>389</v>
      </c>
      <c r="C5493" s="631" t="str">
        <f t="shared" si="91"/>
        <v>Ô tô vận tải thùng 20 tấn389</v>
      </c>
      <c r="D5493" s="398"/>
      <c r="E5493" s="398"/>
      <c r="F5493" s="398"/>
      <c r="G5493" s="398"/>
    </row>
    <row r="5494" spans="1:7" ht="18.75" x14ac:dyDescent="0.25">
      <c r="A5494" s="629" t="s">
        <v>3059</v>
      </c>
      <c r="B5494" s="630">
        <v>390</v>
      </c>
      <c r="C5494" s="631" t="str">
        <f t="shared" si="91"/>
        <v>Ô tô vận tải thùng 20 tấn390</v>
      </c>
      <c r="D5494" s="398"/>
      <c r="E5494" s="398"/>
      <c r="F5494" s="398"/>
      <c r="G5494" s="398"/>
    </row>
    <row r="5495" spans="1:7" ht="18.75" x14ac:dyDescent="0.25">
      <c r="A5495" s="629" t="s">
        <v>3059</v>
      </c>
      <c r="B5495" s="630">
        <v>391</v>
      </c>
      <c r="C5495" s="631" t="str">
        <f t="shared" si="91"/>
        <v>Ô tô vận tải thùng 20 tấn391</v>
      </c>
      <c r="D5495" s="398"/>
      <c r="E5495" s="398"/>
      <c r="F5495" s="398"/>
      <c r="G5495" s="398"/>
    </row>
    <row r="5496" spans="1:7" ht="18.75" x14ac:dyDescent="0.25">
      <c r="A5496" s="629" t="s">
        <v>3059</v>
      </c>
      <c r="B5496" s="630">
        <v>392</v>
      </c>
      <c r="C5496" s="631" t="str">
        <f t="shared" si="91"/>
        <v>Ô tô vận tải thùng 20 tấn392</v>
      </c>
      <c r="D5496" s="398"/>
      <c r="E5496" s="398"/>
      <c r="F5496" s="398"/>
      <c r="G5496" s="398"/>
    </row>
    <row r="5497" spans="1:7" ht="18.75" x14ac:dyDescent="0.25">
      <c r="A5497" s="629" t="s">
        <v>3059</v>
      </c>
      <c r="B5497" s="630">
        <v>393</v>
      </c>
      <c r="C5497" s="631" t="str">
        <f t="shared" si="91"/>
        <v>Ô tô vận tải thùng 20 tấn393</v>
      </c>
      <c r="D5497" s="398"/>
      <c r="E5497" s="398"/>
      <c r="F5497" s="398"/>
      <c r="G5497" s="398"/>
    </row>
    <row r="5498" spans="1:7" ht="18.75" x14ac:dyDescent="0.25">
      <c r="A5498" s="629" t="s">
        <v>3059</v>
      </c>
      <c r="B5498" s="630">
        <v>394</v>
      </c>
      <c r="C5498" s="631" t="str">
        <f t="shared" si="91"/>
        <v>Ô tô vận tải thùng 20 tấn394</v>
      </c>
      <c r="D5498" s="398"/>
      <c r="E5498" s="398"/>
      <c r="F5498" s="398"/>
      <c r="G5498" s="398"/>
    </row>
    <row r="5499" spans="1:7" ht="18.75" x14ac:dyDescent="0.25">
      <c r="A5499" s="629" t="s">
        <v>3059</v>
      </c>
      <c r="B5499" s="630">
        <v>395</v>
      </c>
      <c r="C5499" s="631" t="str">
        <f t="shared" si="91"/>
        <v>Ô tô vận tải thùng 20 tấn395</v>
      </c>
      <c r="D5499" s="398"/>
      <c r="E5499" s="398"/>
      <c r="F5499" s="398"/>
      <c r="G5499" s="398"/>
    </row>
    <row r="5500" spans="1:7" ht="18.75" x14ac:dyDescent="0.25">
      <c r="A5500" s="629" t="s">
        <v>3059</v>
      </c>
      <c r="B5500" s="630">
        <v>396</v>
      </c>
      <c r="C5500" s="631" t="str">
        <f t="shared" si="91"/>
        <v>Ô tô vận tải thùng 20 tấn396</v>
      </c>
      <c r="D5500" s="398"/>
      <c r="E5500" s="398"/>
      <c r="F5500" s="398"/>
      <c r="G5500" s="398"/>
    </row>
    <row r="5501" spans="1:7" ht="18.75" x14ac:dyDescent="0.25">
      <c r="A5501" s="629" t="s">
        <v>3059</v>
      </c>
      <c r="B5501" s="630">
        <v>397</v>
      </c>
      <c r="C5501" s="631" t="str">
        <f t="shared" si="91"/>
        <v>Ô tô vận tải thùng 20 tấn397</v>
      </c>
      <c r="D5501" s="398"/>
      <c r="E5501" s="398"/>
      <c r="F5501" s="398"/>
      <c r="G5501" s="398"/>
    </row>
    <row r="5502" spans="1:7" ht="18.75" x14ac:dyDescent="0.25">
      <c r="A5502" s="629" t="s">
        <v>3059</v>
      </c>
      <c r="B5502" s="630">
        <v>398</v>
      </c>
      <c r="C5502" s="631" t="str">
        <f t="shared" si="91"/>
        <v>Ô tô vận tải thùng 20 tấn398</v>
      </c>
      <c r="D5502" s="398"/>
      <c r="E5502" s="398"/>
      <c r="F5502" s="398"/>
      <c r="G5502" s="398"/>
    </row>
    <row r="5503" spans="1:7" ht="18.75" x14ac:dyDescent="0.25">
      <c r="A5503" s="629" t="s">
        <v>3059</v>
      </c>
      <c r="B5503" s="630">
        <v>399</v>
      </c>
      <c r="C5503" s="631" t="str">
        <f t="shared" si="91"/>
        <v>Ô tô vận tải thùng 20 tấn399</v>
      </c>
      <c r="D5503" s="398"/>
      <c r="E5503" s="398"/>
      <c r="F5503" s="398"/>
      <c r="G5503" s="398"/>
    </row>
    <row r="5504" spans="1:7" ht="18.75" x14ac:dyDescent="0.25">
      <c r="A5504" s="629" t="s">
        <v>3059</v>
      </c>
      <c r="B5504" s="630">
        <v>400</v>
      </c>
      <c r="C5504" s="631" t="str">
        <f t="shared" si="91"/>
        <v>Ô tô vận tải thùng 20 tấn400</v>
      </c>
      <c r="D5504" s="398"/>
      <c r="E5504" s="398"/>
      <c r="F5504" s="398"/>
      <c r="G5504" s="398"/>
    </row>
    <row r="5505" spans="1:7" ht="18.75" x14ac:dyDescent="0.25">
      <c r="A5505" s="629" t="s">
        <v>3059</v>
      </c>
      <c r="B5505" s="630">
        <v>401</v>
      </c>
      <c r="C5505" s="631" t="str">
        <f t="shared" si="91"/>
        <v>Ô tô vận tải thùng 20 tấn401</v>
      </c>
      <c r="D5505" s="398"/>
      <c r="E5505" s="398"/>
      <c r="F5505" s="398"/>
      <c r="G5505" s="398"/>
    </row>
    <row r="5506" spans="1:7" ht="18.75" x14ac:dyDescent="0.25">
      <c r="A5506" s="629" t="s">
        <v>3059</v>
      </c>
      <c r="B5506" s="630">
        <v>402</v>
      </c>
      <c r="C5506" s="631" t="str">
        <f t="shared" si="91"/>
        <v>Ô tô vận tải thùng 20 tấn402</v>
      </c>
      <c r="D5506" s="398"/>
      <c r="E5506" s="398"/>
      <c r="F5506" s="398"/>
      <c r="G5506" s="398"/>
    </row>
    <row r="5507" spans="1:7" ht="18.75" x14ac:dyDescent="0.25">
      <c r="A5507" s="629" t="s">
        <v>3059</v>
      </c>
      <c r="B5507" s="630">
        <v>403</v>
      </c>
      <c r="C5507" s="631" t="str">
        <f t="shared" si="91"/>
        <v>Ô tô vận tải thùng 20 tấn403</v>
      </c>
      <c r="D5507" s="398"/>
      <c r="E5507" s="398"/>
      <c r="F5507" s="398"/>
      <c r="G5507" s="398"/>
    </row>
    <row r="5508" spans="1:7" ht="18.75" x14ac:dyDescent="0.25">
      <c r="A5508" s="629" t="s">
        <v>3059</v>
      </c>
      <c r="B5508" s="630">
        <v>404</v>
      </c>
      <c r="C5508" s="631" t="str">
        <f t="shared" si="91"/>
        <v>Ô tô vận tải thùng 20 tấn404</v>
      </c>
      <c r="D5508" s="398"/>
      <c r="E5508" s="398"/>
      <c r="F5508" s="398"/>
      <c r="G5508" s="398"/>
    </row>
    <row r="5509" spans="1:7" ht="18.75" x14ac:dyDescent="0.25">
      <c r="A5509" s="629" t="s">
        <v>3059</v>
      </c>
      <c r="B5509" s="630">
        <v>405</v>
      </c>
      <c r="C5509" s="631" t="str">
        <f t="shared" si="91"/>
        <v>Ô tô vận tải thùng 20 tấn405</v>
      </c>
      <c r="D5509" s="398"/>
      <c r="E5509" s="398"/>
      <c r="F5509" s="398"/>
      <c r="G5509" s="398"/>
    </row>
    <row r="5510" spans="1:7" ht="18.75" x14ac:dyDescent="0.25">
      <c r="A5510" s="629" t="s">
        <v>3059</v>
      </c>
      <c r="B5510" s="630">
        <v>406</v>
      </c>
      <c r="C5510" s="631" t="str">
        <f t="shared" si="91"/>
        <v>Ô tô vận tải thùng 20 tấn406</v>
      </c>
      <c r="D5510" s="398"/>
      <c r="E5510" s="398"/>
      <c r="F5510" s="398"/>
      <c r="G5510" s="398"/>
    </row>
    <row r="5511" spans="1:7" ht="18.75" x14ac:dyDescent="0.25">
      <c r="A5511" s="629" t="s">
        <v>3059</v>
      </c>
      <c r="B5511" s="630">
        <v>407</v>
      </c>
      <c r="C5511" s="631" t="str">
        <f t="shared" si="91"/>
        <v>Ô tô vận tải thùng 20 tấn407</v>
      </c>
      <c r="D5511" s="398"/>
      <c r="E5511" s="398"/>
      <c r="F5511" s="398"/>
      <c r="G5511" s="398"/>
    </row>
    <row r="5512" spans="1:7" ht="18.75" x14ac:dyDescent="0.25">
      <c r="A5512" s="629" t="s">
        <v>3059</v>
      </c>
      <c r="B5512" s="630">
        <v>408</v>
      </c>
      <c r="C5512" s="631" t="str">
        <f t="shared" si="91"/>
        <v>Ô tô vận tải thùng 20 tấn408</v>
      </c>
      <c r="D5512" s="398"/>
      <c r="E5512" s="398"/>
      <c r="F5512" s="398"/>
      <c r="G5512" s="398"/>
    </row>
    <row r="5513" spans="1:7" ht="18.75" x14ac:dyDescent="0.25">
      <c r="A5513" s="629" t="s">
        <v>3059</v>
      </c>
      <c r="B5513" s="630">
        <v>409</v>
      </c>
      <c r="C5513" s="631" t="str">
        <f t="shared" si="91"/>
        <v>Ô tô vận tải thùng 20 tấn409</v>
      </c>
      <c r="D5513" s="398"/>
      <c r="E5513" s="398"/>
      <c r="F5513" s="398"/>
      <c r="G5513" s="398"/>
    </row>
    <row r="5514" spans="1:7" ht="18.75" x14ac:dyDescent="0.25">
      <c r="A5514" s="629" t="s">
        <v>3059</v>
      </c>
      <c r="B5514" s="630">
        <v>410</v>
      </c>
      <c r="C5514" s="631" t="str">
        <f t="shared" si="91"/>
        <v>Ô tô vận tải thùng 20 tấn410</v>
      </c>
      <c r="D5514" s="398"/>
      <c r="E5514" s="398"/>
      <c r="F5514" s="398"/>
      <c r="G5514" s="398"/>
    </row>
    <row r="5515" spans="1:7" ht="18.75" x14ac:dyDescent="0.25">
      <c r="A5515" s="629" t="s">
        <v>3059</v>
      </c>
      <c r="B5515" s="630">
        <v>411</v>
      </c>
      <c r="C5515" s="631" t="str">
        <f t="shared" si="91"/>
        <v>Ô tô vận tải thùng 20 tấn411</v>
      </c>
      <c r="D5515" s="398"/>
      <c r="E5515" s="398"/>
      <c r="F5515" s="398"/>
      <c r="G5515" s="398"/>
    </row>
    <row r="5516" spans="1:7" ht="18.75" x14ac:dyDescent="0.25">
      <c r="A5516" s="629" t="s">
        <v>3059</v>
      </c>
      <c r="B5516" s="630">
        <v>412</v>
      </c>
      <c r="C5516" s="631" t="str">
        <f t="shared" si="91"/>
        <v>Ô tô vận tải thùng 20 tấn412</v>
      </c>
      <c r="D5516" s="398"/>
      <c r="E5516" s="398"/>
      <c r="F5516" s="398"/>
      <c r="G5516" s="398"/>
    </row>
    <row r="5517" spans="1:7" ht="18.75" x14ac:dyDescent="0.25">
      <c r="A5517" s="629" t="s">
        <v>3059</v>
      </c>
      <c r="B5517" s="630">
        <v>413</v>
      </c>
      <c r="C5517" s="631" t="str">
        <f t="shared" si="91"/>
        <v>Ô tô vận tải thùng 20 tấn413</v>
      </c>
      <c r="D5517" s="398"/>
      <c r="E5517" s="398"/>
      <c r="F5517" s="398"/>
      <c r="G5517" s="398"/>
    </row>
    <row r="5518" spans="1:7" ht="18.75" x14ac:dyDescent="0.25">
      <c r="A5518" s="629" t="s">
        <v>3059</v>
      </c>
      <c r="B5518" s="630">
        <v>414</v>
      </c>
      <c r="C5518" s="631" t="str">
        <f t="shared" si="91"/>
        <v>Ô tô vận tải thùng 20 tấn414</v>
      </c>
      <c r="D5518" s="398"/>
      <c r="E5518" s="398"/>
      <c r="F5518" s="398"/>
      <c r="G5518" s="398"/>
    </row>
    <row r="5519" spans="1:7" ht="18.75" x14ac:dyDescent="0.25">
      <c r="A5519" s="629" t="s">
        <v>3059</v>
      </c>
      <c r="B5519" s="630">
        <v>415</v>
      </c>
      <c r="C5519" s="631" t="str">
        <f t="shared" si="91"/>
        <v>Ô tô vận tải thùng 20 tấn415</v>
      </c>
      <c r="D5519" s="398"/>
      <c r="E5519" s="398"/>
      <c r="F5519" s="398"/>
      <c r="G5519" s="398"/>
    </row>
    <row r="5520" spans="1:7" ht="18.75" x14ac:dyDescent="0.25">
      <c r="A5520" s="629" t="s">
        <v>3059</v>
      </c>
      <c r="B5520" s="630">
        <v>416</v>
      </c>
      <c r="C5520" s="631" t="str">
        <f t="shared" si="91"/>
        <v>Ô tô vận tải thùng 20 tấn416</v>
      </c>
      <c r="D5520" s="398"/>
      <c r="E5520" s="398"/>
      <c r="F5520" s="398"/>
      <c r="G5520" s="398"/>
    </row>
    <row r="5521" spans="1:7" ht="18.75" x14ac:dyDescent="0.25">
      <c r="A5521" s="629" t="s">
        <v>3059</v>
      </c>
      <c r="B5521" s="630">
        <v>417</v>
      </c>
      <c r="C5521" s="631" t="str">
        <f t="shared" si="91"/>
        <v>Ô tô vận tải thùng 20 tấn417</v>
      </c>
      <c r="D5521" s="398"/>
      <c r="E5521" s="398"/>
      <c r="F5521" s="398"/>
      <c r="G5521" s="398"/>
    </row>
    <row r="5522" spans="1:7" ht="18.75" x14ac:dyDescent="0.25">
      <c r="A5522" s="629" t="s">
        <v>3059</v>
      </c>
      <c r="B5522" s="630">
        <v>418</v>
      </c>
      <c r="C5522" s="631" t="str">
        <f t="shared" si="91"/>
        <v>Ô tô vận tải thùng 20 tấn418</v>
      </c>
      <c r="D5522" s="398"/>
      <c r="E5522" s="398"/>
      <c r="F5522" s="398"/>
      <c r="G5522" s="398"/>
    </row>
    <row r="5523" spans="1:7" ht="18.75" x14ac:dyDescent="0.25">
      <c r="A5523" s="629" t="s">
        <v>3059</v>
      </c>
      <c r="B5523" s="630">
        <v>419</v>
      </c>
      <c r="C5523" s="631" t="str">
        <f t="shared" si="91"/>
        <v>Ô tô vận tải thùng 20 tấn419</v>
      </c>
      <c r="D5523" s="398"/>
      <c r="E5523" s="398"/>
      <c r="F5523" s="398"/>
      <c r="G5523" s="398"/>
    </row>
    <row r="5524" spans="1:7" ht="18.75" x14ac:dyDescent="0.25">
      <c r="A5524" s="629" t="s">
        <v>3059</v>
      </c>
      <c r="B5524" s="630">
        <v>420</v>
      </c>
      <c r="C5524" s="631" t="str">
        <f t="shared" si="91"/>
        <v>Ô tô vận tải thùng 20 tấn420</v>
      </c>
      <c r="D5524" s="398"/>
      <c r="E5524" s="398"/>
      <c r="F5524" s="398"/>
      <c r="G5524" s="398"/>
    </row>
    <row r="5525" spans="1:7" ht="18.75" x14ac:dyDescent="0.25">
      <c r="A5525" s="629" t="s">
        <v>3059</v>
      </c>
      <c r="B5525" s="630">
        <v>421</v>
      </c>
      <c r="C5525" s="631" t="str">
        <f t="shared" si="91"/>
        <v>Ô tô vận tải thùng 20 tấn421</v>
      </c>
      <c r="D5525" s="398"/>
      <c r="E5525" s="398"/>
      <c r="F5525" s="398"/>
      <c r="G5525" s="398"/>
    </row>
    <row r="5526" spans="1:7" ht="18.75" x14ac:dyDescent="0.25">
      <c r="A5526" s="629" t="s">
        <v>3059</v>
      </c>
      <c r="B5526" s="630">
        <v>422</v>
      </c>
      <c r="C5526" s="631" t="str">
        <f t="shared" si="91"/>
        <v>Ô tô vận tải thùng 20 tấn422</v>
      </c>
      <c r="D5526" s="398"/>
      <c r="E5526" s="398"/>
      <c r="F5526" s="398"/>
      <c r="G5526" s="398"/>
    </row>
    <row r="5527" spans="1:7" ht="18.75" x14ac:dyDescent="0.25">
      <c r="A5527" s="629" t="s">
        <v>3059</v>
      </c>
      <c r="B5527" s="630">
        <v>423</v>
      </c>
      <c r="C5527" s="631" t="str">
        <f t="shared" si="91"/>
        <v>Ô tô vận tải thùng 20 tấn423</v>
      </c>
      <c r="D5527" s="398"/>
      <c r="E5527" s="398"/>
      <c r="F5527" s="398"/>
      <c r="G5527" s="398"/>
    </row>
    <row r="5528" spans="1:7" ht="18.75" x14ac:dyDescent="0.25">
      <c r="A5528" s="629" t="s">
        <v>3059</v>
      </c>
      <c r="B5528" s="630">
        <v>424</v>
      </c>
      <c r="C5528" s="631" t="str">
        <f t="shared" si="91"/>
        <v>Ô tô vận tải thùng 20 tấn424</v>
      </c>
      <c r="D5528" s="398"/>
      <c r="E5528" s="398"/>
      <c r="F5528" s="398"/>
      <c r="G5528" s="398"/>
    </row>
    <row r="5529" spans="1:7" ht="18.75" x14ac:dyDescent="0.25">
      <c r="A5529" s="629" t="s">
        <v>3059</v>
      </c>
      <c r="B5529" s="630">
        <v>425</v>
      </c>
      <c r="C5529" s="631" t="str">
        <f t="shared" si="91"/>
        <v>Ô tô vận tải thùng 20 tấn425</v>
      </c>
      <c r="D5529" s="398"/>
      <c r="E5529" s="398"/>
      <c r="F5529" s="398"/>
      <c r="G5529" s="398"/>
    </row>
    <row r="5530" spans="1:7" ht="18.75" x14ac:dyDescent="0.25">
      <c r="A5530" s="629" t="s">
        <v>3059</v>
      </c>
      <c r="B5530" s="630">
        <v>426</v>
      </c>
      <c r="C5530" s="631" t="str">
        <f t="shared" si="91"/>
        <v>Ô tô vận tải thùng 20 tấn426</v>
      </c>
      <c r="D5530" s="398"/>
      <c r="E5530" s="398"/>
      <c r="F5530" s="398"/>
      <c r="G5530" s="398"/>
    </row>
    <row r="5531" spans="1:7" ht="18.75" x14ac:dyDescent="0.25">
      <c r="A5531" s="629" t="s">
        <v>3059</v>
      </c>
      <c r="B5531" s="630">
        <v>427</v>
      </c>
      <c r="C5531" s="631" t="str">
        <f t="shared" si="91"/>
        <v>Ô tô vận tải thùng 20 tấn427</v>
      </c>
      <c r="D5531" s="398"/>
      <c r="E5531" s="398"/>
      <c r="F5531" s="398"/>
      <c r="G5531" s="398"/>
    </row>
    <row r="5532" spans="1:7" ht="18.75" x14ac:dyDescent="0.25">
      <c r="A5532" s="629" t="s">
        <v>3059</v>
      </c>
      <c r="B5532" s="630">
        <v>428</v>
      </c>
      <c r="C5532" s="631" t="str">
        <f t="shared" si="91"/>
        <v>Ô tô vận tải thùng 20 tấn428</v>
      </c>
      <c r="D5532" s="398"/>
      <c r="E5532" s="398"/>
      <c r="F5532" s="398"/>
      <c r="G5532" s="398"/>
    </row>
    <row r="5533" spans="1:7" ht="18.75" x14ac:dyDescent="0.25">
      <c r="A5533" s="629" t="s">
        <v>3059</v>
      </c>
      <c r="B5533" s="630">
        <v>429</v>
      </c>
      <c r="C5533" s="631" t="str">
        <f t="shared" si="91"/>
        <v>Ô tô vận tải thùng 20 tấn429</v>
      </c>
      <c r="D5533" s="398"/>
      <c r="E5533" s="398"/>
      <c r="F5533" s="398"/>
      <c r="G5533" s="398"/>
    </row>
    <row r="5534" spans="1:7" ht="18.75" x14ac:dyDescent="0.25">
      <c r="A5534" s="629" t="s">
        <v>3059</v>
      </c>
      <c r="B5534" s="630">
        <v>430</v>
      </c>
      <c r="C5534" s="631" t="str">
        <f t="shared" si="91"/>
        <v>Ô tô vận tải thùng 20 tấn430</v>
      </c>
      <c r="D5534" s="398"/>
      <c r="E5534" s="398"/>
      <c r="F5534" s="398"/>
      <c r="G5534" s="398"/>
    </row>
    <row r="5535" spans="1:7" ht="18.75" x14ac:dyDescent="0.25">
      <c r="A5535" s="629" t="s">
        <v>3059</v>
      </c>
      <c r="B5535" s="630">
        <v>431</v>
      </c>
      <c r="C5535" s="631" t="str">
        <f t="shared" si="91"/>
        <v>Ô tô vận tải thùng 20 tấn431</v>
      </c>
      <c r="D5535" s="398"/>
      <c r="E5535" s="398"/>
      <c r="F5535" s="398"/>
      <c r="G5535" s="398"/>
    </row>
    <row r="5536" spans="1:7" ht="18.75" x14ac:dyDescent="0.25">
      <c r="A5536" s="629" t="s">
        <v>3059</v>
      </c>
      <c r="B5536" s="630">
        <v>432</v>
      </c>
      <c r="C5536" s="631" t="str">
        <f t="shared" si="91"/>
        <v>Ô tô vận tải thùng 20 tấn432</v>
      </c>
      <c r="D5536" s="398"/>
      <c r="E5536" s="398"/>
      <c r="F5536" s="398"/>
      <c r="G5536" s="398"/>
    </row>
    <row r="5537" spans="1:7" ht="18.75" x14ac:dyDescent="0.25">
      <c r="A5537" s="629" t="s">
        <v>3059</v>
      </c>
      <c r="B5537" s="630">
        <v>433</v>
      </c>
      <c r="C5537" s="631" t="str">
        <f t="shared" si="91"/>
        <v>Ô tô vận tải thùng 20 tấn433</v>
      </c>
      <c r="D5537" s="398"/>
      <c r="E5537" s="398"/>
      <c r="F5537" s="398"/>
      <c r="G5537" s="398"/>
    </row>
    <row r="5538" spans="1:7" ht="18.75" x14ac:dyDescent="0.25">
      <c r="A5538" s="629" t="s">
        <v>3059</v>
      </c>
      <c r="B5538" s="630">
        <v>434</v>
      </c>
      <c r="C5538" s="631" t="str">
        <f t="shared" si="91"/>
        <v>Ô tô vận tải thùng 20 tấn434</v>
      </c>
      <c r="D5538" s="398"/>
      <c r="E5538" s="398"/>
      <c r="F5538" s="398"/>
      <c r="G5538" s="398"/>
    </row>
    <row r="5539" spans="1:7" ht="18.75" x14ac:dyDescent="0.25">
      <c r="A5539" s="629" t="s">
        <v>3059</v>
      </c>
      <c r="B5539" s="630">
        <v>435</v>
      </c>
      <c r="C5539" s="631" t="str">
        <f t="shared" si="91"/>
        <v>Ô tô vận tải thùng 20 tấn435</v>
      </c>
      <c r="D5539" s="398"/>
      <c r="E5539" s="398"/>
      <c r="F5539" s="398"/>
      <c r="G5539" s="398"/>
    </row>
    <row r="5540" spans="1:7" ht="18.75" x14ac:dyDescent="0.25">
      <c r="A5540" s="629" t="s">
        <v>3059</v>
      </c>
      <c r="B5540" s="630">
        <v>436</v>
      </c>
      <c r="C5540" s="631" t="str">
        <f t="shared" si="91"/>
        <v>Ô tô vận tải thùng 20 tấn436</v>
      </c>
      <c r="D5540" s="398"/>
      <c r="E5540" s="398"/>
      <c r="F5540" s="398"/>
      <c r="G5540" s="398"/>
    </row>
    <row r="5541" spans="1:7" ht="18.75" x14ac:dyDescent="0.25">
      <c r="A5541" s="629" t="s">
        <v>3059</v>
      </c>
      <c r="B5541" s="630">
        <v>437</v>
      </c>
      <c r="C5541" s="631" t="str">
        <f t="shared" si="91"/>
        <v>Ô tô vận tải thùng 20 tấn437</v>
      </c>
      <c r="D5541" s="398"/>
      <c r="E5541" s="398"/>
      <c r="F5541" s="398"/>
      <c r="G5541" s="398"/>
    </row>
    <row r="5542" spans="1:7" ht="18.75" x14ac:dyDescent="0.25">
      <c r="A5542" s="629" t="s">
        <v>3059</v>
      </c>
      <c r="B5542" s="630">
        <v>438</v>
      </c>
      <c r="C5542" s="631" t="str">
        <f t="shared" si="91"/>
        <v>Ô tô vận tải thùng 20 tấn438</v>
      </c>
      <c r="D5542" s="398"/>
      <c r="E5542" s="398"/>
      <c r="F5542" s="398"/>
      <c r="G5542" s="398"/>
    </row>
    <row r="5543" spans="1:7" ht="18.75" x14ac:dyDescent="0.25">
      <c r="A5543" s="629" t="s">
        <v>3059</v>
      </c>
      <c r="B5543" s="630">
        <v>439</v>
      </c>
      <c r="C5543" s="631" t="str">
        <f t="shared" si="91"/>
        <v>Ô tô vận tải thùng 20 tấn439</v>
      </c>
      <c r="D5543" s="398"/>
      <c r="E5543" s="398"/>
      <c r="F5543" s="398"/>
      <c r="G5543" s="398"/>
    </row>
    <row r="5544" spans="1:7" ht="18.75" x14ac:dyDescent="0.25">
      <c r="A5544" s="629" t="s">
        <v>3059</v>
      </c>
      <c r="B5544" s="630">
        <v>440</v>
      </c>
      <c r="C5544" s="631" t="str">
        <f t="shared" si="91"/>
        <v>Ô tô vận tải thùng 20 tấn440</v>
      </c>
      <c r="D5544" s="398"/>
      <c r="E5544" s="398"/>
      <c r="F5544" s="398"/>
      <c r="G5544" s="398"/>
    </row>
    <row r="5545" spans="1:7" ht="18.75" x14ac:dyDescent="0.25">
      <c r="A5545" s="629" t="s">
        <v>3059</v>
      </c>
      <c r="B5545" s="630">
        <v>441</v>
      </c>
      <c r="C5545" s="631" t="str">
        <f t="shared" si="91"/>
        <v>Ô tô vận tải thùng 20 tấn441</v>
      </c>
      <c r="D5545" s="398"/>
      <c r="E5545" s="398"/>
      <c r="F5545" s="398"/>
      <c r="G5545" s="398"/>
    </row>
    <row r="5546" spans="1:7" ht="18.75" x14ac:dyDescent="0.25">
      <c r="A5546" s="629" t="s">
        <v>3059</v>
      </c>
      <c r="B5546" s="630">
        <v>442</v>
      </c>
      <c r="C5546" s="631" t="str">
        <f t="shared" si="91"/>
        <v>Ô tô vận tải thùng 20 tấn442</v>
      </c>
      <c r="D5546" s="398"/>
      <c r="E5546" s="398"/>
      <c r="F5546" s="398"/>
      <c r="G5546" s="398"/>
    </row>
    <row r="5547" spans="1:7" ht="18.75" x14ac:dyDescent="0.25">
      <c r="A5547" s="629" t="s">
        <v>3059</v>
      </c>
      <c r="B5547" s="630">
        <v>443</v>
      </c>
      <c r="C5547" s="631" t="str">
        <f t="shared" si="91"/>
        <v>Ô tô vận tải thùng 20 tấn443</v>
      </c>
      <c r="D5547" s="398"/>
      <c r="E5547" s="398"/>
      <c r="F5547" s="398"/>
      <c r="G5547" s="398"/>
    </row>
    <row r="5548" spans="1:7" ht="18.75" x14ac:dyDescent="0.25">
      <c r="A5548" s="629" t="s">
        <v>3059</v>
      </c>
      <c r="B5548" s="630">
        <v>444</v>
      </c>
      <c r="C5548" s="631" t="str">
        <f t="shared" si="91"/>
        <v>Ô tô vận tải thùng 20 tấn444</v>
      </c>
      <c r="D5548" s="398"/>
      <c r="E5548" s="398"/>
      <c r="F5548" s="398"/>
      <c r="G5548" s="398"/>
    </row>
    <row r="5549" spans="1:7" ht="18.75" x14ac:dyDescent="0.25">
      <c r="A5549" s="629" t="s">
        <v>3059</v>
      </c>
      <c r="B5549" s="630">
        <v>445</v>
      </c>
      <c r="C5549" s="631" t="str">
        <f t="shared" si="91"/>
        <v>Ô tô vận tải thùng 20 tấn445</v>
      </c>
      <c r="D5549" s="398"/>
      <c r="E5549" s="398"/>
      <c r="F5549" s="398"/>
      <c r="G5549" s="398"/>
    </row>
    <row r="5550" spans="1:7" ht="18.75" x14ac:dyDescent="0.25">
      <c r="A5550" s="629" t="s">
        <v>3059</v>
      </c>
      <c r="B5550" s="630">
        <v>446</v>
      </c>
      <c r="C5550" s="631" t="str">
        <f t="shared" si="91"/>
        <v>Ô tô vận tải thùng 20 tấn446</v>
      </c>
      <c r="D5550" s="398"/>
      <c r="E5550" s="398"/>
      <c r="F5550" s="398"/>
      <c r="G5550" s="398"/>
    </row>
    <row r="5551" spans="1:7" ht="18.75" x14ac:dyDescent="0.25">
      <c r="A5551" s="629" t="s">
        <v>3059</v>
      </c>
      <c r="B5551" s="630">
        <v>447</v>
      </c>
      <c r="C5551" s="631" t="str">
        <f t="shared" si="91"/>
        <v>Ô tô vận tải thùng 20 tấn447</v>
      </c>
      <c r="D5551" s="398"/>
      <c r="E5551" s="398"/>
      <c r="F5551" s="398"/>
      <c r="G5551" s="398"/>
    </row>
    <row r="5552" spans="1:7" ht="18.75" x14ac:dyDescent="0.25">
      <c r="A5552" s="629" t="s">
        <v>3059</v>
      </c>
      <c r="B5552" s="630">
        <v>448</v>
      </c>
      <c r="C5552" s="631" t="str">
        <f t="shared" si="91"/>
        <v>Ô tô vận tải thùng 20 tấn448</v>
      </c>
      <c r="D5552" s="398"/>
      <c r="E5552" s="398"/>
      <c r="F5552" s="398"/>
      <c r="G5552" s="398"/>
    </row>
    <row r="5553" spans="1:7" ht="18.75" x14ac:dyDescent="0.25">
      <c r="A5553" s="629" t="s">
        <v>3059</v>
      </c>
      <c r="B5553" s="630">
        <v>449</v>
      </c>
      <c r="C5553" s="631" t="str">
        <f t="shared" si="91"/>
        <v>Ô tô vận tải thùng 20 tấn449</v>
      </c>
      <c r="D5553" s="398"/>
      <c r="E5553" s="398"/>
      <c r="F5553" s="398"/>
      <c r="G5553" s="398"/>
    </row>
    <row r="5554" spans="1:7" ht="18.75" x14ac:dyDescent="0.25">
      <c r="A5554" s="629" t="s">
        <v>3059</v>
      </c>
      <c r="B5554" s="630">
        <v>450</v>
      </c>
      <c r="C5554" s="631" t="str">
        <f t="shared" ref="C5554:C5604" si="92">A5554&amp;B5554</f>
        <v>Ô tô vận tải thùng 20 tấn450</v>
      </c>
      <c r="D5554" s="398"/>
      <c r="E5554" s="398"/>
      <c r="F5554" s="398"/>
      <c r="G5554" s="398"/>
    </row>
    <row r="5555" spans="1:7" ht="18.75" x14ac:dyDescent="0.25">
      <c r="A5555" s="629" t="s">
        <v>3059</v>
      </c>
      <c r="B5555" s="630">
        <v>451</v>
      </c>
      <c r="C5555" s="631" t="str">
        <f t="shared" si="92"/>
        <v>Ô tô vận tải thùng 20 tấn451</v>
      </c>
      <c r="D5555" s="398"/>
      <c r="E5555" s="398"/>
      <c r="F5555" s="398"/>
      <c r="G5555" s="398"/>
    </row>
    <row r="5556" spans="1:7" ht="18.75" x14ac:dyDescent="0.25">
      <c r="A5556" s="629" t="s">
        <v>3059</v>
      </c>
      <c r="B5556" s="630">
        <v>452</v>
      </c>
      <c r="C5556" s="631" t="str">
        <f t="shared" si="92"/>
        <v>Ô tô vận tải thùng 20 tấn452</v>
      </c>
      <c r="D5556" s="398"/>
      <c r="E5556" s="398"/>
      <c r="F5556" s="398"/>
      <c r="G5556" s="398"/>
    </row>
    <row r="5557" spans="1:7" ht="18.75" x14ac:dyDescent="0.25">
      <c r="A5557" s="629" t="s">
        <v>3059</v>
      </c>
      <c r="B5557" s="630">
        <v>453</v>
      </c>
      <c r="C5557" s="631" t="str">
        <f t="shared" si="92"/>
        <v>Ô tô vận tải thùng 20 tấn453</v>
      </c>
      <c r="D5557" s="398"/>
      <c r="E5557" s="398"/>
      <c r="F5557" s="398"/>
      <c r="G5557" s="398"/>
    </row>
    <row r="5558" spans="1:7" ht="18.75" x14ac:dyDescent="0.25">
      <c r="A5558" s="629" t="s">
        <v>3059</v>
      </c>
      <c r="B5558" s="630">
        <v>454</v>
      </c>
      <c r="C5558" s="631" t="str">
        <f t="shared" si="92"/>
        <v>Ô tô vận tải thùng 20 tấn454</v>
      </c>
      <c r="D5558" s="398"/>
      <c r="E5558" s="398"/>
      <c r="F5558" s="398"/>
      <c r="G5558" s="398"/>
    </row>
    <row r="5559" spans="1:7" ht="18.75" x14ac:dyDescent="0.25">
      <c r="A5559" s="629" t="s">
        <v>3059</v>
      </c>
      <c r="B5559" s="630">
        <v>455</v>
      </c>
      <c r="C5559" s="631" t="str">
        <f t="shared" si="92"/>
        <v>Ô tô vận tải thùng 20 tấn455</v>
      </c>
      <c r="D5559" s="398"/>
      <c r="E5559" s="398"/>
      <c r="F5559" s="398"/>
      <c r="G5559" s="398"/>
    </row>
    <row r="5560" spans="1:7" ht="18.75" x14ac:dyDescent="0.25">
      <c r="A5560" s="629" t="s">
        <v>3059</v>
      </c>
      <c r="B5560" s="630">
        <v>456</v>
      </c>
      <c r="C5560" s="631" t="str">
        <f t="shared" si="92"/>
        <v>Ô tô vận tải thùng 20 tấn456</v>
      </c>
      <c r="D5560" s="398"/>
      <c r="E5560" s="398"/>
      <c r="F5560" s="398"/>
      <c r="G5560" s="398"/>
    </row>
    <row r="5561" spans="1:7" ht="18.75" x14ac:dyDescent="0.25">
      <c r="A5561" s="629" t="s">
        <v>3059</v>
      </c>
      <c r="B5561" s="630">
        <v>457</v>
      </c>
      <c r="C5561" s="631" t="str">
        <f t="shared" si="92"/>
        <v>Ô tô vận tải thùng 20 tấn457</v>
      </c>
      <c r="D5561" s="398"/>
      <c r="E5561" s="398"/>
      <c r="F5561" s="398"/>
      <c r="G5561" s="398"/>
    </row>
    <row r="5562" spans="1:7" ht="18.75" x14ac:dyDescent="0.25">
      <c r="A5562" s="629" t="s">
        <v>3059</v>
      </c>
      <c r="B5562" s="630">
        <v>458</v>
      </c>
      <c r="C5562" s="631" t="str">
        <f t="shared" si="92"/>
        <v>Ô tô vận tải thùng 20 tấn458</v>
      </c>
      <c r="D5562" s="398"/>
      <c r="E5562" s="398"/>
      <c r="F5562" s="398"/>
      <c r="G5562" s="398"/>
    </row>
    <row r="5563" spans="1:7" ht="18.75" x14ac:dyDescent="0.25">
      <c r="A5563" s="629" t="s">
        <v>3059</v>
      </c>
      <c r="B5563" s="630">
        <v>459</v>
      </c>
      <c r="C5563" s="631" t="str">
        <f t="shared" si="92"/>
        <v>Ô tô vận tải thùng 20 tấn459</v>
      </c>
      <c r="D5563" s="398"/>
      <c r="E5563" s="398"/>
      <c r="F5563" s="398"/>
      <c r="G5563" s="398"/>
    </row>
    <row r="5564" spans="1:7" ht="18.75" x14ac:dyDescent="0.25">
      <c r="A5564" s="629" t="s">
        <v>3059</v>
      </c>
      <c r="B5564" s="630">
        <v>460</v>
      </c>
      <c r="C5564" s="631" t="str">
        <f t="shared" si="92"/>
        <v>Ô tô vận tải thùng 20 tấn460</v>
      </c>
      <c r="D5564" s="398"/>
      <c r="E5564" s="398"/>
      <c r="F5564" s="398"/>
      <c r="G5564" s="398"/>
    </row>
    <row r="5565" spans="1:7" ht="18.75" x14ac:dyDescent="0.25">
      <c r="A5565" s="629" t="s">
        <v>3059</v>
      </c>
      <c r="B5565" s="630">
        <v>461</v>
      </c>
      <c r="C5565" s="631" t="str">
        <f t="shared" si="92"/>
        <v>Ô tô vận tải thùng 20 tấn461</v>
      </c>
      <c r="D5565" s="398"/>
      <c r="E5565" s="398"/>
      <c r="F5565" s="398"/>
      <c r="G5565" s="398"/>
    </row>
    <row r="5566" spans="1:7" ht="18.75" x14ac:dyDescent="0.25">
      <c r="A5566" s="629" t="s">
        <v>3059</v>
      </c>
      <c r="B5566" s="630">
        <v>462</v>
      </c>
      <c r="C5566" s="631" t="str">
        <f t="shared" si="92"/>
        <v>Ô tô vận tải thùng 20 tấn462</v>
      </c>
      <c r="D5566" s="398"/>
      <c r="E5566" s="398"/>
      <c r="F5566" s="398"/>
      <c r="G5566" s="398"/>
    </row>
    <row r="5567" spans="1:7" ht="18.75" x14ac:dyDescent="0.25">
      <c r="A5567" s="629" t="s">
        <v>3059</v>
      </c>
      <c r="B5567" s="630">
        <v>463</v>
      </c>
      <c r="C5567" s="631" t="str">
        <f t="shared" si="92"/>
        <v>Ô tô vận tải thùng 20 tấn463</v>
      </c>
      <c r="D5567" s="398"/>
      <c r="E5567" s="398"/>
      <c r="F5567" s="398"/>
      <c r="G5567" s="398"/>
    </row>
    <row r="5568" spans="1:7" ht="18.75" x14ac:dyDescent="0.25">
      <c r="A5568" s="629" t="s">
        <v>3059</v>
      </c>
      <c r="B5568" s="630">
        <v>464</v>
      </c>
      <c r="C5568" s="631" t="str">
        <f t="shared" si="92"/>
        <v>Ô tô vận tải thùng 20 tấn464</v>
      </c>
      <c r="D5568" s="398"/>
      <c r="E5568" s="398"/>
      <c r="F5568" s="398"/>
      <c r="G5568" s="398"/>
    </row>
    <row r="5569" spans="1:7" ht="18.75" x14ac:dyDescent="0.25">
      <c r="A5569" s="629" t="s">
        <v>3059</v>
      </c>
      <c r="B5569" s="630">
        <v>465</v>
      </c>
      <c r="C5569" s="631" t="str">
        <f t="shared" si="92"/>
        <v>Ô tô vận tải thùng 20 tấn465</v>
      </c>
      <c r="D5569" s="398"/>
      <c r="E5569" s="398"/>
      <c r="F5569" s="398"/>
      <c r="G5569" s="398"/>
    </row>
    <row r="5570" spans="1:7" ht="18.75" x14ac:dyDescent="0.25">
      <c r="A5570" s="629" t="s">
        <v>3059</v>
      </c>
      <c r="B5570" s="630">
        <v>466</v>
      </c>
      <c r="C5570" s="631" t="str">
        <f t="shared" si="92"/>
        <v>Ô tô vận tải thùng 20 tấn466</v>
      </c>
      <c r="D5570" s="398"/>
      <c r="E5570" s="398"/>
      <c r="F5570" s="398"/>
      <c r="G5570" s="398"/>
    </row>
    <row r="5571" spans="1:7" ht="18.75" x14ac:dyDescent="0.25">
      <c r="A5571" s="629" t="s">
        <v>3059</v>
      </c>
      <c r="B5571" s="630">
        <v>467</v>
      </c>
      <c r="C5571" s="631" t="str">
        <f t="shared" si="92"/>
        <v>Ô tô vận tải thùng 20 tấn467</v>
      </c>
      <c r="D5571" s="398"/>
      <c r="E5571" s="398"/>
      <c r="F5571" s="398"/>
      <c r="G5571" s="398"/>
    </row>
    <row r="5572" spans="1:7" ht="18.75" x14ac:dyDescent="0.25">
      <c r="A5572" s="629" t="s">
        <v>3059</v>
      </c>
      <c r="B5572" s="630">
        <v>468</v>
      </c>
      <c r="C5572" s="631" t="str">
        <f t="shared" si="92"/>
        <v>Ô tô vận tải thùng 20 tấn468</v>
      </c>
      <c r="D5572" s="398"/>
      <c r="E5572" s="398"/>
      <c r="F5572" s="398"/>
      <c r="G5572" s="398"/>
    </row>
    <row r="5573" spans="1:7" ht="18.75" x14ac:dyDescent="0.25">
      <c r="A5573" s="629" t="s">
        <v>3059</v>
      </c>
      <c r="B5573" s="630">
        <v>469</v>
      </c>
      <c r="C5573" s="631" t="str">
        <f t="shared" si="92"/>
        <v>Ô tô vận tải thùng 20 tấn469</v>
      </c>
      <c r="D5573" s="398"/>
      <c r="E5573" s="398"/>
      <c r="F5573" s="398"/>
      <c r="G5573" s="398"/>
    </row>
    <row r="5574" spans="1:7" ht="18.75" x14ac:dyDescent="0.25">
      <c r="A5574" s="629" t="s">
        <v>3059</v>
      </c>
      <c r="B5574" s="630">
        <v>470</v>
      </c>
      <c r="C5574" s="631" t="str">
        <f t="shared" si="92"/>
        <v>Ô tô vận tải thùng 20 tấn470</v>
      </c>
      <c r="D5574" s="398"/>
      <c r="E5574" s="398"/>
      <c r="F5574" s="398"/>
      <c r="G5574" s="398"/>
    </row>
    <row r="5575" spans="1:7" ht="18.75" x14ac:dyDescent="0.25">
      <c r="A5575" s="629" t="s">
        <v>3059</v>
      </c>
      <c r="B5575" s="630">
        <v>471</v>
      </c>
      <c r="C5575" s="631" t="str">
        <f t="shared" si="92"/>
        <v>Ô tô vận tải thùng 20 tấn471</v>
      </c>
      <c r="D5575" s="398"/>
      <c r="E5575" s="398"/>
      <c r="F5575" s="398"/>
      <c r="G5575" s="398"/>
    </row>
    <row r="5576" spans="1:7" ht="18.75" x14ac:dyDescent="0.25">
      <c r="A5576" s="629" t="s">
        <v>3059</v>
      </c>
      <c r="B5576" s="630">
        <v>472</v>
      </c>
      <c r="C5576" s="631" t="str">
        <f t="shared" si="92"/>
        <v>Ô tô vận tải thùng 20 tấn472</v>
      </c>
      <c r="D5576" s="398"/>
      <c r="E5576" s="398"/>
      <c r="F5576" s="398"/>
      <c r="G5576" s="398"/>
    </row>
    <row r="5577" spans="1:7" ht="18.75" x14ac:dyDescent="0.25">
      <c r="A5577" s="629" t="s">
        <v>3059</v>
      </c>
      <c r="B5577" s="630">
        <v>473</v>
      </c>
      <c r="C5577" s="631" t="str">
        <f t="shared" si="92"/>
        <v>Ô tô vận tải thùng 20 tấn473</v>
      </c>
      <c r="D5577" s="398"/>
      <c r="E5577" s="398"/>
      <c r="F5577" s="398"/>
      <c r="G5577" s="398"/>
    </row>
    <row r="5578" spans="1:7" ht="18.75" x14ac:dyDescent="0.25">
      <c r="A5578" s="629" t="s">
        <v>3059</v>
      </c>
      <c r="B5578" s="630">
        <v>474</v>
      </c>
      <c r="C5578" s="631" t="str">
        <f t="shared" si="92"/>
        <v>Ô tô vận tải thùng 20 tấn474</v>
      </c>
      <c r="D5578" s="398"/>
      <c r="E5578" s="398"/>
      <c r="F5578" s="398"/>
      <c r="G5578" s="398"/>
    </row>
    <row r="5579" spans="1:7" ht="18.75" x14ac:dyDescent="0.25">
      <c r="A5579" s="629" t="s">
        <v>3059</v>
      </c>
      <c r="B5579" s="630">
        <v>475</v>
      </c>
      <c r="C5579" s="631" t="str">
        <f t="shared" si="92"/>
        <v>Ô tô vận tải thùng 20 tấn475</v>
      </c>
      <c r="D5579" s="398"/>
      <c r="E5579" s="398"/>
      <c r="F5579" s="398"/>
      <c r="G5579" s="398"/>
    </row>
    <row r="5580" spans="1:7" ht="18.75" x14ac:dyDescent="0.25">
      <c r="A5580" s="629" t="s">
        <v>3059</v>
      </c>
      <c r="B5580" s="630">
        <v>476</v>
      </c>
      <c r="C5580" s="631" t="str">
        <f t="shared" si="92"/>
        <v>Ô tô vận tải thùng 20 tấn476</v>
      </c>
      <c r="D5580" s="398"/>
      <c r="E5580" s="398"/>
      <c r="F5580" s="398"/>
      <c r="G5580" s="398"/>
    </row>
    <row r="5581" spans="1:7" ht="18.75" x14ac:dyDescent="0.25">
      <c r="A5581" s="629" t="s">
        <v>3059</v>
      </c>
      <c r="B5581" s="630">
        <v>477</v>
      </c>
      <c r="C5581" s="631" t="str">
        <f t="shared" si="92"/>
        <v>Ô tô vận tải thùng 20 tấn477</v>
      </c>
      <c r="D5581" s="398"/>
      <c r="E5581" s="398"/>
      <c r="F5581" s="398"/>
      <c r="G5581" s="398"/>
    </row>
    <row r="5582" spans="1:7" ht="18.75" x14ac:dyDescent="0.25">
      <c r="A5582" s="629" t="s">
        <v>3059</v>
      </c>
      <c r="B5582" s="630">
        <v>478</v>
      </c>
      <c r="C5582" s="631" t="str">
        <f t="shared" si="92"/>
        <v>Ô tô vận tải thùng 20 tấn478</v>
      </c>
      <c r="D5582" s="398"/>
      <c r="E5582" s="398"/>
      <c r="F5582" s="398"/>
      <c r="G5582" s="398"/>
    </row>
    <row r="5583" spans="1:7" ht="18.75" x14ac:dyDescent="0.25">
      <c r="A5583" s="629" t="s">
        <v>3059</v>
      </c>
      <c r="B5583" s="630">
        <v>479</v>
      </c>
      <c r="C5583" s="631" t="str">
        <f t="shared" si="92"/>
        <v>Ô tô vận tải thùng 20 tấn479</v>
      </c>
      <c r="D5583" s="398"/>
      <c r="E5583" s="398"/>
      <c r="F5583" s="398"/>
      <c r="G5583" s="398"/>
    </row>
    <row r="5584" spans="1:7" ht="18.75" x14ac:dyDescent="0.25">
      <c r="A5584" s="629" t="s">
        <v>3059</v>
      </c>
      <c r="B5584" s="630">
        <v>480</v>
      </c>
      <c r="C5584" s="631" t="str">
        <f t="shared" si="92"/>
        <v>Ô tô vận tải thùng 20 tấn480</v>
      </c>
      <c r="D5584" s="398"/>
      <c r="E5584" s="398"/>
      <c r="F5584" s="398"/>
      <c r="G5584" s="398"/>
    </row>
    <row r="5585" spans="1:7" ht="18.75" x14ac:dyDescent="0.25">
      <c r="A5585" s="629" t="s">
        <v>3059</v>
      </c>
      <c r="B5585" s="630">
        <v>481</v>
      </c>
      <c r="C5585" s="631" t="str">
        <f t="shared" si="92"/>
        <v>Ô tô vận tải thùng 20 tấn481</v>
      </c>
      <c r="D5585" s="398"/>
      <c r="E5585" s="398"/>
      <c r="F5585" s="398"/>
      <c r="G5585" s="398"/>
    </row>
    <row r="5586" spans="1:7" ht="18.75" x14ac:dyDescent="0.25">
      <c r="A5586" s="629" t="s">
        <v>3059</v>
      </c>
      <c r="B5586" s="630">
        <v>482</v>
      </c>
      <c r="C5586" s="631" t="str">
        <f t="shared" si="92"/>
        <v>Ô tô vận tải thùng 20 tấn482</v>
      </c>
      <c r="D5586" s="398"/>
      <c r="E5586" s="398"/>
      <c r="F5586" s="398"/>
      <c r="G5586" s="398"/>
    </row>
    <row r="5587" spans="1:7" ht="18.75" x14ac:dyDescent="0.25">
      <c r="A5587" s="629" t="s">
        <v>3059</v>
      </c>
      <c r="B5587" s="630">
        <v>483</v>
      </c>
      <c r="C5587" s="631" t="str">
        <f t="shared" si="92"/>
        <v>Ô tô vận tải thùng 20 tấn483</v>
      </c>
      <c r="D5587" s="398"/>
      <c r="E5587" s="398"/>
      <c r="F5587" s="398"/>
      <c r="G5587" s="398"/>
    </row>
    <row r="5588" spans="1:7" ht="18.75" x14ac:dyDescent="0.25">
      <c r="A5588" s="629" t="s">
        <v>3059</v>
      </c>
      <c r="B5588" s="630">
        <v>484</v>
      </c>
      <c r="C5588" s="631" t="str">
        <f t="shared" si="92"/>
        <v>Ô tô vận tải thùng 20 tấn484</v>
      </c>
      <c r="D5588" s="398"/>
      <c r="E5588" s="398"/>
      <c r="F5588" s="398"/>
      <c r="G5588" s="398"/>
    </row>
    <row r="5589" spans="1:7" ht="18.75" x14ac:dyDescent="0.25">
      <c r="A5589" s="629" t="s">
        <v>3059</v>
      </c>
      <c r="B5589" s="630">
        <v>485</v>
      </c>
      <c r="C5589" s="631" t="str">
        <f t="shared" si="92"/>
        <v>Ô tô vận tải thùng 20 tấn485</v>
      </c>
      <c r="D5589" s="398"/>
      <c r="E5589" s="398"/>
      <c r="F5589" s="398"/>
      <c r="G5589" s="398"/>
    </row>
    <row r="5590" spans="1:7" ht="18.75" x14ac:dyDescent="0.25">
      <c r="A5590" s="629" t="s">
        <v>3059</v>
      </c>
      <c r="B5590" s="630">
        <v>486</v>
      </c>
      <c r="C5590" s="631" t="str">
        <f t="shared" si="92"/>
        <v>Ô tô vận tải thùng 20 tấn486</v>
      </c>
      <c r="D5590" s="398"/>
      <c r="E5590" s="398"/>
      <c r="F5590" s="398"/>
      <c r="G5590" s="398"/>
    </row>
    <row r="5591" spans="1:7" ht="18.75" x14ac:dyDescent="0.25">
      <c r="A5591" s="629" t="s">
        <v>3059</v>
      </c>
      <c r="B5591" s="630">
        <v>487</v>
      </c>
      <c r="C5591" s="631" t="str">
        <f t="shared" si="92"/>
        <v>Ô tô vận tải thùng 20 tấn487</v>
      </c>
      <c r="D5591" s="398"/>
      <c r="E5591" s="398"/>
      <c r="F5591" s="398"/>
      <c r="G5591" s="398"/>
    </row>
    <row r="5592" spans="1:7" ht="18.75" x14ac:dyDescent="0.25">
      <c r="A5592" s="629" t="s">
        <v>3059</v>
      </c>
      <c r="B5592" s="630">
        <v>488</v>
      </c>
      <c r="C5592" s="631" t="str">
        <f t="shared" si="92"/>
        <v>Ô tô vận tải thùng 20 tấn488</v>
      </c>
      <c r="D5592" s="398"/>
      <c r="E5592" s="398"/>
      <c r="F5592" s="398"/>
      <c r="G5592" s="398"/>
    </row>
    <row r="5593" spans="1:7" ht="18.75" x14ac:dyDescent="0.25">
      <c r="A5593" s="629" t="s">
        <v>3059</v>
      </c>
      <c r="B5593" s="630">
        <v>489</v>
      </c>
      <c r="C5593" s="631" t="str">
        <f t="shared" si="92"/>
        <v>Ô tô vận tải thùng 20 tấn489</v>
      </c>
      <c r="D5593" s="398"/>
      <c r="E5593" s="398"/>
      <c r="F5593" s="398"/>
      <c r="G5593" s="398"/>
    </row>
    <row r="5594" spans="1:7" ht="18.75" x14ac:dyDescent="0.25">
      <c r="A5594" s="629" t="s">
        <v>3059</v>
      </c>
      <c r="B5594" s="630">
        <v>490</v>
      </c>
      <c r="C5594" s="631" t="str">
        <f t="shared" si="92"/>
        <v>Ô tô vận tải thùng 20 tấn490</v>
      </c>
      <c r="D5594" s="398"/>
      <c r="E5594" s="398"/>
      <c r="F5594" s="398"/>
      <c r="G5594" s="398"/>
    </row>
    <row r="5595" spans="1:7" ht="18.75" x14ac:dyDescent="0.25">
      <c r="A5595" s="629" t="s">
        <v>3059</v>
      </c>
      <c r="B5595" s="630">
        <v>491</v>
      </c>
      <c r="C5595" s="631" t="str">
        <f t="shared" si="92"/>
        <v>Ô tô vận tải thùng 20 tấn491</v>
      </c>
      <c r="D5595" s="398"/>
      <c r="E5595" s="398"/>
      <c r="F5595" s="398"/>
      <c r="G5595" s="398"/>
    </row>
    <row r="5596" spans="1:7" ht="18.75" x14ac:dyDescent="0.25">
      <c r="A5596" s="629" t="s">
        <v>3059</v>
      </c>
      <c r="B5596" s="630">
        <v>492</v>
      </c>
      <c r="C5596" s="631" t="str">
        <f t="shared" si="92"/>
        <v>Ô tô vận tải thùng 20 tấn492</v>
      </c>
      <c r="D5596" s="398"/>
      <c r="E5596" s="398"/>
      <c r="F5596" s="398"/>
      <c r="G5596" s="398"/>
    </row>
    <row r="5597" spans="1:7" ht="18.75" x14ac:dyDescent="0.25">
      <c r="A5597" s="629" t="s">
        <v>3059</v>
      </c>
      <c r="B5597" s="630">
        <v>493</v>
      </c>
      <c r="C5597" s="631" t="str">
        <f t="shared" si="92"/>
        <v>Ô tô vận tải thùng 20 tấn493</v>
      </c>
      <c r="D5597" s="398"/>
      <c r="E5597" s="398"/>
      <c r="F5597" s="398"/>
      <c r="G5597" s="398"/>
    </row>
    <row r="5598" spans="1:7" ht="18.75" x14ac:dyDescent="0.25">
      <c r="A5598" s="629" t="s">
        <v>3059</v>
      </c>
      <c r="B5598" s="630">
        <v>494</v>
      </c>
      <c r="C5598" s="631" t="str">
        <f t="shared" si="92"/>
        <v>Ô tô vận tải thùng 20 tấn494</v>
      </c>
      <c r="D5598" s="398"/>
      <c r="E5598" s="398"/>
      <c r="F5598" s="398"/>
      <c r="G5598" s="398"/>
    </row>
    <row r="5599" spans="1:7" ht="18.75" x14ac:dyDescent="0.25">
      <c r="A5599" s="629" t="s">
        <v>3059</v>
      </c>
      <c r="B5599" s="630">
        <v>495</v>
      </c>
      <c r="C5599" s="631" t="str">
        <f t="shared" si="92"/>
        <v>Ô tô vận tải thùng 20 tấn495</v>
      </c>
      <c r="D5599" s="398"/>
      <c r="E5599" s="398"/>
      <c r="F5599" s="398"/>
      <c r="G5599" s="398"/>
    </row>
    <row r="5600" spans="1:7" ht="18.75" x14ac:dyDescent="0.25">
      <c r="A5600" s="629" t="s">
        <v>3059</v>
      </c>
      <c r="B5600" s="630">
        <v>496</v>
      </c>
      <c r="C5600" s="631" t="str">
        <f t="shared" si="92"/>
        <v>Ô tô vận tải thùng 20 tấn496</v>
      </c>
      <c r="D5600" s="398"/>
      <c r="E5600" s="398"/>
      <c r="F5600" s="398"/>
      <c r="G5600" s="398"/>
    </row>
    <row r="5601" spans="1:7" ht="18.75" x14ac:dyDescent="0.25">
      <c r="A5601" s="629" t="s">
        <v>3059</v>
      </c>
      <c r="B5601" s="630">
        <v>497</v>
      </c>
      <c r="C5601" s="631" t="str">
        <f t="shared" si="92"/>
        <v>Ô tô vận tải thùng 20 tấn497</v>
      </c>
      <c r="D5601" s="398"/>
      <c r="E5601" s="398"/>
      <c r="F5601" s="398"/>
      <c r="G5601" s="398"/>
    </row>
    <row r="5602" spans="1:7" ht="18.75" x14ac:dyDescent="0.25">
      <c r="A5602" s="629" t="s">
        <v>3059</v>
      </c>
      <c r="B5602" s="630">
        <v>498</v>
      </c>
      <c r="C5602" s="631" t="str">
        <f t="shared" si="92"/>
        <v>Ô tô vận tải thùng 20 tấn498</v>
      </c>
      <c r="D5602" s="398"/>
      <c r="E5602" s="398"/>
      <c r="F5602" s="398"/>
      <c r="G5602" s="398"/>
    </row>
    <row r="5603" spans="1:7" ht="18.75" x14ac:dyDescent="0.25">
      <c r="A5603" s="629" t="s">
        <v>3059</v>
      </c>
      <c r="B5603" s="630">
        <v>499</v>
      </c>
      <c r="C5603" s="631" t="str">
        <f t="shared" si="92"/>
        <v>Ô tô vận tải thùng 20 tấn499</v>
      </c>
      <c r="D5603" s="398"/>
      <c r="E5603" s="398"/>
      <c r="F5603" s="398"/>
      <c r="G5603" s="398"/>
    </row>
    <row r="5604" spans="1:7" ht="18.75" x14ac:dyDescent="0.25">
      <c r="A5604" s="629" t="s">
        <v>3059</v>
      </c>
      <c r="B5604" s="630">
        <v>500</v>
      </c>
      <c r="C5604" s="631" t="str">
        <f t="shared" si="92"/>
        <v>Ô tô vận tải thùng 20 tấn500</v>
      </c>
      <c r="D5604" s="398"/>
      <c r="E5604" s="398"/>
      <c r="F5604" s="398"/>
      <c r="G5604" s="398"/>
    </row>
  </sheetData>
  <mergeCells count="8">
    <mergeCell ref="A2:A4"/>
    <mergeCell ref="A1:G1"/>
    <mergeCell ref="AE1:AF1"/>
    <mergeCell ref="H1:J1"/>
    <mergeCell ref="B2:B4"/>
    <mergeCell ref="D2:G2"/>
    <mergeCell ref="D4:E4"/>
    <mergeCell ref="F4:G4"/>
  </mergeCells>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VC_CPTC"/>
  <dimension ref="A1:AS6"/>
  <sheetViews>
    <sheetView showGridLines="0" workbookViewId="0">
      <selection activeCell="F14" sqref="F14"/>
    </sheetView>
  </sheetViews>
  <sheetFormatPr defaultRowHeight="15" outlineLevelCol="1" x14ac:dyDescent="0.25"/>
  <cols>
    <col min="1" max="1" width="3.7109375" style="2" customWidth="1"/>
    <col min="2" max="2" width="11.140625" style="2" hidden="1" customWidth="1"/>
    <col min="3" max="3" width="17.7109375" style="2" customWidth="1" collapsed="1"/>
    <col min="4" max="4" width="4.28515625" style="144" bestFit="1" customWidth="1"/>
    <col min="5" max="5" width="5.7109375" style="144" bestFit="1" customWidth="1"/>
    <col min="6" max="6" width="19.28515625" style="612" customWidth="1"/>
    <col min="7" max="7" width="4.28515625" style="120" hidden="1" customWidth="1"/>
    <col min="8" max="8" width="7.7109375" style="611" customWidth="1"/>
    <col min="9" max="10" width="10.7109375" style="120" customWidth="1"/>
    <col min="11" max="11" width="9.28515625" style="2" customWidth="1"/>
    <col min="12" max="12" width="24.140625" style="636" hidden="1" customWidth="1" outlineLevel="1"/>
    <col min="13" max="13" width="9.28515625" style="2" customWidth="1" collapsed="1"/>
    <col min="14" max="14" width="8.42578125" style="2" customWidth="1"/>
    <col min="15" max="15" width="8.5703125" style="2" bestFit="1" customWidth="1"/>
    <col min="16" max="16" width="16" style="636" hidden="1" customWidth="1" outlineLevel="1"/>
    <col min="17" max="17" width="7" style="120" bestFit="1" customWidth="1" collapsed="1"/>
    <col min="18" max="18" width="9" style="120" customWidth="1"/>
    <col min="19" max="19" width="22.5703125" style="719" hidden="1" customWidth="1" outlineLevel="1"/>
    <col min="20" max="20" width="9.28515625" style="118" customWidth="1" collapsed="1"/>
    <col min="21" max="21" width="9.140625" style="118" customWidth="1"/>
    <col min="22" max="22" width="12.42578125" style="118" customWidth="1"/>
    <col min="23" max="23" width="9" style="118" customWidth="1"/>
    <col min="24" max="24" width="8.7109375" style="720" hidden="1" customWidth="1" outlineLevel="1"/>
    <col min="25" max="26" width="8.5703125" style="721" hidden="1" customWidth="1" outlineLevel="1"/>
    <col min="27" max="27" width="19.28515625" style="720" hidden="1" customWidth="1" outlineLevel="1"/>
    <col min="28" max="28" width="7.5703125" style="118" customWidth="1" collapsed="1"/>
    <col min="29" max="29" width="8.5703125" style="120" customWidth="1"/>
    <col min="30" max="30" width="19.28515625" style="118" customWidth="1"/>
    <col min="31" max="31" width="7.5703125" style="118" customWidth="1"/>
    <col min="32" max="32" width="8.7109375" style="118" bestFit="1" customWidth="1" collapsed="1"/>
    <col min="33" max="33" width="11.5703125" style="118" bestFit="1" customWidth="1"/>
    <col min="34" max="34" width="9.85546875" style="118" bestFit="1" customWidth="1"/>
    <col min="35" max="35" width="7.5703125" style="118" bestFit="1" customWidth="1"/>
    <col min="36" max="36" width="7.28515625" style="118" customWidth="1"/>
    <col min="37" max="37" width="10.140625" style="118" bestFit="1" customWidth="1"/>
    <col min="38" max="38" width="22.140625" style="118" hidden="1" customWidth="1"/>
    <col min="39" max="39" width="9.7109375" style="118" hidden="1" customWidth="1"/>
    <col min="40" max="40" width="9.28515625" style="118" hidden="1" customWidth="1"/>
    <col min="41" max="41" width="5.42578125" style="118" hidden="1" customWidth="1"/>
    <col min="42" max="42" width="7.5703125" style="118" hidden="1" customWidth="1"/>
    <col min="43" max="43" width="10.140625" style="118" hidden="1" customWidth="1"/>
    <col min="44" max="44" width="0" style="118" hidden="1" customWidth="1"/>
    <col min="45" max="45" width="9.140625" style="2" collapsed="1"/>
    <col min="46" max="16384" width="9.140625" style="2"/>
  </cols>
  <sheetData>
    <row r="1" spans="1:44" s="703" customFormat="1" ht="20.25" x14ac:dyDescent="0.25">
      <c r="A1" s="488" t="s">
        <v>3246</v>
      </c>
      <c r="B1" s="489"/>
      <c r="C1" s="489"/>
      <c r="D1" s="489"/>
      <c r="E1" s="489"/>
      <c r="F1" s="489"/>
      <c r="G1" s="489"/>
      <c r="H1" s="489"/>
      <c r="I1" s="489"/>
      <c r="J1" s="489"/>
      <c r="K1" s="489"/>
      <c r="L1" s="489"/>
      <c r="M1" s="489"/>
      <c r="N1" s="489"/>
      <c r="O1" s="489"/>
      <c r="P1" s="489"/>
      <c r="Q1" s="489"/>
      <c r="R1" s="489"/>
      <c r="S1" s="702"/>
      <c r="T1" s="489"/>
      <c r="U1" s="489"/>
    </row>
    <row r="2" spans="1:44" s="705" customFormat="1" ht="14.25" x14ac:dyDescent="0.2">
      <c r="A2" s="105" t="str">
        <f>"CÔNG TRÌNH : "&amp;'Bia du toan'!$G$12</f>
        <v>CÔNG TRÌNH : TRƯỜNG CAO ĐẲNG LÝ TỰ TRỌNG</v>
      </c>
      <c r="B2" s="615"/>
      <c r="C2" s="615"/>
      <c r="D2" s="615"/>
      <c r="E2" s="615"/>
      <c r="F2" s="615"/>
      <c r="G2" s="615"/>
      <c r="H2" s="615"/>
      <c r="I2" s="615"/>
      <c r="J2" s="615"/>
      <c r="K2" s="615"/>
      <c r="L2" s="615"/>
      <c r="M2" s="615"/>
      <c r="N2" s="615"/>
      <c r="O2" s="615"/>
      <c r="P2" s="615"/>
      <c r="Q2" s="615"/>
      <c r="R2" s="615"/>
      <c r="S2" s="704"/>
      <c r="T2" s="615"/>
      <c r="U2" s="615"/>
    </row>
    <row r="3" spans="1:44" s="705" customFormat="1" ht="14.25" x14ac:dyDescent="0.2">
      <c r="A3" s="105" t="str">
        <f>"HẠNG MỤC : "&amp; 'Bia du toan'!$G$13</f>
        <v>HẠNG MỤC : CẢI TẠO THƯ VIỆN GIAI ĐOẠN 2 - NĂM 2019</v>
      </c>
      <c r="B3" s="615"/>
      <c r="C3" s="615"/>
      <c r="D3" s="615"/>
      <c r="E3" s="615"/>
      <c r="F3" s="615"/>
      <c r="G3" s="615"/>
      <c r="H3" s="615"/>
      <c r="I3" s="615"/>
      <c r="J3" s="615"/>
      <c r="K3" s="615"/>
      <c r="L3" s="615"/>
      <c r="M3" s="615"/>
      <c r="N3" s="615"/>
      <c r="O3" s="615"/>
      <c r="P3" s="615"/>
      <c r="Q3" s="615"/>
      <c r="R3" s="615"/>
      <c r="S3" s="704"/>
      <c r="T3" s="615"/>
      <c r="U3" s="615"/>
    </row>
    <row r="4" spans="1:44" s="703" customFormat="1" x14ac:dyDescent="0.25">
      <c r="A4" s="489"/>
      <c r="B4" s="489"/>
      <c r="C4" s="489"/>
      <c r="D4" s="489"/>
      <c r="E4" s="489"/>
      <c r="F4" s="489"/>
      <c r="G4" s="489"/>
      <c r="H4" s="489"/>
      <c r="I4" s="489"/>
      <c r="J4" s="489"/>
      <c r="K4" s="489"/>
      <c r="L4" s="489"/>
      <c r="M4" s="489"/>
      <c r="N4" s="489"/>
      <c r="O4" s="489"/>
      <c r="P4" s="489"/>
      <c r="Q4" s="489"/>
      <c r="R4" s="489"/>
      <c r="S4" s="702"/>
      <c r="T4" s="489"/>
      <c r="U4" s="489"/>
    </row>
    <row r="5" spans="1:44" x14ac:dyDescent="0.25">
      <c r="A5" s="1806" t="s">
        <v>15</v>
      </c>
      <c r="B5" s="699" t="s">
        <v>335</v>
      </c>
      <c r="C5" s="1806" t="s">
        <v>336</v>
      </c>
      <c r="D5" s="1806" t="s">
        <v>68</v>
      </c>
      <c r="E5" s="1806" t="s">
        <v>3258</v>
      </c>
      <c r="F5" s="1828" t="s">
        <v>3131</v>
      </c>
      <c r="G5" s="1805" t="s">
        <v>68</v>
      </c>
      <c r="H5" s="1805" t="s">
        <v>3132</v>
      </c>
      <c r="I5" s="1847" t="s">
        <v>3247</v>
      </c>
      <c r="J5" s="1848"/>
      <c r="K5" s="1848"/>
      <c r="L5" s="1848"/>
      <c r="M5" s="1848"/>
      <c r="N5" s="1849"/>
      <c r="O5" s="1807" t="s">
        <v>3133</v>
      </c>
      <c r="P5" s="1807"/>
      <c r="Q5" s="1807"/>
      <c r="R5" s="1807" t="s">
        <v>3134</v>
      </c>
      <c r="S5" s="1807"/>
      <c r="T5" s="1807"/>
      <c r="U5" s="1807" t="s">
        <v>3135</v>
      </c>
      <c r="V5" s="1807" t="s">
        <v>3248</v>
      </c>
      <c r="W5" s="1807" t="s">
        <v>3333</v>
      </c>
      <c r="X5" s="1845" t="s">
        <v>3243</v>
      </c>
      <c r="Y5" s="1841" t="s">
        <v>3249</v>
      </c>
      <c r="Z5" s="1841" t="s">
        <v>3250</v>
      </c>
      <c r="AA5" s="1843" t="s">
        <v>3251</v>
      </c>
      <c r="AD5" s="2"/>
    </row>
    <row r="6" spans="1:44" s="589" customFormat="1" ht="22.5" x14ac:dyDescent="0.2">
      <c r="A6" s="1806"/>
      <c r="B6" s="699"/>
      <c r="C6" s="1806"/>
      <c r="D6" s="1806"/>
      <c r="E6" s="1806"/>
      <c r="F6" s="1828"/>
      <c r="G6" s="1805"/>
      <c r="H6" s="1805"/>
      <c r="I6" s="700" t="s">
        <v>3252</v>
      </c>
      <c r="J6" s="722" t="s">
        <v>3291</v>
      </c>
      <c r="K6" s="722" t="s">
        <v>3278</v>
      </c>
      <c r="L6" s="717" t="s">
        <v>3137</v>
      </c>
      <c r="M6" s="701" t="s">
        <v>3138</v>
      </c>
      <c r="N6" s="701" t="s">
        <v>1208</v>
      </c>
      <c r="O6" s="700" t="s">
        <v>3136</v>
      </c>
      <c r="P6" s="717" t="s">
        <v>3137</v>
      </c>
      <c r="Q6" s="701" t="s">
        <v>3138</v>
      </c>
      <c r="R6" s="700" t="s">
        <v>3136</v>
      </c>
      <c r="S6" s="718" t="s">
        <v>3137</v>
      </c>
      <c r="T6" s="701" t="s">
        <v>3138</v>
      </c>
      <c r="U6" s="1807"/>
      <c r="V6" s="1807"/>
      <c r="W6" s="1807"/>
      <c r="X6" s="1846"/>
      <c r="Y6" s="1842"/>
      <c r="Z6" s="1842"/>
      <c r="AA6" s="1844"/>
      <c r="AB6" s="706"/>
      <c r="AC6" s="707"/>
      <c r="AE6" s="706"/>
      <c r="AF6" s="706"/>
      <c r="AG6" s="706"/>
      <c r="AH6" s="706"/>
      <c r="AI6" s="706"/>
      <c r="AJ6" s="706"/>
      <c r="AK6" s="706"/>
      <c r="AL6" s="706"/>
      <c r="AM6" s="706"/>
      <c r="AN6" s="706"/>
      <c r="AO6" s="706"/>
      <c r="AP6" s="706"/>
      <c r="AQ6" s="706"/>
      <c r="AR6" s="706"/>
    </row>
  </sheetData>
  <mergeCells count="17">
    <mergeCell ref="I5:N5"/>
    <mergeCell ref="A5:A6"/>
    <mergeCell ref="C5:C6"/>
    <mergeCell ref="D5:D6"/>
    <mergeCell ref="F5:F6"/>
    <mergeCell ref="G5:G6"/>
    <mergeCell ref="H5:H6"/>
    <mergeCell ref="E5:E6"/>
    <mergeCell ref="Y5:Y6"/>
    <mergeCell ref="Z5:Z6"/>
    <mergeCell ref="AA5:AA6"/>
    <mergeCell ref="O5:Q5"/>
    <mergeCell ref="R5:T5"/>
    <mergeCell ref="U5:U6"/>
    <mergeCell ref="V5:V6"/>
    <mergeCell ref="X5:X6"/>
    <mergeCell ref="W5:W6"/>
  </mergeCells>
  <pageMargins left="0.26" right="0.196850393700787" top="0.43307086614173201" bottom="0.59055118110236204" header="0.15748031496063" footer="0.23622047244094499"/>
  <pageSetup paperSize="9" scale="85" orientation="landscape" r:id="rId1"/>
  <headerFooter alignWithMargins="0">
    <oddHeader>&amp;L&amp;"Times New Roman,Bold Italic"&amp;9Dự toán Bắc Nam  - ÐT: 0966.966.455</oddHeader>
    <oddFooter>&amp;R&amp;9Trang &amp;P/&amp;N</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VC_CTCM"/>
  <dimension ref="A1:AB6"/>
  <sheetViews>
    <sheetView showGridLines="0" workbookViewId="0">
      <selection activeCell="D15" sqref="D15"/>
    </sheetView>
  </sheetViews>
  <sheetFormatPr defaultRowHeight="15" x14ac:dyDescent="0.25"/>
  <cols>
    <col min="1" max="1" width="5.7109375" style="2" customWidth="1"/>
    <col min="2" max="2" width="0" style="2" hidden="1" customWidth="1"/>
    <col min="3" max="3" width="9.42578125" style="2" hidden="1" customWidth="1"/>
    <col min="4" max="4" width="40.85546875" style="103" customWidth="1"/>
    <col min="5" max="5" width="6.7109375" style="140" customWidth="1"/>
    <col min="6" max="6" width="5.42578125" style="145" bestFit="1" customWidth="1"/>
    <col min="7" max="7" width="8.42578125" style="145" customWidth="1"/>
    <col min="8" max="8" width="6.85546875" style="118" customWidth="1"/>
    <col min="9" max="9" width="10.5703125" style="118" bestFit="1" customWidth="1"/>
    <col min="10" max="10" width="9.140625" style="2"/>
    <col min="11" max="28" width="0" style="2" hidden="1" customWidth="1"/>
    <col min="29" max="16384" width="9.140625" style="2"/>
  </cols>
  <sheetData>
    <row r="1" spans="1:28" ht="54" customHeight="1" x14ac:dyDescent="0.25">
      <c r="A1" s="634" t="s">
        <v>3101</v>
      </c>
      <c r="B1" s="40"/>
      <c r="C1" s="40"/>
      <c r="D1" s="40"/>
      <c r="E1" s="40"/>
      <c r="F1" s="40"/>
      <c r="G1" s="40"/>
      <c r="H1" s="40"/>
      <c r="I1" s="40"/>
      <c r="J1" s="40"/>
    </row>
    <row r="2" spans="1:28" s="101" customFormat="1" ht="14.25" x14ac:dyDescent="0.2">
      <c r="A2" s="105" t="str">
        <f>"CÔNG TRÌNH : "&amp;'Bia du toan'!$G$12</f>
        <v>CÔNG TRÌNH : TRƯỜNG CAO ĐẲNG LÝ TỰ TRỌNG</v>
      </c>
      <c r="B2" s="105"/>
      <c r="C2" s="105"/>
      <c r="D2" s="105"/>
      <c r="E2" s="105"/>
      <c r="F2" s="105"/>
      <c r="G2" s="105"/>
      <c r="H2" s="105"/>
      <c r="I2" s="105"/>
      <c r="J2" s="105"/>
    </row>
    <row r="3" spans="1:28" s="101" customFormat="1" ht="14.25" x14ac:dyDescent="0.2">
      <c r="A3" s="105" t="str">
        <f>"HẠNG MỤC : "&amp; 'Bia du toan'!$G$13</f>
        <v>HẠNG MỤC : CẢI TẠO THƯ VIỆN GIAI ĐOẠN 2 - NĂM 2019</v>
      </c>
      <c r="B3" s="105"/>
      <c r="C3" s="105"/>
      <c r="D3" s="105"/>
      <c r="E3" s="105"/>
      <c r="F3" s="105"/>
      <c r="G3" s="105"/>
      <c r="H3" s="105"/>
      <c r="I3" s="105"/>
      <c r="J3" s="105"/>
    </row>
    <row r="4" spans="1:28" x14ac:dyDescent="0.25">
      <c r="A4" s="40"/>
      <c r="B4" s="40"/>
      <c r="C4" s="40"/>
      <c r="D4" s="40"/>
      <c r="E4" s="40"/>
      <c r="F4" s="40"/>
      <c r="G4" s="40"/>
      <c r="H4" s="40"/>
      <c r="I4" s="40"/>
      <c r="J4" s="40"/>
    </row>
    <row r="5" spans="1:28" s="779" customFormat="1" ht="12.75" x14ac:dyDescent="0.2">
      <c r="A5" s="1850" t="s">
        <v>15</v>
      </c>
      <c r="B5" s="1850" t="s">
        <v>488</v>
      </c>
      <c r="C5" s="1850" t="s">
        <v>489</v>
      </c>
      <c r="D5" s="1850" t="s">
        <v>369</v>
      </c>
      <c r="E5" s="1850" t="s">
        <v>236</v>
      </c>
      <c r="F5" s="1850" t="s">
        <v>3310</v>
      </c>
      <c r="G5" s="1850" t="s">
        <v>241</v>
      </c>
      <c r="H5" s="1850" t="s">
        <v>3345</v>
      </c>
      <c r="I5" s="1785" t="s">
        <v>374</v>
      </c>
      <c r="J5" s="1785" t="s">
        <v>1397</v>
      </c>
      <c r="K5" s="1851" t="s">
        <v>1398</v>
      </c>
      <c r="L5" s="1817" t="s">
        <v>1399</v>
      </c>
      <c r="M5" s="1817" t="s">
        <v>1400</v>
      </c>
      <c r="N5" s="1817"/>
      <c r="O5" s="1817"/>
      <c r="P5" s="1851" t="s">
        <v>1401</v>
      </c>
      <c r="Q5" s="1851"/>
      <c r="R5" s="1851" t="s">
        <v>1402</v>
      </c>
      <c r="S5" s="1851" t="s">
        <v>1403</v>
      </c>
      <c r="T5" s="1852" t="s">
        <v>1404</v>
      </c>
      <c r="U5" s="1852" t="s">
        <v>1405</v>
      </c>
      <c r="V5" s="1825" t="s">
        <v>1409</v>
      </c>
      <c r="W5" s="1825" t="s">
        <v>1410</v>
      </c>
      <c r="X5" s="1825" t="s">
        <v>1411</v>
      </c>
      <c r="Y5" s="1825" t="s">
        <v>1412</v>
      </c>
      <c r="Z5" s="1825" t="s">
        <v>1413</v>
      </c>
      <c r="AA5" s="1825" t="s">
        <v>1406</v>
      </c>
      <c r="AB5" s="1825" t="s">
        <v>1455</v>
      </c>
    </row>
    <row r="6" spans="1:28" s="779" customFormat="1" ht="25.5" x14ac:dyDescent="0.2">
      <c r="A6" s="1850"/>
      <c r="B6" s="1850"/>
      <c r="C6" s="1850"/>
      <c r="D6" s="1850"/>
      <c r="E6" s="1850"/>
      <c r="F6" s="1850" t="s">
        <v>263</v>
      </c>
      <c r="G6" s="1850" t="s">
        <v>375</v>
      </c>
      <c r="H6" s="1850"/>
      <c r="I6" s="1785"/>
      <c r="J6" s="1785"/>
      <c r="K6" s="1851"/>
      <c r="L6" s="1817"/>
      <c r="M6" s="730" t="s">
        <v>1407</v>
      </c>
      <c r="N6" s="730" t="s">
        <v>1408</v>
      </c>
      <c r="O6" s="732" t="s">
        <v>675</v>
      </c>
      <c r="P6" s="1851"/>
      <c r="Q6" s="1851"/>
      <c r="R6" s="1851"/>
      <c r="S6" s="1851"/>
      <c r="T6" s="1852"/>
      <c r="U6" s="1852"/>
      <c r="V6" s="1853"/>
      <c r="W6" s="1853"/>
      <c r="X6" s="1853"/>
      <c r="Y6" s="1853"/>
      <c r="Z6" s="1853"/>
      <c r="AA6" s="1853"/>
      <c r="AB6" s="1853"/>
    </row>
  </sheetData>
  <mergeCells count="25">
    <mergeCell ref="T5:T6"/>
    <mergeCell ref="AB5:AB6"/>
    <mergeCell ref="V5:V6"/>
    <mergeCell ref="W5:W6"/>
    <mergeCell ref="X5:X6"/>
    <mergeCell ref="Y5:Y6"/>
    <mergeCell ref="Z5:Z6"/>
    <mergeCell ref="AA5:AA6"/>
    <mergeCell ref="U5:U6"/>
    <mergeCell ref="S5:S6"/>
    <mergeCell ref="M5:O5"/>
    <mergeCell ref="P5:Q6"/>
    <mergeCell ref="R5:R6"/>
    <mergeCell ref="G5:G6"/>
    <mergeCell ref="H5:H6"/>
    <mergeCell ref="I5:I6"/>
    <mergeCell ref="J5:J6"/>
    <mergeCell ref="K5:K6"/>
    <mergeCell ref="L5:L6"/>
    <mergeCell ref="F5:F6"/>
    <mergeCell ref="A5:A6"/>
    <mergeCell ref="B5:B6"/>
    <mergeCell ref="C5:C6"/>
    <mergeCell ref="D5:D6"/>
    <mergeCell ref="E5:E6"/>
  </mergeCells>
  <dataValidations count="2">
    <dataValidation allowBlank="1" showInputMessage="1" showErrorMessage="1" promptTitle="Lưu ý" prompt="Cột tính chi phí nhiên liệu cho đơn giá" sqref="P5:Q6"/>
    <dataValidation allowBlank="1" showInputMessage="1" showErrorMessage="1" promptTitle="Lưu ý" prompt="Cột nguyên giá dùng để tính giá ca máy" sqref="U5:U6"/>
  </dataValidations>
  <pageMargins left="0.55118110236220497" right="0.196850393700787" top="0.43307086614173201" bottom="0.59055118110236204" header="0.15748031496063" footer="0.23622047244094499"/>
  <pageSetup paperSize="9" orientation="portrait" r:id="rId1"/>
  <headerFooter alignWithMargins="0">
    <oddHeader>&amp;L&amp;"Times New Roman,Bold Italic"&amp;9Dự toán Bắc Nam  - ÐT: 0966.966.455</oddHeader>
    <oddFooter>&amp;R&amp;9Trang &amp;P/&amp;N</odd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VC_BuGM"/>
  <dimension ref="A1:P6"/>
  <sheetViews>
    <sheetView showGridLines="0" workbookViewId="0">
      <selection activeCell="E14" sqref="E14"/>
    </sheetView>
  </sheetViews>
  <sheetFormatPr defaultRowHeight="15" outlineLevelCol="1" x14ac:dyDescent="0.25"/>
  <cols>
    <col min="1" max="1" width="4.42578125" style="2" bestFit="1" customWidth="1"/>
    <col min="2" max="2" width="9.7109375" style="636" hidden="1" customWidth="1"/>
    <col min="3" max="3" width="13.42578125" style="636" hidden="1" customWidth="1"/>
    <col min="4" max="4" width="33.42578125" style="103" customWidth="1"/>
    <col min="5" max="5" width="7.5703125" style="140" customWidth="1"/>
    <col min="6" max="6" width="7.42578125" style="145" hidden="1" customWidth="1" outlineLevel="1"/>
    <col min="7" max="7" width="8" style="145" customWidth="1" collapsed="1"/>
    <col min="8" max="8" width="6.85546875" style="145" hidden="1" customWidth="1"/>
    <col min="9" max="9" width="6" style="145" bestFit="1" customWidth="1"/>
    <col min="10" max="10" width="5.85546875" style="118" customWidth="1"/>
    <col min="11" max="11" width="7.85546875" style="118" bestFit="1" customWidth="1"/>
    <col min="12" max="12" width="6.85546875" style="118" bestFit="1" customWidth="1"/>
    <col min="13" max="13" width="6.7109375" style="118" customWidth="1" outlineLevel="1"/>
    <col min="14" max="14" width="11.7109375" style="118" bestFit="1" customWidth="1" outlineLevel="1"/>
    <col min="15" max="15" width="7.5703125" style="118" bestFit="1" customWidth="1" outlineLevel="1"/>
    <col min="16" max="16" width="12" style="118" hidden="1" customWidth="1"/>
    <col min="17" max="19" width="0" style="2" hidden="1" customWidth="1"/>
    <col min="20" max="16384" width="9.140625" style="2"/>
  </cols>
  <sheetData>
    <row r="1" spans="1:16" ht="60.75" x14ac:dyDescent="0.25">
      <c r="A1" s="634" t="s">
        <v>3100</v>
      </c>
      <c r="B1" s="40"/>
      <c r="C1" s="40"/>
      <c r="D1" s="243"/>
      <c r="E1" s="243"/>
      <c r="F1" s="40"/>
      <c r="G1" s="40"/>
      <c r="H1" s="40"/>
      <c r="I1" s="40"/>
      <c r="J1" s="117"/>
      <c r="K1" s="117"/>
      <c r="L1" s="117"/>
      <c r="M1" s="117"/>
      <c r="N1" s="117"/>
      <c r="O1" s="117"/>
      <c r="P1" s="117"/>
    </row>
    <row r="2" spans="1:16" s="101" customFormat="1" ht="14.25" x14ac:dyDescent="0.2">
      <c r="A2" s="105" t="str">
        <f>"CÔNG TRÌNH : "&amp;'Bia du toan'!$G$12</f>
        <v>CÔNG TRÌNH : TRƯỜNG CAO ĐẲNG LÝ TỰ TRỌNG</v>
      </c>
      <c r="B2" s="105"/>
      <c r="C2" s="105"/>
      <c r="D2" s="263"/>
      <c r="E2" s="263"/>
      <c r="F2" s="105"/>
      <c r="G2" s="105"/>
      <c r="H2" s="105"/>
      <c r="I2" s="105"/>
      <c r="J2" s="125"/>
      <c r="K2" s="125"/>
      <c r="L2" s="125"/>
      <c r="M2" s="125"/>
      <c r="N2" s="125"/>
      <c r="O2" s="125"/>
      <c r="P2" s="192"/>
    </row>
    <row r="3" spans="1:16" s="101" customFormat="1" ht="14.25" x14ac:dyDescent="0.2">
      <c r="A3" s="105" t="str">
        <f>"HẠNG MỤC : "&amp; 'Bia du toan'!$G$13</f>
        <v>HẠNG MỤC : CẢI TẠO THƯ VIỆN GIAI ĐOẠN 2 - NĂM 2019</v>
      </c>
      <c r="B3" s="105"/>
      <c r="C3" s="105"/>
      <c r="D3" s="263"/>
      <c r="E3" s="263"/>
      <c r="F3" s="105"/>
      <c r="G3" s="105"/>
      <c r="H3" s="105"/>
      <c r="I3" s="105"/>
      <c r="J3" s="125"/>
      <c r="K3" s="125"/>
      <c r="L3" s="125"/>
      <c r="M3" s="125"/>
      <c r="N3" s="125"/>
      <c r="O3" s="125"/>
      <c r="P3" s="192"/>
    </row>
    <row r="4" spans="1:16" x14ac:dyDescent="0.25">
      <c r="A4" s="40"/>
      <c r="B4" s="40"/>
      <c r="C4" s="40"/>
      <c r="D4" s="243"/>
      <c r="E4" s="243"/>
      <c r="F4" s="40"/>
      <c r="G4" s="40"/>
      <c r="H4" s="40"/>
      <c r="I4" s="40"/>
      <c r="J4" s="117"/>
      <c r="K4" s="117"/>
      <c r="L4" s="117"/>
      <c r="M4" s="117"/>
      <c r="N4" s="117"/>
      <c r="O4" s="117"/>
    </row>
    <row r="5" spans="1:16" s="175" customFormat="1" ht="11.25" x14ac:dyDescent="0.2">
      <c r="A5" s="1850" t="s">
        <v>15</v>
      </c>
      <c r="B5" s="1857" t="s">
        <v>367</v>
      </c>
      <c r="C5" s="1857" t="s">
        <v>368</v>
      </c>
      <c r="D5" s="1850" t="s">
        <v>369</v>
      </c>
      <c r="E5" s="1850" t="s">
        <v>236</v>
      </c>
      <c r="F5" s="1850" t="s">
        <v>690</v>
      </c>
      <c r="G5" s="1850" t="s">
        <v>233</v>
      </c>
      <c r="H5" s="1850" t="s">
        <v>689</v>
      </c>
      <c r="I5" s="1850" t="s">
        <v>241</v>
      </c>
      <c r="J5" s="1855" t="s">
        <v>490</v>
      </c>
      <c r="K5" s="1855"/>
      <c r="L5" s="1855"/>
      <c r="M5" s="1785" t="s">
        <v>377</v>
      </c>
      <c r="N5" s="1785"/>
      <c r="O5" s="1785"/>
      <c r="P5" s="1785" t="s">
        <v>688</v>
      </c>
    </row>
    <row r="6" spans="1:16" s="175" customFormat="1" ht="21" x14ac:dyDescent="0.2">
      <c r="A6" s="1854"/>
      <c r="B6" s="1858"/>
      <c r="C6" s="1858"/>
      <c r="D6" s="1854"/>
      <c r="E6" s="1854"/>
      <c r="F6" s="1854" t="s">
        <v>370</v>
      </c>
      <c r="G6" s="1854" t="s">
        <v>263</v>
      </c>
      <c r="H6" s="1854" t="s">
        <v>371</v>
      </c>
      <c r="I6" s="1854" t="s">
        <v>375</v>
      </c>
      <c r="J6" s="635" t="s">
        <v>378</v>
      </c>
      <c r="K6" s="635" t="s">
        <v>379</v>
      </c>
      <c r="L6" s="635" t="s">
        <v>380</v>
      </c>
      <c r="M6" s="397" t="s">
        <v>378</v>
      </c>
      <c r="N6" s="397" t="s">
        <v>381</v>
      </c>
      <c r="O6" s="397" t="s">
        <v>374</v>
      </c>
      <c r="P6" s="1856" t="s">
        <v>370</v>
      </c>
    </row>
  </sheetData>
  <mergeCells count="12">
    <mergeCell ref="A5:A6"/>
    <mergeCell ref="B5:B6"/>
    <mergeCell ref="C5:C6"/>
    <mergeCell ref="D5:D6"/>
    <mergeCell ref="E5:E6"/>
    <mergeCell ref="I5:I6"/>
    <mergeCell ref="J5:L5"/>
    <mergeCell ref="M5:O5"/>
    <mergeCell ref="P5:P6"/>
    <mergeCell ref="F5:F6"/>
    <mergeCell ref="G5:G6"/>
    <mergeCell ref="H5:H6"/>
  </mergeCells>
  <pageMargins left="0.55118110236220497" right="0.196850393700787" top="0.43307086614173201" bottom="0.59055118110236204" header="0.15748031496063" footer="0.23622047244094499"/>
  <pageSetup paperSize="9" scale="90" orientation="portrait" r:id="rId1"/>
  <headerFooter alignWithMargins="0">
    <oddHeader>&amp;L&amp;"Times New Roman,Bold Italic"&amp;9Dự toán Bắc Nam  - ÐT: 0966.966.455</oddHeader>
    <oddFooter>&amp;R&amp;9Trang &amp;P/&amp;N</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VC_BuNLTL"/>
  <dimension ref="A1:J6"/>
  <sheetViews>
    <sheetView showGridLines="0" workbookViewId="0">
      <selection activeCell="D15" sqref="D15"/>
    </sheetView>
  </sheetViews>
  <sheetFormatPr defaultRowHeight="15" x14ac:dyDescent="0.25"/>
  <cols>
    <col min="1" max="1" width="4.5703125" style="2" customWidth="1"/>
    <col min="2" max="2" width="10.42578125" style="2" hidden="1" customWidth="1"/>
    <col min="3" max="3" width="34.42578125" style="103" customWidth="1"/>
    <col min="4" max="4" width="6.42578125" style="140" customWidth="1"/>
    <col min="5" max="5" width="7.5703125" style="145" bestFit="1" customWidth="1"/>
    <col min="6" max="6" width="8.5703125" style="118" customWidth="1"/>
    <col min="7" max="7" width="11" style="118" customWidth="1"/>
    <col min="8" max="8" width="7.28515625" style="118" bestFit="1" customWidth="1"/>
    <col min="9" max="9" width="5.7109375" style="120" customWidth="1"/>
    <col min="10" max="10" width="8.7109375" style="118" customWidth="1"/>
    <col min="11" max="16384" width="9.140625" style="2"/>
  </cols>
  <sheetData>
    <row r="1" spans="1:10" ht="40.5" x14ac:dyDescent="0.25">
      <c r="A1" s="634" t="s">
        <v>3099</v>
      </c>
      <c r="B1" s="40"/>
      <c r="C1" s="40"/>
      <c r="D1" s="40"/>
      <c r="E1" s="40"/>
      <c r="F1" s="40"/>
      <c r="G1" s="40"/>
      <c r="H1" s="40"/>
      <c r="I1" s="40"/>
      <c r="J1" s="40"/>
    </row>
    <row r="2" spans="1:10" s="101" customFormat="1" ht="14.25" x14ac:dyDescent="0.2">
      <c r="A2" s="105" t="str">
        <f>"CÔNG TRÌNH : "&amp;'Bia du toan'!$G$12</f>
        <v>CÔNG TRÌNH : TRƯỜNG CAO ĐẲNG LÝ TỰ TRỌNG</v>
      </c>
      <c r="B2" s="105"/>
      <c r="C2" s="105"/>
      <c r="D2" s="105"/>
      <c r="E2" s="105"/>
      <c r="F2" s="105"/>
      <c r="G2" s="105"/>
      <c r="H2" s="105"/>
      <c r="I2" s="105"/>
      <c r="J2" s="105"/>
    </row>
    <row r="3" spans="1:10" s="101" customFormat="1" ht="14.25" x14ac:dyDescent="0.2">
      <c r="A3" s="105" t="str">
        <f>"HẠNG MỤC : "&amp; 'Bia du toan'!$G$13</f>
        <v>HẠNG MỤC : CẢI TẠO THƯ VIỆN GIAI ĐOẠN 2 - NĂM 2019</v>
      </c>
      <c r="B3" s="105"/>
      <c r="C3" s="105"/>
      <c r="D3" s="105"/>
      <c r="E3" s="105"/>
      <c r="F3" s="105"/>
      <c r="G3" s="105"/>
      <c r="H3" s="105"/>
      <c r="I3" s="105"/>
      <c r="J3" s="105"/>
    </row>
    <row r="4" spans="1:10" x14ac:dyDescent="0.25">
      <c r="A4" s="40"/>
      <c r="B4" s="40"/>
      <c r="C4" s="40"/>
      <c r="D4" s="40"/>
      <c r="E4" s="40"/>
      <c r="F4" s="40"/>
      <c r="G4" s="40"/>
      <c r="H4" s="40"/>
      <c r="I4" s="40"/>
      <c r="J4" s="40"/>
    </row>
    <row r="5" spans="1:10" s="1" customFormat="1" ht="18.75" customHeight="1" x14ac:dyDescent="0.2">
      <c r="A5" s="1850" t="s">
        <v>15</v>
      </c>
      <c r="B5" s="1850" t="s">
        <v>491</v>
      </c>
      <c r="C5" s="1850" t="s">
        <v>267</v>
      </c>
      <c r="D5" s="1850" t="s">
        <v>236</v>
      </c>
      <c r="E5" s="1850" t="s">
        <v>3307</v>
      </c>
      <c r="F5" s="1785" t="s">
        <v>238</v>
      </c>
      <c r="G5" s="1785"/>
      <c r="H5" s="1850" t="s">
        <v>3346</v>
      </c>
      <c r="I5" s="1859" t="s">
        <v>241</v>
      </c>
      <c r="J5" s="1850" t="s">
        <v>374</v>
      </c>
    </row>
    <row r="6" spans="1:10" s="1" customFormat="1" ht="18.75" customHeight="1" x14ac:dyDescent="0.2">
      <c r="A6" s="1850"/>
      <c r="B6" s="1850"/>
      <c r="C6" s="1850"/>
      <c r="D6" s="1850"/>
      <c r="E6" s="1850"/>
      <c r="F6" s="626" t="s">
        <v>378</v>
      </c>
      <c r="G6" s="626" t="s">
        <v>379</v>
      </c>
      <c r="H6" s="1850" t="s">
        <v>384</v>
      </c>
      <c r="I6" s="1859"/>
      <c r="J6" s="1850" t="s">
        <v>385</v>
      </c>
    </row>
  </sheetData>
  <mergeCells count="9">
    <mergeCell ref="H5:H6"/>
    <mergeCell ref="I5:I6"/>
    <mergeCell ref="J5:J6"/>
    <mergeCell ref="A5:A6"/>
    <mergeCell ref="B5:B6"/>
    <mergeCell ref="C5:C6"/>
    <mergeCell ref="D5:D6"/>
    <mergeCell ref="E5:E6"/>
    <mergeCell ref="F5:G5"/>
  </mergeCells>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NCTC"/>
  <dimension ref="A1:M6"/>
  <sheetViews>
    <sheetView showGridLines="0" workbookViewId="0">
      <selection activeCell="D17" sqref="D17"/>
    </sheetView>
  </sheetViews>
  <sheetFormatPr defaultRowHeight="15" x14ac:dyDescent="0.25"/>
  <cols>
    <col min="1" max="1" width="4.42578125" style="60" customWidth="1"/>
    <col min="2" max="2" width="14.42578125" style="60" hidden="1" customWidth="1"/>
    <col min="3" max="3" width="45.5703125" style="60" customWidth="1"/>
    <col min="4" max="4" width="8.140625" style="155" customWidth="1"/>
    <col min="5" max="5" width="10" style="60" bestFit="1" customWidth="1"/>
    <col min="6" max="6" width="13.85546875" style="126" bestFit="1" customWidth="1"/>
    <col min="7" max="7" width="9.85546875" style="126" customWidth="1"/>
    <col min="8" max="8" width="8.85546875" style="126" customWidth="1"/>
    <col min="9" max="9" width="10.7109375" style="126" customWidth="1"/>
    <col min="10" max="10" width="9.85546875" style="126" bestFit="1" customWidth="1"/>
    <col min="11" max="11" width="13.140625" style="126" customWidth="1"/>
    <col min="12" max="12" width="14" style="126" customWidth="1"/>
    <col min="13" max="13" width="13.85546875" style="126" customWidth="1"/>
    <col min="14" max="16384" width="9.140625" style="61"/>
  </cols>
  <sheetData>
    <row r="1" spans="1:13" s="578" customFormat="1" ht="20.25" x14ac:dyDescent="0.2">
      <c r="A1" s="102" t="s">
        <v>3279</v>
      </c>
      <c r="B1" s="102"/>
      <c r="C1" s="102"/>
      <c r="D1" s="102"/>
      <c r="E1" s="102"/>
      <c r="F1" s="102"/>
      <c r="G1" s="102"/>
      <c r="H1" s="577"/>
      <c r="K1" s="577"/>
      <c r="L1" s="577"/>
      <c r="M1" s="577"/>
    </row>
    <row r="2" spans="1:13" s="578" customFormat="1" ht="15.75" x14ac:dyDescent="0.2">
      <c r="A2" s="344"/>
      <c r="B2" s="345"/>
      <c r="C2" s="345"/>
      <c r="D2" s="344"/>
      <c r="E2" s="344"/>
      <c r="F2" s="344"/>
      <c r="G2" s="344"/>
      <c r="H2" s="579"/>
      <c r="I2" s="579"/>
      <c r="J2" s="579"/>
    </row>
    <row r="3" spans="1:13" s="578" customFormat="1" x14ac:dyDescent="0.2">
      <c r="A3" s="342" t="str">
        <f>"CÔNG TRÌNH : "&amp;'Bia du toan'!$G$12</f>
        <v>CÔNG TRÌNH : TRƯỜNG CAO ĐẲNG LÝ TỰ TRỌNG</v>
      </c>
      <c r="B3" s="341"/>
      <c r="C3" s="340"/>
      <c r="D3" s="340"/>
      <c r="E3" s="340"/>
      <c r="F3" s="340"/>
      <c r="G3" s="345"/>
    </row>
    <row r="4" spans="1:13" s="578" customFormat="1" x14ac:dyDescent="0.2">
      <c r="A4" s="342" t="str">
        <f>"HẠNG MỤC : "&amp; 'Bia du toan'!$G$13</f>
        <v>HẠNG MỤC : CẢI TẠO THƯ VIỆN GIAI ĐOẠN 2 - NĂM 2019</v>
      </c>
      <c r="B4" s="341"/>
      <c r="C4" s="340"/>
      <c r="D4" s="340"/>
      <c r="E4" s="340"/>
      <c r="F4" s="340"/>
      <c r="G4" s="345"/>
    </row>
    <row r="5" spans="1:13" s="578" customFormat="1" x14ac:dyDescent="0.2">
      <c r="A5" s="342"/>
      <c r="B5" s="341"/>
      <c r="C5" s="340"/>
      <c r="D5" s="340"/>
      <c r="E5" s="340"/>
      <c r="F5" s="340"/>
      <c r="G5" s="345"/>
    </row>
    <row r="6" spans="1:13" s="336" customFormat="1" ht="18" customHeight="1" x14ac:dyDescent="0.2">
      <c r="A6" s="337" t="s">
        <v>15</v>
      </c>
      <c r="B6" s="337" t="s">
        <v>335</v>
      </c>
      <c r="C6" s="337" t="s">
        <v>353</v>
      </c>
      <c r="D6" s="337" t="s">
        <v>1450</v>
      </c>
      <c r="E6" s="337" t="s">
        <v>354</v>
      </c>
      <c r="F6" s="580" t="s">
        <v>720</v>
      </c>
      <c r="G6" s="337" t="s">
        <v>1452</v>
      </c>
      <c r="H6" s="581"/>
      <c r="I6" s="581"/>
      <c r="J6" s="581"/>
      <c r="K6" s="581"/>
      <c r="L6" s="581"/>
      <c r="M6" s="581"/>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PTBVC"/>
  <dimension ref="A1:P6"/>
  <sheetViews>
    <sheetView showGridLines="0" workbookViewId="0">
      <selection activeCell="D14" sqref="D14"/>
    </sheetView>
  </sheetViews>
  <sheetFormatPr defaultRowHeight="12.75" outlineLevelCol="1" x14ac:dyDescent="0.2"/>
  <cols>
    <col min="1" max="1" width="3.7109375" bestFit="1" customWidth="1"/>
    <col min="2" max="2" width="11.28515625" customWidth="1"/>
    <col min="3" max="3" width="18.7109375" hidden="1" customWidth="1"/>
    <col min="4" max="4" width="39.28515625" customWidth="1"/>
    <col min="5" max="5" width="4.7109375" style="141" bestFit="1" customWidth="1"/>
    <col min="6" max="6" width="9.28515625" style="142" bestFit="1" customWidth="1"/>
    <col min="7" max="7" width="9.5703125" style="142" bestFit="1" customWidth="1"/>
    <col min="8" max="9" width="11.28515625" style="142" hidden="1" customWidth="1"/>
    <col min="10" max="10" width="6.7109375" style="142" bestFit="1" customWidth="1"/>
    <col min="11" max="11" width="11.5703125" style="142" hidden="1" customWidth="1" outlineLevel="1"/>
    <col min="12" max="12" width="11.7109375" style="143" bestFit="1" customWidth="1" collapsed="1"/>
    <col min="13" max="13" width="7.85546875" style="143" bestFit="1" customWidth="1"/>
    <col min="14" max="15" width="0" hidden="1" customWidth="1" outlineLevel="1"/>
    <col min="16" max="16" width="9.140625" collapsed="1"/>
  </cols>
  <sheetData>
    <row r="1" spans="1:15" ht="20.25" x14ac:dyDescent="0.3">
      <c r="A1" s="41" t="s">
        <v>3284</v>
      </c>
      <c r="B1" s="96"/>
      <c r="C1" s="96"/>
      <c r="D1" s="96"/>
      <c r="E1" s="96"/>
      <c r="F1" s="138"/>
      <c r="G1" s="138"/>
      <c r="H1" s="96"/>
      <c r="I1" s="96"/>
      <c r="J1" s="138"/>
      <c r="K1" s="96"/>
      <c r="L1" s="96"/>
      <c r="M1" s="139"/>
    </row>
    <row r="2" spans="1:15" ht="15.75" x14ac:dyDescent="0.25">
      <c r="A2" s="8" t="str">
        <f>"CÔNG TRÌNH : "&amp;'Bia du toan'!$G$12</f>
        <v>CÔNG TRÌNH : TRƯỜNG CAO ĐẲNG LÝ TỰ TRỌNG</v>
      </c>
      <c r="B2" s="96"/>
      <c r="C2" s="96"/>
      <c r="D2" s="96"/>
      <c r="E2" s="96"/>
      <c r="F2" s="138"/>
      <c r="G2" s="138"/>
      <c r="H2" s="96"/>
      <c r="I2" s="96"/>
      <c r="J2" s="138"/>
      <c r="K2" s="96"/>
      <c r="L2" s="96"/>
      <c r="M2" s="139"/>
    </row>
    <row r="3" spans="1:15" ht="15.75" x14ac:dyDescent="0.25">
      <c r="A3" s="8" t="str">
        <f>"HẠNG MỤC : "&amp; 'Bia du toan'!$G$13</f>
        <v>HẠNG MỤC : CẢI TẠO THƯ VIỆN GIAI ĐOẠN 2 - NĂM 2019</v>
      </c>
      <c r="B3" s="96"/>
      <c r="C3" s="96"/>
      <c r="D3" s="96"/>
      <c r="E3" s="96"/>
      <c r="F3" s="138"/>
      <c r="G3" s="138"/>
      <c r="H3" s="96"/>
      <c r="I3" s="96"/>
      <c r="J3" s="138"/>
      <c r="K3" s="96"/>
      <c r="L3" s="96"/>
      <c r="M3" s="139"/>
    </row>
    <row r="4" spans="1:15" ht="15" x14ac:dyDescent="0.25">
      <c r="A4" s="96"/>
      <c r="B4" s="96"/>
      <c r="C4" s="96"/>
      <c r="D4" s="96"/>
      <c r="E4" s="96"/>
      <c r="F4" s="138"/>
      <c r="G4" s="138"/>
      <c r="H4" s="96"/>
      <c r="I4" s="96"/>
      <c r="J4" s="138"/>
      <c r="K4" s="96"/>
      <c r="L4" s="96"/>
      <c r="M4" s="139"/>
    </row>
    <row r="5" spans="1:15" s="780" customFormat="1" x14ac:dyDescent="0.2">
      <c r="A5" s="1781" t="s">
        <v>15</v>
      </c>
      <c r="B5" s="1752" t="s">
        <v>234</v>
      </c>
      <c r="C5" s="1781" t="s">
        <v>256</v>
      </c>
      <c r="D5" s="1781" t="s">
        <v>257</v>
      </c>
      <c r="E5" s="1753" t="s">
        <v>3347</v>
      </c>
      <c r="F5" s="1860" t="s">
        <v>237</v>
      </c>
      <c r="G5" s="1860"/>
      <c r="H5" s="1860"/>
      <c r="I5" s="1860"/>
      <c r="J5" s="1860"/>
      <c r="K5" s="1860"/>
      <c r="L5" s="169" t="s">
        <v>558</v>
      </c>
      <c r="M5" s="170" t="s">
        <v>383</v>
      </c>
      <c r="N5" s="745" t="s">
        <v>258</v>
      </c>
      <c r="O5" s="745" t="s">
        <v>259</v>
      </c>
    </row>
    <row r="6" spans="1:15" s="780" customFormat="1" ht="21" x14ac:dyDescent="0.2">
      <c r="A6" s="1781"/>
      <c r="B6" s="1861"/>
      <c r="C6" s="1781"/>
      <c r="D6" s="1781"/>
      <c r="E6" s="1781"/>
      <c r="F6" s="735" t="s">
        <v>261</v>
      </c>
      <c r="G6" s="735" t="s">
        <v>233</v>
      </c>
      <c r="H6" s="733" t="s">
        <v>241</v>
      </c>
      <c r="I6" s="731" t="s">
        <v>3282</v>
      </c>
      <c r="J6" s="735" t="s">
        <v>483</v>
      </c>
      <c r="K6" s="735" t="s">
        <v>262</v>
      </c>
      <c r="L6" s="171" t="s">
        <v>3285</v>
      </c>
      <c r="M6" s="172" t="s">
        <v>385</v>
      </c>
      <c r="N6" s="746" t="s">
        <v>263</v>
      </c>
      <c r="O6" s="746" t="s">
        <v>232</v>
      </c>
    </row>
  </sheetData>
  <mergeCells count="6">
    <mergeCell ref="F5:K5"/>
    <mergeCell ref="A5:A6"/>
    <mergeCell ref="B5:B6"/>
    <mergeCell ref="C5:C6"/>
    <mergeCell ref="D5:D6"/>
    <mergeCell ref="E5:E6"/>
  </mergeCells>
  <pageMargins left="0.55118110236220497" right="0.196850393700787" top="0.43307086614173201" bottom="0.59055118110236204" header="0.15748031496063" footer="0.23622047244094499"/>
  <pageSetup paperSize="9" scale="90" orientation="portrait" r:id="rId1"/>
  <headerFooter alignWithMargins="0">
    <oddHeader>&amp;L&amp;"Times New Roman,Bold Italic"&amp;9Dự toán Bắc Nam  - ÐT: 0966.966.455</oddHeader>
    <oddFooter>&amp;R&amp;9Trang &amp;P/&amp;N</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LuongCNXD_Tong"/>
  <dimension ref="A1:M6"/>
  <sheetViews>
    <sheetView showGridLines="0" workbookViewId="0">
      <selection activeCell="I9" sqref="I9"/>
    </sheetView>
  </sheetViews>
  <sheetFormatPr defaultRowHeight="15" x14ac:dyDescent="0.25"/>
  <cols>
    <col min="1" max="1" width="4.42578125" style="60" customWidth="1"/>
    <col min="2" max="2" width="14.42578125" style="60" hidden="1" customWidth="1"/>
    <col min="3" max="3" width="38.42578125" style="60" customWidth="1"/>
    <col min="4" max="4" width="8.140625" style="155" customWidth="1"/>
    <col min="5" max="5" width="10" style="60" bestFit="1" customWidth="1"/>
    <col min="6" max="6" width="13.85546875" style="126" bestFit="1" customWidth="1"/>
    <col min="7" max="7" width="9.85546875" style="126" customWidth="1"/>
    <col min="8" max="8" width="8.85546875" style="126" customWidth="1"/>
    <col min="9" max="9" width="10.7109375" style="126" customWidth="1"/>
    <col min="10" max="10" width="9.85546875" style="126" bestFit="1" customWidth="1"/>
    <col min="11" max="11" width="13.140625" style="126" customWidth="1"/>
    <col min="12" max="12" width="14" style="126" customWidth="1"/>
    <col min="13" max="13" width="13.85546875" style="126" customWidth="1"/>
    <col min="14" max="16384" width="9.140625" style="61"/>
  </cols>
  <sheetData>
    <row r="1" spans="1:13" s="578" customFormat="1" ht="20.25" x14ac:dyDescent="0.2">
      <c r="A1" s="102" t="s">
        <v>1449</v>
      </c>
      <c r="B1" s="102"/>
      <c r="C1" s="102"/>
      <c r="D1" s="102"/>
      <c r="E1" s="102"/>
      <c r="F1" s="102"/>
      <c r="G1" s="102"/>
      <c r="H1" s="577"/>
      <c r="K1" s="577"/>
      <c r="L1" s="577"/>
      <c r="M1" s="577"/>
    </row>
    <row r="2" spans="1:13" s="578" customFormat="1" ht="15.75" x14ac:dyDescent="0.2">
      <c r="A2" s="344"/>
      <c r="B2" s="345"/>
      <c r="C2" s="345"/>
      <c r="D2" s="344"/>
      <c r="E2" s="344"/>
      <c r="F2" s="344"/>
      <c r="G2" s="344"/>
      <c r="H2" s="579"/>
      <c r="I2" s="579"/>
      <c r="J2" s="579"/>
    </row>
    <row r="3" spans="1:13" s="578" customFormat="1" x14ac:dyDescent="0.2">
      <c r="A3" s="342" t="str">
        <f>"CÔNG TRÌNH : "&amp;'Bia du toan'!$G$12</f>
        <v>CÔNG TRÌNH : TRƯỜNG CAO ĐẲNG LÝ TỰ TRỌNG</v>
      </c>
      <c r="B3" s="341"/>
      <c r="C3" s="340"/>
      <c r="D3" s="340"/>
      <c r="E3" s="340"/>
      <c r="F3" s="340"/>
      <c r="G3" s="345"/>
    </row>
    <row r="4" spans="1:13" s="578" customFormat="1" x14ac:dyDescent="0.2">
      <c r="A4" s="342" t="str">
        <f>"HẠNG MỤC : "&amp; 'Bia du toan'!$G$13</f>
        <v>HẠNG MỤC : CẢI TẠO THƯ VIỆN GIAI ĐOẠN 2 - NĂM 2019</v>
      </c>
      <c r="B4" s="341"/>
      <c r="C4" s="340"/>
      <c r="D4" s="340"/>
      <c r="E4" s="340"/>
      <c r="F4" s="340"/>
      <c r="G4" s="345"/>
    </row>
    <row r="5" spans="1:13" s="578" customFormat="1" x14ac:dyDescent="0.2">
      <c r="A5" s="342"/>
      <c r="B5" s="341"/>
      <c r="C5" s="340"/>
      <c r="D5" s="340"/>
      <c r="E5" s="340"/>
      <c r="F5" s="340"/>
      <c r="G5" s="345"/>
    </row>
    <row r="6" spans="1:13" s="336" customFormat="1" ht="18" customHeight="1" x14ac:dyDescent="0.2">
      <c r="A6" s="337" t="s">
        <v>15</v>
      </c>
      <c r="B6" s="337" t="s">
        <v>335</v>
      </c>
      <c r="C6" s="337" t="s">
        <v>353</v>
      </c>
      <c r="D6" s="337" t="s">
        <v>1450</v>
      </c>
      <c r="E6" s="337" t="s">
        <v>354</v>
      </c>
      <c r="F6" s="580" t="s">
        <v>720</v>
      </c>
      <c r="G6" s="337" t="s">
        <v>1452</v>
      </c>
      <c r="H6" s="581"/>
      <c r="I6" s="581"/>
      <c r="J6" s="581"/>
      <c r="K6" s="581"/>
      <c r="L6" s="581"/>
      <c r="M6" s="581"/>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LCNXD"/>
  <dimension ref="A1:P7"/>
  <sheetViews>
    <sheetView workbookViewId="0">
      <selection activeCell="E14" sqref="E14"/>
    </sheetView>
  </sheetViews>
  <sheetFormatPr defaultRowHeight="15" outlineLevelCol="1" x14ac:dyDescent="0.25"/>
  <cols>
    <col min="1" max="1" width="4.42578125" style="60" customWidth="1"/>
    <col min="2" max="2" width="9.85546875" style="60" hidden="1" customWidth="1"/>
    <col min="3" max="3" width="33.85546875" style="60" customWidth="1"/>
    <col min="4" max="4" width="5.85546875" style="155" customWidth="1"/>
    <col min="5" max="5" width="5.42578125" style="60" bestFit="1" customWidth="1"/>
    <col min="6" max="6" width="8.7109375" style="126" bestFit="1" customWidth="1"/>
    <col min="7" max="7" width="11.5703125" style="126" customWidth="1" outlineLevel="1"/>
    <col min="8" max="10" width="9.85546875" style="126" hidden="1" customWidth="1" outlineLevel="1"/>
    <col min="11" max="11" width="8.85546875" style="126" hidden="1" customWidth="1" outlineLevel="1"/>
    <col min="12" max="12" width="10.7109375" style="126" customWidth="1" outlineLevel="1"/>
    <col min="13" max="13" width="9.85546875" style="126" bestFit="1" customWidth="1" outlineLevel="1"/>
    <col min="14" max="14" width="13.140625" style="126" customWidth="1" outlineLevel="1"/>
    <col min="15" max="15" width="14" style="126" customWidth="1"/>
    <col min="16" max="16" width="13.85546875" style="126" customWidth="1"/>
    <col min="17" max="16384" width="9.140625" style="61"/>
  </cols>
  <sheetData>
    <row r="1" spans="1:16" s="59" customFormat="1" ht="20.25" x14ac:dyDescent="0.2">
      <c r="A1" s="102" t="s">
        <v>352</v>
      </c>
      <c r="B1" s="102"/>
      <c r="C1" s="102"/>
      <c r="D1" s="102"/>
      <c r="E1" s="102"/>
      <c r="F1" s="102"/>
      <c r="G1" s="102"/>
      <c r="H1" s="102"/>
      <c r="I1" s="102"/>
      <c r="J1" s="102"/>
      <c r="K1" s="102"/>
      <c r="L1" s="116"/>
      <c r="M1" s="116"/>
      <c r="N1" s="102"/>
      <c r="O1" s="102"/>
      <c r="P1" s="102"/>
    </row>
    <row r="2" spans="1:16" s="59" customFormat="1" ht="15.75" x14ac:dyDescent="0.2">
      <c r="A2" s="344" t="s">
        <v>3348</v>
      </c>
      <c r="B2" s="116"/>
      <c r="C2" s="116"/>
      <c r="D2" s="344"/>
      <c r="E2" s="344"/>
      <c r="F2" s="344"/>
      <c r="G2" s="344"/>
      <c r="H2" s="344"/>
      <c r="I2" s="344"/>
      <c r="J2" s="344"/>
      <c r="K2" s="344"/>
      <c r="L2" s="344"/>
      <c r="M2" s="344"/>
      <c r="N2" s="116"/>
      <c r="O2" s="116"/>
      <c r="P2" s="116"/>
    </row>
    <row r="3" spans="1:16" s="59" customFormat="1" x14ac:dyDescent="0.2">
      <c r="A3" s="342" t="str">
        <f>"CÔNG TRÌNH : "&amp;'Bia du toan'!$G$12</f>
        <v>CÔNG TRÌNH : TRƯỜNG CAO ĐẲNG LÝ TỰ TRỌNG</v>
      </c>
      <c r="B3" s="341"/>
      <c r="C3" s="340"/>
      <c r="D3" s="340"/>
      <c r="E3" s="340"/>
      <c r="F3" s="340"/>
      <c r="G3" s="340"/>
      <c r="H3" s="116"/>
      <c r="I3" s="116"/>
      <c r="J3" s="116"/>
      <c r="K3" s="116"/>
      <c r="L3" s="116"/>
      <c r="M3" s="116"/>
      <c r="N3" s="116"/>
      <c r="O3" s="116"/>
      <c r="P3" s="116"/>
    </row>
    <row r="4" spans="1:16" s="59" customFormat="1" x14ac:dyDescent="0.2">
      <c r="A4" s="342" t="str">
        <f>"HẠNG MỤC : "&amp; 'Bia du toan'!$G$13</f>
        <v>HẠNG MỤC : CẢI TẠO THƯ VIỆN GIAI ĐOẠN 2 - NĂM 2019</v>
      </c>
      <c r="B4" s="341"/>
      <c r="C4" s="340"/>
      <c r="D4" s="340"/>
      <c r="E4" s="340"/>
      <c r="F4" s="340"/>
      <c r="G4" s="340"/>
      <c r="H4" s="116"/>
      <c r="I4" s="116"/>
      <c r="J4" s="116"/>
      <c r="K4" s="116"/>
      <c r="L4" s="116"/>
      <c r="M4" s="116"/>
      <c r="N4" s="116"/>
      <c r="O4" s="116"/>
      <c r="P4" s="116"/>
    </row>
    <row r="5" spans="1:16" s="59" customFormat="1" x14ac:dyDescent="0.2">
      <c r="A5" s="342"/>
      <c r="B5" s="341"/>
      <c r="C5" s="340"/>
      <c r="D5" s="340"/>
      <c r="E5" s="340"/>
      <c r="F5" s="340"/>
      <c r="G5" s="340"/>
      <c r="H5" s="116"/>
      <c r="I5" s="116"/>
      <c r="J5" s="116"/>
      <c r="K5" s="116"/>
      <c r="L5" s="116"/>
      <c r="M5" s="116"/>
      <c r="N5" s="116"/>
      <c r="O5" s="116"/>
      <c r="P5" s="116"/>
    </row>
    <row r="6" spans="1:16" s="59" customFormat="1" ht="18" customHeight="1" x14ac:dyDescent="0.2">
      <c r="A6" s="1862" t="s">
        <v>15</v>
      </c>
      <c r="B6" s="1862" t="s">
        <v>335</v>
      </c>
      <c r="C6" s="1862" t="s">
        <v>353</v>
      </c>
      <c r="D6" s="1862" t="s">
        <v>567</v>
      </c>
      <c r="E6" s="1862" t="s">
        <v>487</v>
      </c>
      <c r="F6" s="1862" t="s">
        <v>355</v>
      </c>
      <c r="G6" s="173" t="s">
        <v>356</v>
      </c>
      <c r="H6" s="173"/>
      <c r="I6" s="173"/>
      <c r="J6" s="173"/>
      <c r="K6" s="173"/>
      <c r="L6" s="173"/>
      <c r="M6" s="173"/>
      <c r="N6" s="173"/>
      <c r="O6" s="1862" t="s">
        <v>357</v>
      </c>
      <c r="P6" s="1862" t="s">
        <v>358</v>
      </c>
    </row>
    <row r="7" spans="1:16" s="59" customFormat="1" ht="29.25" customHeight="1" x14ac:dyDescent="0.2">
      <c r="A7" s="1862"/>
      <c r="B7" s="1862"/>
      <c r="C7" s="1862"/>
      <c r="D7" s="1862"/>
      <c r="E7" s="1862"/>
      <c r="F7" s="1862"/>
      <c r="G7" s="174" t="s">
        <v>359</v>
      </c>
      <c r="H7" s="174" t="s">
        <v>360</v>
      </c>
      <c r="I7" s="174" t="s">
        <v>361</v>
      </c>
      <c r="J7" s="174" t="s">
        <v>362</v>
      </c>
      <c r="K7" s="174" t="s">
        <v>363</v>
      </c>
      <c r="L7" s="174" t="s">
        <v>364</v>
      </c>
      <c r="M7" s="174" t="s">
        <v>365</v>
      </c>
      <c r="N7" s="174" t="s">
        <v>366</v>
      </c>
      <c r="O7" s="1862"/>
      <c r="P7" s="1862"/>
    </row>
  </sheetData>
  <sheetProtection formatCells="0" formatColumns="0" formatRows="0" insertColumns="0" insertRows="0" insertHyperlinks="0" deleteColumns="0" deleteRows="0" sort="0" autoFilter="0" pivotTables="0"/>
  <mergeCells count="8">
    <mergeCell ref="F6:F7"/>
    <mergeCell ref="O6:O7"/>
    <mergeCell ref="P6:P7"/>
    <mergeCell ref="A6:A7"/>
    <mergeCell ref="B6:B7"/>
    <mergeCell ref="C6:C7"/>
    <mergeCell ref="D6:D7"/>
    <mergeCell ref="E6:E7"/>
  </mergeCells>
  <phoneticPr fontId="2" type="noConversion"/>
  <pageMargins left="0.55118110236220497" right="0.196850393700787" top="0.43307086614173201" bottom="0.59055118110236204" header="0.15748031496063" footer="0.23622047244094499"/>
  <pageSetup paperSize="9" orientation="landscape" r:id="rId1"/>
  <headerFooter alignWithMargins="0">
    <oddHeader>&amp;L&amp;"Times New Roman,Bold Italic"&amp;9Dự toán Bắc Nam  - ÐT: 0966.966.455</oddHeader>
    <oddFooter>&amp;R&amp;9Trang &amp;P/&amp;N</odd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LCNXD1"/>
  <dimension ref="A1:N7"/>
  <sheetViews>
    <sheetView workbookViewId="0">
      <selection activeCell="C16" sqref="C16"/>
    </sheetView>
  </sheetViews>
  <sheetFormatPr defaultRowHeight="15" outlineLevelCol="1" x14ac:dyDescent="0.25"/>
  <cols>
    <col min="1" max="1" width="4.42578125" style="60" customWidth="1"/>
    <col min="2" max="2" width="22.140625" style="60" hidden="1" customWidth="1" outlineLevel="1"/>
    <col min="3" max="3" width="35.7109375" style="60" customWidth="1" collapsed="1"/>
    <col min="4" max="4" width="7" style="155" customWidth="1"/>
    <col min="5" max="5" width="10" style="60" bestFit="1" customWidth="1"/>
    <col min="6" max="6" width="14.85546875" style="126" customWidth="1"/>
    <col min="7" max="7" width="13.85546875" style="126" customWidth="1"/>
    <col min="8" max="16384" width="9.140625" style="61"/>
  </cols>
  <sheetData>
    <row r="1" spans="1:14" s="59" customFormat="1" ht="20.25" x14ac:dyDescent="0.2">
      <c r="A1" s="102" t="s">
        <v>722</v>
      </c>
      <c r="B1" s="102"/>
      <c r="C1" s="102"/>
      <c r="D1" s="102"/>
      <c r="E1" s="102"/>
      <c r="F1" s="102"/>
      <c r="G1" s="102"/>
    </row>
    <row r="2" spans="1:14" s="59" customFormat="1" ht="15.75" x14ac:dyDescent="0.2">
      <c r="A2" s="344" t="s">
        <v>3404</v>
      </c>
      <c r="B2" s="345"/>
      <c r="C2" s="345"/>
      <c r="D2" s="344"/>
      <c r="E2" s="344"/>
      <c r="F2" s="344"/>
      <c r="G2" s="344"/>
      <c r="N2" s="343"/>
    </row>
    <row r="3" spans="1:14" s="59" customFormat="1" x14ac:dyDescent="0.2">
      <c r="A3" s="342" t="str">
        <f>"CÔNG TRÌNH : "&amp;'Bia du toan'!$G$12</f>
        <v>CÔNG TRÌNH : TRƯỜNG CAO ĐẲNG LÝ TỰ TRỌNG</v>
      </c>
      <c r="B3" s="341"/>
      <c r="C3" s="340"/>
      <c r="D3" s="340"/>
      <c r="E3" s="340"/>
      <c r="F3" s="340"/>
      <c r="G3" s="340"/>
      <c r="N3" s="343"/>
    </row>
    <row r="4" spans="1:14" s="59" customFormat="1" x14ac:dyDescent="0.2">
      <c r="A4" s="342" t="str">
        <f>"HẠNG MỤC : "&amp; 'Bia du toan'!$G$13</f>
        <v>HẠNG MỤC : CẢI TẠO THƯ VIỆN GIAI ĐOẠN 2 - NĂM 2019</v>
      </c>
      <c r="B4" s="341"/>
      <c r="C4" s="340"/>
      <c r="D4" s="340"/>
      <c r="E4" s="340"/>
      <c r="F4" s="340"/>
      <c r="G4" s="340"/>
    </row>
    <row r="5" spans="1:14" s="59" customFormat="1" x14ac:dyDescent="0.2">
      <c r="A5" s="339"/>
      <c r="B5" s="339"/>
      <c r="C5" s="338"/>
      <c r="D5" s="338"/>
      <c r="E5" s="338"/>
      <c r="F5" s="338"/>
      <c r="G5" s="338"/>
    </row>
    <row r="6" spans="1:14" s="59" customFormat="1" hidden="1" x14ac:dyDescent="0.2">
      <c r="A6" s="339"/>
      <c r="B6" s="339"/>
      <c r="C6" s="338"/>
      <c r="D6" s="338"/>
      <c r="E6" s="338"/>
      <c r="F6" s="338"/>
      <c r="G6" s="338"/>
    </row>
    <row r="7" spans="1:14" s="336" customFormat="1" ht="18" customHeight="1" x14ac:dyDescent="0.2">
      <c r="A7" s="337" t="s">
        <v>15</v>
      </c>
      <c r="B7" s="337" t="s">
        <v>335</v>
      </c>
      <c r="C7" s="337" t="s">
        <v>353</v>
      </c>
      <c r="D7" s="337" t="s">
        <v>567</v>
      </c>
      <c r="E7" s="337" t="s">
        <v>354</v>
      </c>
      <c r="F7" s="337" t="s">
        <v>721</v>
      </c>
      <c r="G7" s="337" t="s">
        <v>720</v>
      </c>
    </row>
  </sheetData>
  <sheetProtection formatCells="0" formatColumns="0" formatRows="0" insertColumns="0" insertRows="0" insertHyperlinks="0" deleteColumns="0" deleteRows="0" sort="0" autoFilter="0" pivotTables="0"/>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LCNXD2"/>
  <dimension ref="A1:Q7"/>
  <sheetViews>
    <sheetView showGridLines="0" workbookViewId="0">
      <selection activeCell="F13" sqref="F13"/>
    </sheetView>
  </sheetViews>
  <sheetFormatPr defaultRowHeight="15" outlineLevelCol="1" x14ac:dyDescent="0.25"/>
  <cols>
    <col min="1" max="1" width="4.42578125" style="60" customWidth="1"/>
    <col min="2" max="2" width="15.42578125" style="60" hidden="1" customWidth="1" outlineLevel="1"/>
    <col min="3" max="3" width="29" style="60" customWidth="1" collapsed="1"/>
    <col min="4" max="4" width="5.85546875" style="155" customWidth="1"/>
    <col min="5" max="5" width="5.5703125" style="60" bestFit="1" customWidth="1"/>
    <col min="6" max="6" width="6.28515625" style="573" customWidth="1"/>
    <col min="7" max="7" width="6.7109375" style="572" bestFit="1" customWidth="1"/>
    <col min="8" max="8" width="7.140625" style="572" bestFit="1" customWidth="1"/>
    <col min="9" max="9" width="8" style="572" bestFit="1" customWidth="1"/>
    <col min="10" max="10" width="10.7109375" style="572" bestFit="1" customWidth="1"/>
    <col min="11" max="12" width="7.140625" style="572" bestFit="1" customWidth="1"/>
    <col min="13" max="13" width="8.7109375" style="572" bestFit="1" customWidth="1"/>
    <col min="14" max="14" width="13.42578125" style="572" customWidth="1"/>
    <col min="15" max="15" width="13.140625" style="570" customWidth="1"/>
    <col min="16" max="16" width="10.7109375" style="570" bestFit="1" customWidth="1"/>
    <col min="17" max="17" width="9.85546875" style="570" bestFit="1" customWidth="1"/>
    <col min="18" max="16384" width="9.140625" style="61"/>
  </cols>
  <sheetData>
    <row r="1" spans="1:17" s="59" customFormat="1" ht="20.25" x14ac:dyDescent="0.2">
      <c r="A1" s="102" t="s">
        <v>722</v>
      </c>
      <c r="B1" s="102"/>
      <c r="C1" s="102"/>
      <c r="D1" s="102"/>
      <c r="E1" s="102"/>
      <c r="F1" s="566"/>
      <c r="G1" s="116"/>
      <c r="H1" s="116"/>
      <c r="I1" s="116"/>
      <c r="J1" s="116"/>
      <c r="K1" s="116"/>
      <c r="L1" s="116"/>
      <c r="M1" s="116"/>
      <c r="N1" s="116"/>
      <c r="O1" s="569"/>
      <c r="P1" s="569"/>
      <c r="Q1" s="569"/>
    </row>
    <row r="2" spans="1:17" s="59" customFormat="1" ht="15.75" x14ac:dyDescent="0.2">
      <c r="A2" s="344" t="s">
        <v>1434</v>
      </c>
      <c r="B2" s="345"/>
      <c r="C2" s="345"/>
      <c r="D2" s="344"/>
      <c r="E2" s="344"/>
      <c r="F2" s="567"/>
      <c r="G2" s="116"/>
      <c r="H2" s="116"/>
      <c r="I2" s="116"/>
      <c r="J2" s="116"/>
      <c r="K2" s="116"/>
      <c r="L2" s="116"/>
      <c r="M2" s="116"/>
      <c r="N2" s="565"/>
      <c r="O2" s="569"/>
      <c r="P2" s="569"/>
      <c r="Q2" s="569"/>
    </row>
    <row r="3" spans="1:17" s="59" customFormat="1" x14ac:dyDescent="0.2">
      <c r="A3" s="342" t="str">
        <f>"CÔNG TRÌNH : "&amp;'Bia du toan'!$G$12</f>
        <v>CÔNG TRÌNH : TRƯỜNG CAO ĐẲNG LÝ TỰ TRỌNG</v>
      </c>
      <c r="B3" s="341"/>
      <c r="C3" s="340"/>
      <c r="D3" s="340"/>
      <c r="E3" s="340"/>
      <c r="F3" s="568"/>
      <c r="G3" s="116"/>
      <c r="H3" s="116"/>
      <c r="I3" s="116"/>
      <c r="J3" s="116"/>
      <c r="K3" s="116"/>
      <c r="L3" s="116"/>
      <c r="M3" s="116"/>
      <c r="N3" s="565"/>
      <c r="O3" s="569"/>
      <c r="P3" s="569"/>
      <c r="Q3" s="569"/>
    </row>
    <row r="4" spans="1:17" s="59" customFormat="1" x14ac:dyDescent="0.2">
      <c r="A4" s="342" t="str">
        <f>"HẠNG MỤC : "&amp; 'Bia du toan'!$G$13</f>
        <v>HẠNG MỤC : CẢI TẠO THƯ VIỆN GIAI ĐOẠN 2 - NĂM 2019</v>
      </c>
      <c r="B4" s="341"/>
      <c r="C4" s="340"/>
      <c r="D4" s="340"/>
      <c r="E4" s="340"/>
      <c r="F4" s="568"/>
      <c r="G4" s="116"/>
      <c r="H4" s="116"/>
      <c r="I4" s="116"/>
      <c r="J4" s="116"/>
      <c r="K4" s="116"/>
      <c r="L4" s="116"/>
      <c r="M4" s="116"/>
      <c r="N4" s="116"/>
      <c r="O4" s="569"/>
      <c r="P4" s="569"/>
      <c r="Q4" s="569"/>
    </row>
    <row r="5" spans="1:17" s="59" customFormat="1" x14ac:dyDescent="0.2">
      <c r="A5" s="341"/>
      <c r="B5" s="341"/>
      <c r="C5" s="340"/>
      <c r="D5" s="340"/>
      <c r="E5" s="340"/>
      <c r="F5" s="568"/>
      <c r="G5" s="116"/>
      <c r="H5" s="116"/>
      <c r="I5" s="116"/>
      <c r="J5" s="116"/>
      <c r="K5" s="116"/>
      <c r="L5" s="116"/>
      <c r="M5" s="116"/>
      <c r="N5" s="116"/>
      <c r="O5" s="569"/>
      <c r="P5" s="569"/>
      <c r="Q5" s="569"/>
    </row>
    <row r="6" spans="1:17" s="781" customFormat="1" ht="26.25" customHeight="1" x14ac:dyDescent="0.2">
      <c r="A6" s="1865" t="s">
        <v>15</v>
      </c>
      <c r="B6" s="1865" t="s">
        <v>335</v>
      </c>
      <c r="C6" s="1865" t="s">
        <v>353</v>
      </c>
      <c r="D6" s="1865" t="s">
        <v>567</v>
      </c>
      <c r="E6" s="1865" t="s">
        <v>354</v>
      </c>
      <c r="F6" s="1869" t="s">
        <v>1416</v>
      </c>
      <c r="G6" s="1866" t="s">
        <v>1429</v>
      </c>
      <c r="H6" s="1867"/>
      <c r="I6" s="1867"/>
      <c r="J6" s="1867"/>
      <c r="K6" s="1867"/>
      <c r="L6" s="1867"/>
      <c r="M6" s="1868"/>
      <c r="N6" s="1871" t="s">
        <v>1430</v>
      </c>
      <c r="O6" s="1863" t="s">
        <v>1431</v>
      </c>
      <c r="P6" s="1863" t="s">
        <v>1432</v>
      </c>
      <c r="Q6" s="1863" t="s">
        <v>1433</v>
      </c>
    </row>
    <row r="7" spans="1:17" s="782" customFormat="1" ht="24" customHeight="1" x14ac:dyDescent="0.2">
      <c r="A7" s="1865"/>
      <c r="B7" s="1865"/>
      <c r="C7" s="1865"/>
      <c r="D7" s="1865"/>
      <c r="E7" s="1865"/>
      <c r="F7" s="1870"/>
      <c r="G7" s="571" t="s">
        <v>362</v>
      </c>
      <c r="H7" s="571" t="s">
        <v>1427</v>
      </c>
      <c r="I7" s="571" t="s">
        <v>359</v>
      </c>
      <c r="J7" s="571" t="s">
        <v>361</v>
      </c>
      <c r="K7" s="571" t="s">
        <v>363</v>
      </c>
      <c r="L7" s="571" t="s">
        <v>1428</v>
      </c>
      <c r="M7" s="571" t="s">
        <v>364</v>
      </c>
      <c r="N7" s="1872"/>
      <c r="O7" s="1864"/>
      <c r="P7" s="1864"/>
      <c r="Q7" s="1864"/>
    </row>
  </sheetData>
  <mergeCells count="11">
    <mergeCell ref="Q6:Q7"/>
    <mergeCell ref="A6:A7"/>
    <mergeCell ref="B6:B7"/>
    <mergeCell ref="C6:C7"/>
    <mergeCell ref="D6:D7"/>
    <mergeCell ref="E6:E7"/>
    <mergeCell ref="G6:M6"/>
    <mergeCell ref="F6:F7"/>
    <mergeCell ref="N6:N7"/>
    <mergeCell ref="O6:O7"/>
    <mergeCell ref="P6:P7"/>
  </mergeCells>
  <pageMargins left="0.55118110236220497" right="0.196850393700787" top="0.43307086614173201" bottom="0.59055118110236204" header="0.15748031496063" footer="0.23622047244094499"/>
  <pageSetup paperSize="9" scale="90" orientation="landscape" r:id="rId1"/>
  <headerFooter alignWithMargins="0">
    <oddHeader>&amp;L&amp;"Times New Roman,Bold Italic"&amp;9Dự toán Bắc Nam  - ÐT: 0966.966.455</oddHeader>
    <oddFooter>&amp;R&amp;9Trang &amp;P/&amp;N</odd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PTCM"/>
  <dimension ref="A1:H6"/>
  <sheetViews>
    <sheetView workbookViewId="0">
      <selection activeCell="D16" sqref="D16"/>
    </sheetView>
  </sheetViews>
  <sheetFormatPr defaultRowHeight="15" x14ac:dyDescent="0.25"/>
  <cols>
    <col min="1" max="1" width="7" style="2" customWidth="1"/>
    <col min="2" max="2" width="10.7109375" style="2" hidden="1" customWidth="1"/>
    <col min="3" max="3" width="8" style="2" hidden="1" customWidth="1"/>
    <col min="4" max="4" width="46.28515625" style="2" customWidth="1"/>
    <col min="5" max="5" width="6.85546875" style="144" bestFit="1" customWidth="1"/>
    <col min="6" max="6" width="12.5703125" style="120" customWidth="1"/>
    <col min="7" max="7" width="9.5703125" style="120" bestFit="1" customWidth="1"/>
    <col min="8" max="8" width="14.42578125" style="120" customWidth="1"/>
    <col min="9" max="16384" width="9.140625" style="2"/>
  </cols>
  <sheetData>
    <row r="1" spans="1:8" ht="20.25" x14ac:dyDescent="0.25">
      <c r="A1" s="63" t="s">
        <v>372</v>
      </c>
      <c r="B1" s="40"/>
      <c r="C1" s="40"/>
      <c r="D1" s="40"/>
      <c r="E1" s="40"/>
      <c r="F1" s="40"/>
      <c r="G1" s="40"/>
      <c r="H1" s="40"/>
    </row>
    <row r="2" spans="1:8" s="101" customFormat="1" ht="14.25" x14ac:dyDescent="0.2">
      <c r="A2" s="105" t="str">
        <f>"CÔNG TRÌNH : "&amp;'Bia du toan'!$G$12</f>
        <v>CÔNG TRÌNH : TRƯỜNG CAO ĐẲNG LÝ TỰ TRỌNG</v>
      </c>
      <c r="B2" s="105"/>
      <c r="C2" s="105"/>
      <c r="D2" s="105"/>
      <c r="E2" s="105"/>
      <c r="F2" s="105"/>
      <c r="G2" s="105"/>
      <c r="H2" s="105"/>
    </row>
    <row r="3" spans="1:8" s="101" customFormat="1" ht="14.25" x14ac:dyDescent="0.2">
      <c r="A3" s="105" t="str">
        <f>"HẠNG MỤC : "&amp; 'Bia du toan'!$G$13</f>
        <v>HẠNG MỤC : CẢI TẠO THƯ VIỆN GIAI ĐOẠN 2 - NĂM 2019</v>
      </c>
      <c r="B3" s="105"/>
      <c r="C3" s="105"/>
      <c r="D3" s="105"/>
      <c r="E3" s="105"/>
      <c r="F3" s="105"/>
      <c r="G3" s="105"/>
      <c r="H3" s="105"/>
    </row>
    <row r="4" spans="1:8" x14ac:dyDescent="0.25">
      <c r="A4" s="40"/>
      <c r="B4" s="40"/>
      <c r="C4" s="40"/>
      <c r="D4" s="40"/>
      <c r="E4" s="40"/>
      <c r="F4" s="40"/>
      <c r="G4" s="40"/>
      <c r="H4" s="40"/>
    </row>
    <row r="5" spans="1:8" s="62" customFormat="1" ht="12" customHeight="1" x14ac:dyDescent="0.2">
      <c r="A5" s="1850" t="s">
        <v>15</v>
      </c>
      <c r="B5" s="1850" t="s">
        <v>367</v>
      </c>
      <c r="C5" s="1850" t="s">
        <v>368</v>
      </c>
      <c r="D5" s="1850" t="s">
        <v>369</v>
      </c>
      <c r="E5" s="1850" t="s">
        <v>3347</v>
      </c>
      <c r="F5" s="1854" t="s">
        <v>237</v>
      </c>
      <c r="G5" s="1854" t="s">
        <v>233</v>
      </c>
      <c r="H5" s="1850" t="s">
        <v>569</v>
      </c>
    </row>
    <row r="6" spans="1:8" s="62" customFormat="1" ht="22.5" customHeight="1" x14ac:dyDescent="0.2">
      <c r="A6" s="1850"/>
      <c r="B6" s="1850"/>
      <c r="C6" s="1850"/>
      <c r="D6" s="1850"/>
      <c r="E6" s="1850"/>
      <c r="F6" s="1873" t="s">
        <v>370</v>
      </c>
      <c r="G6" s="1873"/>
      <c r="H6" s="1850"/>
    </row>
  </sheetData>
  <mergeCells count="8">
    <mergeCell ref="H5:H6"/>
    <mergeCell ref="E5:E6"/>
    <mergeCell ref="A5:A6"/>
    <mergeCell ref="B5:B6"/>
    <mergeCell ref="C5:C6"/>
    <mergeCell ref="D5:D6"/>
    <mergeCell ref="G5:G6"/>
    <mergeCell ref="F5:F6"/>
  </mergeCells>
  <phoneticPr fontId="2" type="noConversion"/>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LuongCNLM_Tong"/>
  <dimension ref="A1:M6"/>
  <sheetViews>
    <sheetView showGridLines="0" workbookViewId="0">
      <selection activeCell="E11" sqref="E11"/>
    </sheetView>
  </sheetViews>
  <sheetFormatPr defaultRowHeight="15" x14ac:dyDescent="0.25"/>
  <cols>
    <col min="1" max="1" width="4.42578125" style="60" customWidth="1"/>
    <col min="2" max="2" width="13.85546875" style="60" hidden="1" customWidth="1"/>
    <col min="3" max="3" width="38.42578125" style="60" customWidth="1"/>
    <col min="4" max="4" width="8.140625" style="155" customWidth="1"/>
    <col min="5" max="5" width="10" style="60" bestFit="1" customWidth="1"/>
    <col min="6" max="6" width="13.85546875" style="126" bestFit="1" customWidth="1"/>
    <col min="7" max="7" width="9.85546875" style="126" customWidth="1"/>
    <col min="8" max="8" width="8.85546875" style="126" customWidth="1"/>
    <col min="9" max="9" width="10.7109375" style="126" customWidth="1"/>
    <col min="10" max="10" width="9.85546875" style="126" bestFit="1" customWidth="1"/>
    <col min="11" max="11" width="13.140625" style="126" customWidth="1"/>
    <col min="12" max="12" width="14" style="126" customWidth="1"/>
    <col min="13" max="13" width="13.85546875" style="126" customWidth="1"/>
    <col min="14" max="16384" width="9.140625" style="61"/>
  </cols>
  <sheetData>
    <row r="1" spans="1:13" s="578" customFormat="1" ht="20.25" x14ac:dyDescent="0.2">
      <c r="A1" s="783" t="s">
        <v>1451</v>
      </c>
      <c r="B1" s="783"/>
      <c r="C1" s="783"/>
      <c r="D1" s="783"/>
      <c r="E1" s="783"/>
      <c r="F1" s="783"/>
      <c r="G1" s="783"/>
      <c r="H1" s="577"/>
      <c r="K1" s="577"/>
      <c r="L1" s="577"/>
      <c r="M1" s="577"/>
    </row>
    <row r="2" spans="1:13" s="578" customFormat="1" ht="15.75" hidden="1" x14ac:dyDescent="0.2">
      <c r="A2" s="344"/>
      <c r="B2" s="345"/>
      <c r="C2" s="345"/>
      <c r="D2" s="344"/>
      <c r="E2" s="344"/>
      <c r="F2" s="344"/>
      <c r="G2" s="344"/>
      <c r="H2" s="579"/>
      <c r="I2" s="579"/>
      <c r="J2" s="579"/>
    </row>
    <row r="3" spans="1:13" s="578" customFormat="1" x14ac:dyDescent="0.2">
      <c r="A3" s="342" t="str">
        <f>"CÔNG TRÌNH : "&amp;'Bia du toan'!$G$12</f>
        <v>CÔNG TRÌNH : TRƯỜNG CAO ĐẲNG LÝ TỰ TRỌNG</v>
      </c>
      <c r="B3" s="341"/>
      <c r="C3" s="340"/>
      <c r="D3" s="340"/>
      <c r="E3" s="340"/>
      <c r="F3" s="340"/>
      <c r="G3" s="345"/>
    </row>
    <row r="4" spans="1:13" s="578" customFormat="1" x14ac:dyDescent="0.2">
      <c r="A4" s="342" t="str">
        <f>"HẠNG MỤC : "&amp; 'Bia du toan'!$G$13</f>
        <v>HẠNG MỤC : CẢI TẠO THƯ VIỆN GIAI ĐOẠN 2 - NĂM 2019</v>
      </c>
      <c r="B4" s="341"/>
      <c r="C4" s="340"/>
      <c r="D4" s="340"/>
      <c r="E4" s="340"/>
      <c r="F4" s="340"/>
      <c r="G4" s="345"/>
    </row>
    <row r="5" spans="1:13" s="578" customFormat="1" x14ac:dyDescent="0.2">
      <c r="A5" s="342"/>
      <c r="B5" s="341"/>
      <c r="C5" s="340"/>
      <c r="D5" s="340"/>
      <c r="E5" s="340"/>
      <c r="F5" s="340"/>
      <c r="G5" s="345"/>
    </row>
    <row r="6" spans="1:13" s="336" customFormat="1" ht="18" customHeight="1" x14ac:dyDescent="0.2">
      <c r="A6" s="337" t="s">
        <v>15</v>
      </c>
      <c r="B6" s="337" t="s">
        <v>335</v>
      </c>
      <c r="C6" s="337" t="s">
        <v>353</v>
      </c>
      <c r="D6" s="337" t="s">
        <v>1450</v>
      </c>
      <c r="E6" s="337" t="s">
        <v>354</v>
      </c>
      <c r="F6" s="580" t="s">
        <v>720</v>
      </c>
      <c r="G6" s="337" t="s">
        <v>1452</v>
      </c>
      <c r="H6" s="581"/>
      <c r="I6" s="581"/>
      <c r="J6" s="581"/>
      <c r="K6" s="581"/>
      <c r="L6" s="581"/>
      <c r="M6" s="581"/>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LCNLM1"/>
  <dimension ref="A1:N7"/>
  <sheetViews>
    <sheetView workbookViewId="0">
      <selection activeCell="D15" sqref="D15"/>
    </sheetView>
  </sheetViews>
  <sheetFormatPr defaultRowHeight="15" outlineLevelCol="1" x14ac:dyDescent="0.25"/>
  <cols>
    <col min="1" max="1" width="4.42578125" style="60" customWidth="1"/>
    <col min="2" max="2" width="18.85546875" style="60" hidden="1" customWidth="1" outlineLevel="1"/>
    <col min="3" max="3" width="35.7109375" style="60" customWidth="1" collapsed="1"/>
    <col min="4" max="4" width="12" style="155" customWidth="1"/>
    <col min="5" max="5" width="15.85546875" style="60" customWidth="1"/>
    <col min="6" max="6" width="14.85546875" style="126" customWidth="1"/>
    <col min="7" max="7" width="13.85546875" style="126" customWidth="1"/>
    <col min="8" max="16384" width="9.140625" style="61"/>
  </cols>
  <sheetData>
    <row r="1" spans="1:14" s="59" customFormat="1" ht="20.25" x14ac:dyDescent="0.2">
      <c r="A1" s="102" t="s">
        <v>1437</v>
      </c>
      <c r="B1" s="102"/>
      <c r="C1" s="102"/>
      <c r="D1" s="102"/>
      <c r="E1" s="102"/>
      <c r="F1" s="102"/>
      <c r="G1" s="102"/>
    </row>
    <row r="2" spans="1:14" s="59" customFormat="1" ht="15.75" x14ac:dyDescent="0.2">
      <c r="A2" s="344" t="s">
        <v>3404</v>
      </c>
      <c r="B2" s="345"/>
      <c r="C2" s="345"/>
      <c r="D2" s="344"/>
      <c r="E2" s="344"/>
      <c r="F2" s="344"/>
      <c r="G2" s="344"/>
      <c r="N2" s="343"/>
    </row>
    <row r="3" spans="1:14" s="59" customFormat="1" x14ac:dyDescent="0.2">
      <c r="A3" s="342" t="str">
        <f>"CÔNG TRÌNH : "&amp;'Bia du toan'!$G$12</f>
        <v>CÔNG TRÌNH : TRƯỜNG CAO ĐẲNG LÝ TỰ TRỌNG</v>
      </c>
      <c r="B3" s="341"/>
      <c r="C3" s="340"/>
      <c r="D3" s="340"/>
      <c r="E3" s="340"/>
      <c r="F3" s="340"/>
      <c r="G3" s="340"/>
      <c r="N3" s="343"/>
    </row>
    <row r="4" spans="1:14" s="59" customFormat="1" x14ac:dyDescent="0.2">
      <c r="A4" s="342" t="str">
        <f>"HẠNG MỤC : "&amp; 'Bia du toan'!$G$13</f>
        <v>HẠNG MỤC : CẢI TẠO THƯ VIỆN GIAI ĐOẠN 2 - NĂM 2019</v>
      </c>
      <c r="B4" s="341"/>
      <c r="C4" s="340"/>
      <c r="D4" s="340"/>
      <c r="E4" s="340"/>
      <c r="F4" s="340"/>
      <c r="G4" s="340"/>
    </row>
    <row r="5" spans="1:14" s="59" customFormat="1" x14ac:dyDescent="0.2">
      <c r="A5" s="339"/>
      <c r="B5" s="339"/>
      <c r="C5" s="338"/>
      <c r="D5" s="338"/>
      <c r="E5" s="338"/>
      <c r="F5" s="338"/>
      <c r="G5" s="338"/>
    </row>
    <row r="6" spans="1:14" s="59" customFormat="1" hidden="1" x14ac:dyDescent="0.2">
      <c r="A6" s="339"/>
      <c r="B6" s="339"/>
      <c r="C6" s="338"/>
      <c r="D6" s="338"/>
      <c r="E6" s="338"/>
      <c r="F6" s="338"/>
      <c r="G6" s="338"/>
    </row>
    <row r="7" spans="1:14" s="336" customFormat="1" ht="18" customHeight="1" x14ac:dyDescent="0.2">
      <c r="A7" s="337" t="s">
        <v>15</v>
      </c>
      <c r="B7" s="337" t="s">
        <v>335</v>
      </c>
      <c r="C7" s="337" t="s">
        <v>353</v>
      </c>
      <c r="D7" s="337" t="s">
        <v>567</v>
      </c>
      <c r="E7" s="337" t="s">
        <v>354</v>
      </c>
      <c r="F7" s="337" t="s">
        <v>721</v>
      </c>
      <c r="G7" s="337" t="s">
        <v>720</v>
      </c>
    </row>
  </sheetData>
  <sheetProtection formatCells="0" formatColumns="0" formatRows="0" insertColumns="0" insertRows="0" insertHyperlinks="0" deleteColumns="0" deleteRows="0" sort="0" autoFilter="0" pivotTables="0"/>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LCNLM2"/>
  <dimension ref="A1:Q7"/>
  <sheetViews>
    <sheetView showGridLines="0" workbookViewId="0">
      <selection activeCell="F11" sqref="F11"/>
    </sheetView>
  </sheetViews>
  <sheetFormatPr defaultRowHeight="15" outlineLevelCol="1" x14ac:dyDescent="0.25"/>
  <cols>
    <col min="1" max="1" width="4.42578125" style="60" customWidth="1"/>
    <col min="2" max="2" width="16.140625" style="60" hidden="1" customWidth="1" outlineLevel="1"/>
    <col min="3" max="3" width="29.42578125" style="60" customWidth="1" collapsed="1"/>
    <col min="4" max="4" width="5.7109375" style="155" customWidth="1"/>
    <col min="5" max="5" width="5.5703125" style="60" bestFit="1" customWidth="1"/>
    <col min="6" max="6" width="8.28515625" style="573" customWidth="1"/>
    <col min="7" max="7" width="6.7109375" style="572" bestFit="1" customWidth="1"/>
    <col min="8" max="8" width="7.140625" style="572" bestFit="1" customWidth="1"/>
    <col min="9" max="9" width="8" style="572" bestFit="1" customWidth="1"/>
    <col min="10" max="10" width="10.7109375" style="572" bestFit="1" customWidth="1"/>
    <col min="11" max="12" width="7.140625" style="572" bestFit="1" customWidth="1"/>
    <col min="13" max="13" width="8.7109375" style="572" bestFit="1" customWidth="1"/>
    <col min="14" max="14" width="11.42578125" style="572" customWidth="1"/>
    <col min="15" max="15" width="8.42578125" style="570" customWidth="1"/>
    <col min="16" max="16" width="10.7109375" style="570" bestFit="1" customWidth="1"/>
    <col min="17" max="17" width="9.85546875" style="570" bestFit="1" customWidth="1"/>
    <col min="18" max="16384" width="9.140625" style="61"/>
  </cols>
  <sheetData>
    <row r="1" spans="1:17" s="59" customFormat="1" ht="20.25" x14ac:dyDescent="0.2">
      <c r="A1" s="102" t="s">
        <v>1437</v>
      </c>
      <c r="B1" s="102"/>
      <c r="C1" s="102"/>
      <c r="D1" s="102"/>
      <c r="E1" s="102"/>
      <c r="F1" s="566"/>
      <c r="G1" s="116"/>
      <c r="H1" s="116"/>
      <c r="I1" s="116"/>
      <c r="J1" s="116"/>
      <c r="K1" s="116"/>
      <c r="L1" s="116"/>
      <c r="M1" s="116"/>
      <c r="N1" s="116"/>
      <c r="O1" s="569"/>
      <c r="P1" s="569"/>
      <c r="Q1" s="569"/>
    </row>
    <row r="2" spans="1:17" s="59" customFormat="1" ht="15.75" x14ac:dyDescent="0.2">
      <c r="A2" s="344" t="s">
        <v>1434</v>
      </c>
      <c r="B2" s="345"/>
      <c r="C2" s="345"/>
      <c r="D2" s="344"/>
      <c r="E2" s="344"/>
      <c r="F2" s="567"/>
      <c r="G2" s="116"/>
      <c r="H2" s="116"/>
      <c r="I2" s="116"/>
      <c r="J2" s="116"/>
      <c r="K2" s="116"/>
      <c r="L2" s="116"/>
      <c r="M2" s="116"/>
      <c r="N2" s="565"/>
      <c r="O2" s="569"/>
      <c r="P2" s="569"/>
      <c r="Q2" s="569"/>
    </row>
    <row r="3" spans="1:17" s="59" customFormat="1" x14ac:dyDescent="0.2">
      <c r="A3" s="342" t="str">
        <f>"CÔNG TRÌNH : "&amp;'Bia du toan'!$G$12</f>
        <v>CÔNG TRÌNH : TRƯỜNG CAO ĐẲNG LÝ TỰ TRỌNG</v>
      </c>
      <c r="B3" s="341"/>
      <c r="C3" s="340"/>
      <c r="D3" s="340"/>
      <c r="E3" s="340"/>
      <c r="F3" s="568"/>
      <c r="G3" s="116"/>
      <c r="H3" s="116"/>
      <c r="I3" s="116"/>
      <c r="J3" s="116"/>
      <c r="K3" s="116"/>
      <c r="L3" s="116"/>
      <c r="M3" s="116"/>
      <c r="N3" s="565"/>
      <c r="O3" s="569"/>
      <c r="P3" s="569"/>
      <c r="Q3" s="569"/>
    </row>
    <row r="4" spans="1:17" s="59" customFormat="1" x14ac:dyDescent="0.2">
      <c r="A4" s="342" t="str">
        <f>"HẠNG MỤC : "&amp; 'Bia du toan'!$G$13</f>
        <v>HẠNG MỤC : CẢI TẠO THƯ VIỆN GIAI ĐOẠN 2 - NĂM 2019</v>
      </c>
      <c r="B4" s="341"/>
      <c r="C4" s="340"/>
      <c r="D4" s="340"/>
      <c r="E4" s="340"/>
      <c r="F4" s="568"/>
      <c r="G4" s="116"/>
      <c r="H4" s="116"/>
      <c r="I4" s="116"/>
      <c r="J4" s="116"/>
      <c r="K4" s="116"/>
      <c r="L4" s="116"/>
      <c r="M4" s="116"/>
      <c r="N4" s="116"/>
      <c r="O4" s="569"/>
      <c r="P4" s="569"/>
      <c r="Q4" s="569"/>
    </row>
    <row r="5" spans="1:17" s="59" customFormat="1" x14ac:dyDescent="0.2">
      <c r="A5" s="341"/>
      <c r="B5" s="341"/>
      <c r="C5" s="340"/>
      <c r="D5" s="340"/>
      <c r="E5" s="340"/>
      <c r="F5" s="568"/>
      <c r="G5" s="116"/>
      <c r="H5" s="116"/>
      <c r="I5" s="116"/>
      <c r="J5" s="116"/>
      <c r="K5" s="116"/>
      <c r="L5" s="116"/>
      <c r="M5" s="116"/>
      <c r="N5" s="116"/>
      <c r="O5" s="569"/>
      <c r="P5" s="569"/>
      <c r="Q5" s="569"/>
    </row>
    <row r="6" spans="1:17" s="563" customFormat="1" ht="26.25" customHeight="1" x14ac:dyDescent="0.2">
      <c r="A6" s="1865" t="s">
        <v>15</v>
      </c>
      <c r="B6" s="1865" t="s">
        <v>335</v>
      </c>
      <c r="C6" s="1865" t="s">
        <v>353</v>
      </c>
      <c r="D6" s="1865" t="s">
        <v>567</v>
      </c>
      <c r="E6" s="1865" t="s">
        <v>354</v>
      </c>
      <c r="F6" s="1869" t="s">
        <v>1416</v>
      </c>
      <c r="G6" s="1866" t="s">
        <v>1429</v>
      </c>
      <c r="H6" s="1867"/>
      <c r="I6" s="1867"/>
      <c r="J6" s="1867"/>
      <c r="K6" s="1867"/>
      <c r="L6" s="1867"/>
      <c r="M6" s="1868"/>
      <c r="N6" s="1871" t="s">
        <v>1430</v>
      </c>
      <c r="O6" s="1863" t="s">
        <v>1431</v>
      </c>
      <c r="P6" s="1863" t="s">
        <v>1432</v>
      </c>
      <c r="Q6" s="1863" t="s">
        <v>1433</v>
      </c>
    </row>
    <row r="7" spans="1:17" s="564" customFormat="1" ht="24" customHeight="1" x14ac:dyDescent="0.2">
      <c r="A7" s="1865"/>
      <c r="B7" s="1865"/>
      <c r="C7" s="1865"/>
      <c r="D7" s="1865"/>
      <c r="E7" s="1865"/>
      <c r="F7" s="1870"/>
      <c r="G7" s="571" t="s">
        <v>362</v>
      </c>
      <c r="H7" s="571" t="s">
        <v>1427</v>
      </c>
      <c r="I7" s="571" t="s">
        <v>359</v>
      </c>
      <c r="J7" s="571" t="s">
        <v>361</v>
      </c>
      <c r="K7" s="571" t="s">
        <v>363</v>
      </c>
      <c r="L7" s="571" t="s">
        <v>1428</v>
      </c>
      <c r="M7" s="571" t="s">
        <v>364</v>
      </c>
      <c r="N7" s="1872"/>
      <c r="O7" s="1864"/>
      <c r="P7" s="1864"/>
      <c r="Q7" s="1864"/>
    </row>
  </sheetData>
  <mergeCells count="11">
    <mergeCell ref="G6:M6"/>
    <mergeCell ref="Q6:Q7"/>
    <mergeCell ref="N6:N7"/>
    <mergeCell ref="O6:O7"/>
    <mergeCell ref="P6:P7"/>
    <mergeCell ref="F6:F7"/>
    <mergeCell ref="A6:A7"/>
    <mergeCell ref="B6:B7"/>
    <mergeCell ref="C6:C7"/>
    <mergeCell ref="D6:D7"/>
    <mergeCell ref="E6:E7"/>
  </mergeCells>
  <pageMargins left="0.41" right="0.196850393700787" top="0.43307086614173201" bottom="0.59055118110236204" header="0.15748031496063" footer="0.23622047244094499"/>
  <pageSetup paperSize="9" scale="95" orientation="landscape" r:id="rId1"/>
  <headerFooter alignWithMargins="0">
    <oddHeader>&amp;L&amp;"Times New Roman,Bold Italic"&amp;9Dự toán Bắc Nam  - ÐT: 0966.966.455</oddHeader>
    <oddFooter>&amp;R&amp;9Trang &amp;P/&amp;N</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LCNLM"/>
  <dimension ref="A1:P7"/>
  <sheetViews>
    <sheetView workbookViewId="0">
      <selection activeCell="F15" sqref="F15"/>
    </sheetView>
  </sheetViews>
  <sheetFormatPr defaultRowHeight="15" x14ac:dyDescent="0.25"/>
  <cols>
    <col min="1" max="1" width="4.42578125" style="60" customWidth="1"/>
    <col min="2" max="2" width="9.85546875" style="60" hidden="1" customWidth="1"/>
    <col min="3" max="3" width="35.7109375" style="60" customWidth="1"/>
    <col min="4" max="4" width="6.7109375" style="155" customWidth="1"/>
    <col min="5" max="5" width="8.5703125" style="60" customWidth="1"/>
    <col min="6" max="6" width="8.7109375" style="126" bestFit="1" customWidth="1"/>
    <col min="7" max="7" width="8" style="126" bestFit="1" customWidth="1"/>
    <col min="8" max="10" width="9.85546875" style="126" hidden="1" customWidth="1"/>
    <col min="11" max="11" width="8.85546875" style="126" hidden="1" customWidth="1"/>
    <col min="12" max="12" width="8.7109375" style="126" bestFit="1" customWidth="1"/>
    <col min="13" max="13" width="9.85546875" style="126" bestFit="1" customWidth="1"/>
    <col min="14" max="14" width="12.140625" style="126" bestFit="1" customWidth="1"/>
    <col min="15" max="16" width="10" style="126" bestFit="1" customWidth="1"/>
    <col min="17" max="16384" width="9.140625" style="61"/>
  </cols>
  <sheetData>
    <row r="1" spans="1:16" s="59" customFormat="1" ht="20.25" x14ac:dyDescent="0.2">
      <c r="A1" s="102" t="s">
        <v>373</v>
      </c>
      <c r="B1" s="102"/>
      <c r="C1" s="102"/>
      <c r="D1" s="102"/>
      <c r="E1" s="102"/>
      <c r="F1" s="102"/>
      <c r="G1" s="102"/>
      <c r="H1" s="102"/>
      <c r="I1" s="102"/>
      <c r="J1" s="102"/>
      <c r="K1" s="102"/>
      <c r="L1" s="116"/>
      <c r="M1" s="116"/>
      <c r="N1" s="102"/>
      <c r="O1" s="102"/>
      <c r="P1" s="102"/>
    </row>
    <row r="2" spans="1:16" s="59" customFormat="1" ht="15.75" x14ac:dyDescent="0.2">
      <c r="A2" s="344" t="s">
        <v>3348</v>
      </c>
      <c r="B2" s="116"/>
      <c r="C2" s="116"/>
      <c r="D2" s="344"/>
      <c r="E2" s="344"/>
      <c r="F2" s="344"/>
      <c r="G2" s="344"/>
      <c r="H2" s="344"/>
      <c r="I2" s="344"/>
      <c r="J2" s="344"/>
      <c r="K2" s="344"/>
      <c r="L2" s="344"/>
      <c r="M2" s="344"/>
      <c r="N2" s="116"/>
      <c r="O2" s="116"/>
      <c r="P2" s="116"/>
    </row>
    <row r="3" spans="1:16" s="59" customFormat="1" x14ac:dyDescent="0.2">
      <c r="A3" s="342" t="str">
        <f>"CÔNG TRÌNH : "&amp;'Bia du toan'!$G$12</f>
        <v>CÔNG TRÌNH : TRƯỜNG CAO ĐẲNG LÝ TỰ TRỌNG</v>
      </c>
      <c r="B3" s="341"/>
      <c r="C3" s="340"/>
      <c r="D3" s="340"/>
      <c r="E3" s="340"/>
      <c r="F3" s="340"/>
      <c r="G3" s="340"/>
      <c r="H3" s="116"/>
      <c r="I3" s="116"/>
      <c r="J3" s="116"/>
      <c r="K3" s="116"/>
      <c r="L3" s="116"/>
      <c r="M3" s="116"/>
      <c r="N3" s="116"/>
      <c r="O3" s="116"/>
      <c r="P3" s="116"/>
    </row>
    <row r="4" spans="1:16" s="59" customFormat="1" x14ac:dyDescent="0.2">
      <c r="A4" s="342" t="str">
        <f>"HẠNG MỤC : "&amp; 'Bia du toan'!$G$13</f>
        <v>HẠNG MỤC : CẢI TẠO THƯ VIỆN GIAI ĐOẠN 2 - NĂM 2019</v>
      </c>
      <c r="B4" s="341"/>
      <c r="C4" s="340"/>
      <c r="D4" s="340"/>
      <c r="E4" s="340"/>
      <c r="F4" s="340"/>
      <c r="G4" s="340"/>
      <c r="H4" s="116"/>
      <c r="I4" s="116"/>
      <c r="J4" s="116"/>
      <c r="K4" s="116"/>
      <c r="L4" s="116"/>
      <c r="M4" s="116"/>
      <c r="N4" s="116"/>
      <c r="O4" s="116"/>
      <c r="P4" s="116"/>
    </row>
    <row r="5" spans="1:16" s="59" customFormat="1" x14ac:dyDescent="0.2">
      <c r="A5" s="342"/>
      <c r="B5" s="341"/>
      <c r="C5" s="340"/>
      <c r="D5" s="340"/>
      <c r="E5" s="340"/>
      <c r="F5" s="340"/>
      <c r="G5" s="340"/>
      <c r="H5" s="116"/>
      <c r="I5" s="116"/>
      <c r="J5" s="116"/>
      <c r="K5" s="116"/>
      <c r="L5" s="116"/>
      <c r="M5" s="116"/>
      <c r="N5" s="116"/>
      <c r="O5" s="116"/>
      <c r="P5" s="116"/>
    </row>
    <row r="6" spans="1:16" s="59" customFormat="1" ht="18" customHeight="1" x14ac:dyDescent="0.2">
      <c r="A6" s="1862" t="s">
        <v>15</v>
      </c>
      <c r="B6" s="1862" t="s">
        <v>335</v>
      </c>
      <c r="C6" s="1862" t="s">
        <v>353</v>
      </c>
      <c r="D6" s="1862" t="s">
        <v>567</v>
      </c>
      <c r="E6" s="1862" t="s">
        <v>487</v>
      </c>
      <c r="F6" s="1862" t="s">
        <v>355</v>
      </c>
      <c r="G6" s="173" t="s">
        <v>356</v>
      </c>
      <c r="H6" s="173"/>
      <c r="I6" s="173"/>
      <c r="J6" s="173"/>
      <c r="K6" s="173"/>
      <c r="L6" s="173"/>
      <c r="M6" s="173"/>
      <c r="N6" s="173"/>
      <c r="O6" s="1862" t="s">
        <v>357</v>
      </c>
      <c r="P6" s="1862" t="s">
        <v>358</v>
      </c>
    </row>
    <row r="7" spans="1:16" s="59" customFormat="1" ht="29.25" customHeight="1" x14ac:dyDescent="0.2">
      <c r="A7" s="1862"/>
      <c r="B7" s="1862"/>
      <c r="C7" s="1862"/>
      <c r="D7" s="1862"/>
      <c r="E7" s="1862"/>
      <c r="F7" s="1862"/>
      <c r="G7" s="575" t="s">
        <v>359</v>
      </c>
      <c r="H7" s="575" t="s">
        <v>360</v>
      </c>
      <c r="I7" s="575" t="s">
        <v>361</v>
      </c>
      <c r="J7" s="575" t="s">
        <v>362</v>
      </c>
      <c r="K7" s="575" t="s">
        <v>363</v>
      </c>
      <c r="L7" s="575" t="s">
        <v>364</v>
      </c>
      <c r="M7" s="575" t="s">
        <v>365</v>
      </c>
      <c r="N7" s="575" t="s">
        <v>366</v>
      </c>
      <c r="O7" s="1862"/>
      <c r="P7" s="1862"/>
    </row>
  </sheetData>
  <sheetProtection formatCells="0" formatColumns="0" formatRows="0" insertColumns="0" insertRows="0" insertHyperlinks="0" deleteColumns="0" deleteRows="0" sort="0" autoFilter="0" pivotTables="0"/>
  <mergeCells count="8">
    <mergeCell ref="O6:O7"/>
    <mergeCell ref="P6:P7"/>
    <mergeCell ref="A6:A7"/>
    <mergeCell ref="B6:B7"/>
    <mergeCell ref="C6:C7"/>
    <mergeCell ref="D6:D7"/>
    <mergeCell ref="E6:E7"/>
    <mergeCell ref="F6:F7"/>
  </mergeCells>
  <phoneticPr fontId="2" type="noConversion"/>
  <pageMargins left="0.55118110236220497" right="0.196850393700787" top="0.43307086614173201" bottom="0.59055118110236204" header="0.15748031496063" footer="0.23622047244094499"/>
  <pageSetup paperSize="9" orientation="landscape" r:id="rId1"/>
  <headerFooter alignWithMargins="0">
    <oddHeader>&amp;L&amp;"Times New Roman,Bold Italic"&amp;9Dự toán Bắc Nam  - ÐT: 0966.966.455</oddHeader>
    <oddFooter>&amp;R&amp;9Trang &amp;P/&amp;N</odd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CTDGM"/>
  <dimension ref="A1:AD6"/>
  <sheetViews>
    <sheetView workbookViewId="0">
      <selection activeCell="E14" sqref="E14"/>
    </sheetView>
  </sheetViews>
  <sheetFormatPr defaultRowHeight="15" outlineLevelCol="1" x14ac:dyDescent="0.25"/>
  <cols>
    <col min="1" max="1" width="3.7109375" style="2" bestFit="1" customWidth="1"/>
    <col min="2" max="2" width="0" style="2" hidden="1" customWidth="1"/>
    <col min="3" max="3" width="9.42578125" style="2" hidden="1" customWidth="1"/>
    <col min="4" max="4" width="45" style="103" customWidth="1"/>
    <col min="5" max="5" width="6.7109375" style="140" customWidth="1"/>
    <col min="6" max="6" width="5.5703125" style="145" bestFit="1" customWidth="1"/>
    <col min="7" max="7" width="6" style="145" bestFit="1" customWidth="1"/>
    <col min="8" max="8" width="11.42578125" style="118" customWidth="1"/>
    <col min="9" max="9" width="10.5703125" style="118" bestFit="1" customWidth="1"/>
    <col min="10" max="10" width="0" style="2" hidden="1" customWidth="1"/>
    <col min="11" max="11" width="10.140625" style="2" hidden="1" customWidth="1" outlineLevel="1"/>
    <col min="12" max="12" width="11.140625" style="2" hidden="1" customWidth="1" outlineLevel="1"/>
    <col min="13" max="13" width="10" style="2" hidden="1" customWidth="1" outlineLevel="1"/>
    <col min="14" max="14" width="10.140625" style="2" hidden="1" customWidth="1" outlineLevel="1"/>
    <col min="15" max="15" width="13" style="2" hidden="1" customWidth="1" outlineLevel="1"/>
    <col min="16" max="16" width="9.140625" style="2" hidden="1" customWidth="1" outlineLevel="1"/>
    <col min="17" max="17" width="10.42578125" style="2" hidden="1" customWidth="1" outlineLevel="1"/>
    <col min="18" max="18" width="10.5703125" style="2" hidden="1" customWidth="1" outlineLevel="1"/>
    <col min="19" max="19" width="12.7109375" style="2" hidden="1" customWidth="1" outlineLevel="1"/>
    <col min="20" max="20" width="12.140625" style="2" hidden="1" customWidth="1" outlineLevel="1"/>
    <col min="21" max="21" width="12" style="2" hidden="1" customWidth="1" outlineLevel="1"/>
    <col min="22" max="24" width="9.140625" style="2" hidden="1" customWidth="1" outlineLevel="1"/>
    <col min="25" max="25" width="11.42578125" style="2" hidden="1" customWidth="1" outlineLevel="1"/>
    <col min="26" max="26" width="10.140625" style="2" hidden="1" customWidth="1" outlineLevel="1"/>
    <col min="27" max="28" width="9.140625" style="2" hidden="1" customWidth="1" outlineLevel="1"/>
    <col min="29" max="29" width="0" style="2" hidden="1" customWidth="1" outlineLevel="1"/>
    <col min="30" max="30" width="14.7109375" style="2" hidden="1" customWidth="1" collapsed="1"/>
    <col min="31" max="16384" width="9.140625" style="2"/>
  </cols>
  <sheetData>
    <row r="1" spans="1:30" ht="20.25" x14ac:dyDescent="0.25">
      <c r="A1" s="63" t="s">
        <v>376</v>
      </c>
      <c r="B1" s="40"/>
      <c r="C1" s="40"/>
      <c r="D1" s="40"/>
      <c r="E1" s="40"/>
      <c r="F1" s="40"/>
      <c r="G1" s="40"/>
      <c r="H1" s="40"/>
      <c r="I1" s="40"/>
    </row>
    <row r="2" spans="1:30" s="101" customFormat="1" ht="14.25" x14ac:dyDescent="0.2">
      <c r="A2" s="105" t="str">
        <f>"CÔNG TRÌNH : "&amp;'Bia du toan'!$G$12</f>
        <v>CÔNG TRÌNH : TRƯỜNG CAO ĐẲNG LÝ TỰ TRỌNG</v>
      </c>
      <c r="B2" s="105"/>
      <c r="C2" s="105"/>
      <c r="D2" s="105"/>
      <c r="E2" s="105"/>
      <c r="F2" s="105"/>
      <c r="G2" s="105"/>
      <c r="H2" s="105"/>
      <c r="I2" s="105"/>
    </row>
    <row r="3" spans="1:30" s="101" customFormat="1" ht="14.25" x14ac:dyDescent="0.2">
      <c r="A3" s="105" t="str">
        <f>"HẠNG MỤC : "&amp; 'Bia du toan'!$G$13</f>
        <v>HẠNG MỤC : CẢI TẠO THƯ VIỆN GIAI ĐOẠN 2 - NĂM 2019</v>
      </c>
      <c r="B3" s="105"/>
      <c r="C3" s="105"/>
      <c r="D3" s="105"/>
      <c r="E3" s="105"/>
      <c r="F3" s="105"/>
      <c r="G3" s="105"/>
      <c r="H3" s="105"/>
      <c r="I3" s="105"/>
    </row>
    <row r="4" spans="1:30" x14ac:dyDescent="0.25">
      <c r="A4" s="40"/>
      <c r="B4" s="40"/>
      <c r="C4" s="40"/>
      <c r="D4" s="40"/>
      <c r="E4" s="40"/>
      <c r="F4" s="40"/>
      <c r="G4" s="40"/>
      <c r="H4" s="40"/>
      <c r="I4" s="40"/>
    </row>
    <row r="5" spans="1:30" s="62" customFormat="1" ht="31.5" x14ac:dyDescent="0.2">
      <c r="A5" s="1850" t="s">
        <v>15</v>
      </c>
      <c r="B5" s="1850" t="s">
        <v>488</v>
      </c>
      <c r="C5" s="1850" t="s">
        <v>489</v>
      </c>
      <c r="D5" s="1850" t="s">
        <v>369</v>
      </c>
      <c r="E5" s="1850" t="s">
        <v>236</v>
      </c>
      <c r="F5" s="1850" t="s">
        <v>3349</v>
      </c>
      <c r="G5" s="1850" t="s">
        <v>241</v>
      </c>
      <c r="H5" s="1850" t="s">
        <v>238</v>
      </c>
      <c r="I5" s="1785" t="s">
        <v>239</v>
      </c>
      <c r="J5" s="1785" t="s">
        <v>1397</v>
      </c>
      <c r="K5" s="1851" t="s">
        <v>1398</v>
      </c>
      <c r="L5" s="1817" t="s">
        <v>1399</v>
      </c>
      <c r="M5" s="1817" t="s">
        <v>1400</v>
      </c>
      <c r="N5" s="1817"/>
      <c r="O5" s="1817"/>
      <c r="P5" s="1851" t="s">
        <v>1401</v>
      </c>
      <c r="Q5" s="1851"/>
      <c r="R5" s="1851" t="s">
        <v>1402</v>
      </c>
      <c r="S5" s="1851" t="s">
        <v>1403</v>
      </c>
      <c r="T5" s="1852" t="s">
        <v>1404</v>
      </c>
      <c r="U5" s="1852" t="s">
        <v>1405</v>
      </c>
      <c r="V5" s="1825" t="s">
        <v>1409</v>
      </c>
      <c r="W5" s="1825" t="s">
        <v>1410</v>
      </c>
      <c r="X5" s="1825" t="s">
        <v>1411</v>
      </c>
      <c r="Y5" s="1825" t="s">
        <v>1412</v>
      </c>
      <c r="Z5" s="1825" t="s">
        <v>1413</v>
      </c>
      <c r="AA5" s="1825" t="s">
        <v>1406</v>
      </c>
      <c r="AB5" s="1825" t="s">
        <v>1455</v>
      </c>
      <c r="AC5" s="1785" t="s">
        <v>3303</v>
      </c>
      <c r="AD5" s="862" t="s">
        <v>3403</v>
      </c>
    </row>
    <row r="6" spans="1:30" s="62" customFormat="1" ht="12.75" x14ac:dyDescent="0.2">
      <c r="A6" s="1850"/>
      <c r="B6" s="1850"/>
      <c r="C6" s="1850"/>
      <c r="D6" s="1850"/>
      <c r="E6" s="1850"/>
      <c r="F6" s="1850" t="s">
        <v>263</v>
      </c>
      <c r="G6" s="1850" t="s">
        <v>375</v>
      </c>
      <c r="H6" s="1850"/>
      <c r="I6" s="1874"/>
      <c r="J6" s="1785"/>
      <c r="K6" s="1851"/>
      <c r="L6" s="1817"/>
      <c r="M6" s="561" t="s">
        <v>1407</v>
      </c>
      <c r="N6" s="561" t="s">
        <v>1408</v>
      </c>
      <c r="O6" s="562" t="s">
        <v>675</v>
      </c>
      <c r="P6" s="1851"/>
      <c r="Q6" s="1851"/>
      <c r="R6" s="1851"/>
      <c r="S6" s="1851"/>
      <c r="T6" s="1852"/>
      <c r="U6" s="1852"/>
      <c r="V6" s="1853"/>
      <c r="W6" s="1853"/>
      <c r="X6" s="1853"/>
      <c r="Y6" s="1853"/>
      <c r="Z6" s="1853"/>
      <c r="AA6" s="1853"/>
      <c r="AB6" s="1853"/>
      <c r="AC6" s="1785"/>
      <c r="AD6" s="865"/>
    </row>
  </sheetData>
  <mergeCells count="26">
    <mergeCell ref="S5:S6"/>
    <mergeCell ref="T5:T6"/>
    <mergeCell ref="U5:U6"/>
    <mergeCell ref="V5:V6"/>
    <mergeCell ref="X5:X6"/>
    <mergeCell ref="W5:W6"/>
    <mergeCell ref="AC5:AC6"/>
    <mergeCell ref="AB5:AB6"/>
    <mergeCell ref="Y5:Y6"/>
    <mergeCell ref="Z5:Z6"/>
    <mergeCell ref="AA5:AA6"/>
    <mergeCell ref="K5:K6"/>
    <mergeCell ref="L5:L6"/>
    <mergeCell ref="M5:O5"/>
    <mergeCell ref="P5:Q6"/>
    <mergeCell ref="R5:R6"/>
    <mergeCell ref="H5:H6"/>
    <mergeCell ref="I5:I6"/>
    <mergeCell ref="J5:J6"/>
    <mergeCell ref="G5:G6"/>
    <mergeCell ref="A5:A6"/>
    <mergeCell ref="B5:B6"/>
    <mergeCell ref="C5:C6"/>
    <mergeCell ref="D5:D6"/>
    <mergeCell ref="F5:F6"/>
    <mergeCell ref="E5:E6"/>
  </mergeCells>
  <phoneticPr fontId="2" type="noConversion"/>
  <dataValidations count="2">
    <dataValidation allowBlank="1" showInputMessage="1" showErrorMessage="1" promptTitle="Lưu ý" prompt="Cột nguyên giá dùng để tính giá ca máy" sqref="U5:U6"/>
    <dataValidation allowBlank="1" showInputMessage="1" showErrorMessage="1" promptTitle="Lưu ý" prompt="Cột tính chi phí nhiên liệu cho đơn giá" sqref="P5:Q6"/>
  </dataValidations>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BGM"/>
  <dimension ref="A1:Z6"/>
  <sheetViews>
    <sheetView workbookViewId="0">
      <selection activeCell="G10" sqref="G10"/>
    </sheetView>
  </sheetViews>
  <sheetFormatPr defaultRowHeight="20.100000000000001" customHeight="1" outlineLevelCol="1" x14ac:dyDescent="0.25"/>
  <cols>
    <col min="1" max="1" width="4.42578125" style="2" bestFit="1" customWidth="1"/>
    <col min="2" max="2" width="9.7109375" style="2" hidden="1" customWidth="1"/>
    <col min="3" max="3" width="13.42578125" style="2" hidden="1" customWidth="1"/>
    <col min="4" max="4" width="31" style="103" customWidth="1"/>
    <col min="5" max="5" width="6.42578125" style="140" customWidth="1"/>
    <col min="6" max="6" width="7.42578125" style="145" hidden="1" customWidth="1" outlineLevel="1"/>
    <col min="7" max="7" width="8" style="145" customWidth="1" collapsed="1"/>
    <col min="8" max="8" width="6.85546875" style="145" customWidth="1"/>
    <col min="9" max="9" width="5" style="145" customWidth="1"/>
    <col min="10" max="10" width="7.7109375" style="118" customWidth="1"/>
    <col min="11" max="11" width="9.28515625" style="118" customWidth="1"/>
    <col min="12" max="12" width="8.42578125" style="118" customWidth="1"/>
    <col min="13" max="13" width="9" style="118" hidden="1" customWidth="1" outlineLevel="1"/>
    <col min="14" max="14" width="13.28515625" style="118" hidden="1" customWidth="1" outlineLevel="1"/>
    <col min="15" max="15" width="12.7109375" style="118" hidden="1" customWidth="1" outlineLevel="1"/>
    <col min="16" max="16" width="9.140625" style="2" collapsed="1"/>
    <col min="17" max="26" width="0" style="2" hidden="1" customWidth="1"/>
    <col min="27" max="16384" width="9.140625" style="2"/>
  </cols>
  <sheetData>
    <row r="1" spans="1:26" s="99" customFormat="1" ht="18.75" x14ac:dyDescent="0.3">
      <c r="A1" s="784" t="s">
        <v>382</v>
      </c>
      <c r="B1" s="785"/>
      <c r="C1" s="785"/>
      <c r="D1" s="785"/>
      <c r="E1" s="785"/>
      <c r="F1" s="785"/>
      <c r="G1" s="785"/>
      <c r="H1" s="785"/>
      <c r="I1" s="785"/>
      <c r="J1" s="785"/>
      <c r="K1" s="785"/>
      <c r="L1" s="785"/>
      <c r="M1" s="785"/>
      <c r="N1" s="785"/>
      <c r="O1" s="785"/>
      <c r="P1" s="785"/>
    </row>
    <row r="2" spans="1:26" s="101" customFormat="1" ht="14.25" x14ac:dyDescent="0.2">
      <c r="A2" s="105" t="str">
        <f>"CÔNG TRÌNH : "&amp;'Bia du toan'!$G$12</f>
        <v>CÔNG TRÌNH : TRƯỜNG CAO ĐẲNG LÝ TỰ TRỌNG</v>
      </c>
      <c r="B2" s="105"/>
      <c r="C2" s="105"/>
      <c r="D2" s="105"/>
      <c r="E2" s="105"/>
      <c r="F2" s="105"/>
      <c r="G2" s="105"/>
      <c r="H2" s="105"/>
      <c r="I2" s="105"/>
      <c r="J2" s="105"/>
      <c r="K2" s="105"/>
      <c r="L2" s="105"/>
      <c r="M2" s="105"/>
      <c r="N2" s="105"/>
      <c r="O2" s="105"/>
    </row>
    <row r="3" spans="1:26" s="101" customFormat="1" ht="14.25" x14ac:dyDescent="0.2">
      <c r="A3" s="105" t="str">
        <f>"HẠNG MỤC : "&amp; 'Bia du toan'!$G$13</f>
        <v>HẠNG MỤC : CẢI TẠO THƯ VIỆN GIAI ĐOẠN 2 - NĂM 2019</v>
      </c>
      <c r="B3" s="105"/>
      <c r="C3" s="105"/>
      <c r="D3" s="105"/>
      <c r="E3" s="105"/>
      <c r="F3" s="105"/>
      <c r="G3" s="105"/>
      <c r="H3" s="105"/>
      <c r="I3" s="105"/>
      <c r="J3" s="105"/>
      <c r="K3" s="105"/>
      <c r="L3" s="105"/>
      <c r="M3" s="105"/>
      <c r="N3" s="105"/>
      <c r="O3" s="105"/>
    </row>
    <row r="4" spans="1:26" ht="15" x14ac:dyDescent="0.25">
      <c r="A4" s="40"/>
      <c r="B4" s="40"/>
      <c r="C4" s="40"/>
      <c r="D4" s="40"/>
      <c r="E4" s="40"/>
      <c r="F4" s="40"/>
      <c r="G4" s="40"/>
      <c r="H4" s="40"/>
      <c r="I4" s="40"/>
      <c r="J4" s="40"/>
      <c r="K4" s="40"/>
      <c r="L4" s="40"/>
      <c r="M4" s="40"/>
      <c r="N4" s="40"/>
      <c r="O4" s="40"/>
    </row>
    <row r="5" spans="1:26" s="175" customFormat="1" ht="20.25" customHeight="1" x14ac:dyDescent="0.2">
      <c r="A5" s="1850" t="s">
        <v>15</v>
      </c>
      <c r="B5" s="1850" t="s">
        <v>367</v>
      </c>
      <c r="C5" s="1850" t="s">
        <v>368</v>
      </c>
      <c r="D5" s="1850" t="s">
        <v>369</v>
      </c>
      <c r="E5" s="1850" t="s">
        <v>3308</v>
      </c>
      <c r="F5" s="1850" t="s">
        <v>690</v>
      </c>
      <c r="G5" s="1850" t="s">
        <v>233</v>
      </c>
      <c r="H5" s="1850" t="s">
        <v>689</v>
      </c>
      <c r="I5" s="1850" t="s">
        <v>241</v>
      </c>
      <c r="J5" s="1855" t="s">
        <v>490</v>
      </c>
      <c r="K5" s="1855"/>
      <c r="L5" s="1855"/>
      <c r="M5" s="1785" t="s">
        <v>377</v>
      </c>
      <c r="N5" s="1785"/>
      <c r="O5" s="1785"/>
      <c r="P5" s="1850" t="s">
        <v>688</v>
      </c>
      <c r="Q5" s="1785" t="s">
        <v>3409</v>
      </c>
      <c r="R5" s="867"/>
      <c r="S5" s="1785" t="s">
        <v>3406</v>
      </c>
      <c r="T5" s="1785" t="s">
        <v>3407</v>
      </c>
      <c r="U5" s="1785" t="s">
        <v>3408</v>
      </c>
      <c r="V5" s="1785" t="s">
        <v>377</v>
      </c>
      <c r="W5" s="1785"/>
      <c r="X5" s="1785"/>
      <c r="Y5" s="1785"/>
      <c r="Z5" s="1785" t="s">
        <v>688</v>
      </c>
    </row>
    <row r="6" spans="1:26" s="175" customFormat="1" ht="25.5" customHeight="1" x14ac:dyDescent="0.2">
      <c r="A6" s="1850"/>
      <c r="B6" s="1850"/>
      <c r="C6" s="1850"/>
      <c r="D6" s="1850"/>
      <c r="E6" s="1850"/>
      <c r="F6" s="1850" t="s">
        <v>370</v>
      </c>
      <c r="G6" s="1850" t="s">
        <v>263</v>
      </c>
      <c r="H6" s="1850" t="s">
        <v>371</v>
      </c>
      <c r="I6" s="1850" t="s">
        <v>375</v>
      </c>
      <c r="J6" s="176" t="s">
        <v>378</v>
      </c>
      <c r="K6" s="176" t="s">
        <v>379</v>
      </c>
      <c r="L6" s="176" t="s">
        <v>380</v>
      </c>
      <c r="M6" s="177" t="s">
        <v>378</v>
      </c>
      <c r="N6" s="177" t="s">
        <v>381</v>
      </c>
      <c r="O6" s="177" t="s">
        <v>374</v>
      </c>
      <c r="P6" s="1850" t="s">
        <v>370</v>
      </c>
      <c r="Q6" s="1785" t="s">
        <v>370</v>
      </c>
      <c r="R6" s="867"/>
      <c r="S6" s="1785" t="s">
        <v>370</v>
      </c>
      <c r="T6" s="1785" t="s">
        <v>370</v>
      </c>
      <c r="U6" s="1785" t="s">
        <v>370</v>
      </c>
      <c r="V6" s="866" t="s">
        <v>378</v>
      </c>
      <c r="W6" s="866" t="s">
        <v>3405</v>
      </c>
      <c r="X6" s="866" t="s">
        <v>381</v>
      </c>
      <c r="Y6" s="866" t="s">
        <v>374</v>
      </c>
      <c r="Z6" s="1785" t="s">
        <v>370</v>
      </c>
    </row>
  </sheetData>
  <mergeCells count="18">
    <mergeCell ref="M5:O5"/>
    <mergeCell ref="G5:G6"/>
    <mergeCell ref="Z5:Z6"/>
    <mergeCell ref="Q5:Q6"/>
    <mergeCell ref="U5:U6"/>
    <mergeCell ref="S5:S6"/>
    <mergeCell ref="T5:T6"/>
    <mergeCell ref="V5:Y5"/>
    <mergeCell ref="P5:P6"/>
    <mergeCell ref="H5:H6"/>
    <mergeCell ref="I5:I6"/>
    <mergeCell ref="J5:L5"/>
    <mergeCell ref="A5:A6"/>
    <mergeCell ref="B5:B6"/>
    <mergeCell ref="C5:C6"/>
    <mergeCell ref="D5:D6"/>
    <mergeCell ref="F5:F6"/>
    <mergeCell ref="E5:E6"/>
  </mergeCells>
  <phoneticPr fontId="2" type="noConversion"/>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BuNL_TL"/>
  <dimension ref="A1:J6"/>
  <sheetViews>
    <sheetView workbookViewId="0">
      <selection activeCell="D15" sqref="D15"/>
    </sheetView>
  </sheetViews>
  <sheetFormatPr defaultRowHeight="15" x14ac:dyDescent="0.25"/>
  <cols>
    <col min="1" max="1" width="4.5703125" style="2" customWidth="1"/>
    <col min="2" max="2" width="10.42578125" style="2" hidden="1" customWidth="1"/>
    <col min="3" max="3" width="29.42578125" style="103" customWidth="1"/>
    <col min="4" max="4" width="6.42578125" style="140" customWidth="1"/>
    <col min="5" max="5" width="7.5703125" style="145" bestFit="1" customWidth="1"/>
    <col min="6" max="6" width="8.5703125" style="118" customWidth="1"/>
    <col min="7" max="7" width="11" style="118" customWidth="1"/>
    <col min="8" max="8" width="10.5703125" style="118" customWidth="1"/>
    <col min="9" max="9" width="5.7109375" style="120" customWidth="1"/>
    <col min="10" max="10" width="10.5703125" style="118" bestFit="1" customWidth="1"/>
    <col min="11" max="16384" width="9.140625" style="2"/>
  </cols>
  <sheetData>
    <row r="1" spans="1:10" ht="20.25" x14ac:dyDescent="0.25">
      <c r="A1" s="63" t="s">
        <v>386</v>
      </c>
      <c r="B1" s="40"/>
      <c r="C1" s="40"/>
      <c r="D1" s="40"/>
      <c r="E1" s="40"/>
      <c r="F1" s="40"/>
      <c r="G1" s="40"/>
      <c r="H1" s="40"/>
      <c r="I1" s="40"/>
      <c r="J1" s="40"/>
    </row>
    <row r="2" spans="1:10" s="101" customFormat="1" ht="14.25" x14ac:dyDescent="0.2">
      <c r="A2" s="105" t="str">
        <f>"CÔNG TRÌNH : "&amp;'Bia du toan'!$G$12</f>
        <v>CÔNG TRÌNH : TRƯỜNG CAO ĐẲNG LÝ TỰ TRỌNG</v>
      </c>
      <c r="B2" s="105"/>
      <c r="C2" s="105"/>
      <c r="D2" s="105"/>
      <c r="E2" s="105"/>
      <c r="F2" s="105"/>
      <c r="G2" s="105"/>
      <c r="H2" s="105"/>
      <c r="I2" s="105"/>
      <c r="J2" s="105"/>
    </row>
    <row r="3" spans="1:10" s="101" customFormat="1" ht="14.25" x14ac:dyDescent="0.2">
      <c r="A3" s="105" t="str">
        <f>"HẠNG MỤC : "&amp; 'Bia du toan'!$G$13</f>
        <v>HẠNG MỤC : CẢI TẠO THƯ VIỆN GIAI ĐOẠN 2 - NĂM 2019</v>
      </c>
      <c r="B3" s="105"/>
      <c r="C3" s="105"/>
      <c r="D3" s="105"/>
      <c r="E3" s="105"/>
      <c r="F3" s="105"/>
      <c r="G3" s="105"/>
      <c r="H3" s="105"/>
      <c r="I3" s="105"/>
      <c r="J3" s="105"/>
    </row>
    <row r="4" spans="1:10" x14ac:dyDescent="0.25">
      <c r="A4" s="40"/>
      <c r="B4" s="40"/>
      <c r="C4" s="40"/>
      <c r="D4" s="40"/>
      <c r="E4" s="40"/>
      <c r="F4" s="40"/>
      <c r="G4" s="40"/>
      <c r="H4" s="40"/>
      <c r="I4" s="40"/>
      <c r="J4" s="40"/>
    </row>
    <row r="5" spans="1:10" s="1" customFormat="1" ht="18.75" customHeight="1" x14ac:dyDescent="0.2">
      <c r="A5" s="1850" t="s">
        <v>15</v>
      </c>
      <c r="B5" s="1850" t="s">
        <v>491</v>
      </c>
      <c r="C5" s="1850" t="s">
        <v>267</v>
      </c>
      <c r="D5" s="1850" t="s">
        <v>236</v>
      </c>
      <c r="E5" s="1850" t="s">
        <v>3307</v>
      </c>
      <c r="F5" s="1785" t="s">
        <v>238</v>
      </c>
      <c r="G5" s="1785"/>
      <c r="H5" s="1850" t="s">
        <v>380</v>
      </c>
      <c r="I5" s="1859" t="s">
        <v>241</v>
      </c>
      <c r="J5" s="1850" t="s">
        <v>239</v>
      </c>
    </row>
    <row r="6" spans="1:10" s="1" customFormat="1" ht="18.75" customHeight="1" x14ac:dyDescent="0.2">
      <c r="A6" s="1850"/>
      <c r="B6" s="1850"/>
      <c r="C6" s="1850"/>
      <c r="D6" s="1850"/>
      <c r="E6" s="1850"/>
      <c r="F6" s="177" t="s">
        <v>378</v>
      </c>
      <c r="G6" s="177" t="s">
        <v>379</v>
      </c>
      <c r="H6" s="1850" t="s">
        <v>384</v>
      </c>
      <c r="I6" s="1859"/>
      <c r="J6" s="1850" t="s">
        <v>385</v>
      </c>
    </row>
  </sheetData>
  <mergeCells count="9">
    <mergeCell ref="J5:J6"/>
    <mergeCell ref="E5:E6"/>
    <mergeCell ref="F5:G5"/>
    <mergeCell ref="I5:I6"/>
    <mergeCell ref="A5:A6"/>
    <mergeCell ref="B5:B6"/>
    <mergeCell ref="C5:C6"/>
    <mergeCell ref="D5:D6"/>
    <mergeCell ref="H5:H6"/>
  </mergeCells>
  <phoneticPr fontId="2" type="noConversion"/>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DVCM"/>
  <dimension ref="A1:Z34"/>
  <sheetViews>
    <sheetView topLeftCell="A7" zoomScale="85" zoomScaleNormal="85" workbookViewId="0">
      <selection activeCell="C22" sqref="C22"/>
    </sheetView>
  </sheetViews>
  <sheetFormatPr defaultRowHeight="12.75" x14ac:dyDescent="0.2"/>
  <cols>
    <col min="1" max="1" width="3.85546875" style="1" bestFit="1" customWidth="1"/>
    <col min="2" max="2" width="9.5703125" style="1" hidden="1" customWidth="1"/>
    <col min="3" max="3" width="35.85546875" style="1" bestFit="1" customWidth="1"/>
    <col min="4" max="4" width="6.85546875" style="1" bestFit="1" customWidth="1"/>
    <col min="5" max="5" width="6.42578125" style="1" bestFit="1" customWidth="1"/>
    <col min="6" max="6" width="7.140625" style="1" customWidth="1"/>
    <col min="7" max="8" width="11" style="1" bestFit="1" customWidth="1"/>
    <col min="9" max="26" width="11" style="1" hidden="1" customWidth="1"/>
    <col min="27" max="16384" width="9.140625" style="1"/>
  </cols>
  <sheetData>
    <row r="1" spans="1:26" s="69" customFormat="1" ht="20.25" x14ac:dyDescent="0.3">
      <c r="A1" s="63" t="s">
        <v>429</v>
      </c>
      <c r="B1" s="68"/>
      <c r="C1" s="68"/>
      <c r="D1" s="68"/>
      <c r="E1" s="68"/>
      <c r="F1" s="68"/>
      <c r="G1" s="68"/>
      <c r="H1" s="68"/>
      <c r="I1" s="585"/>
      <c r="J1" s="585"/>
      <c r="K1" s="585"/>
      <c r="L1" s="585"/>
      <c r="M1" s="585"/>
      <c r="N1" s="585"/>
      <c r="O1" s="585"/>
      <c r="P1" s="585"/>
      <c r="Q1" s="585"/>
      <c r="R1" s="585"/>
      <c r="S1" s="585"/>
      <c r="T1" s="585"/>
      <c r="U1" s="585"/>
      <c r="V1" s="585"/>
      <c r="W1" s="585"/>
      <c r="X1" s="585"/>
      <c r="Y1" s="585"/>
      <c r="Z1" s="585"/>
    </row>
    <row r="2" spans="1:26" s="72" customFormat="1" ht="15" x14ac:dyDescent="0.25">
      <c r="A2" s="70" t="s">
        <v>1466</v>
      </c>
      <c r="B2" s="71"/>
      <c r="C2" s="71"/>
      <c r="D2" s="71"/>
      <c r="E2" s="71"/>
      <c r="F2" s="71"/>
      <c r="G2" s="71"/>
      <c r="H2" s="71"/>
      <c r="I2" s="586"/>
      <c r="J2" s="586"/>
      <c r="K2" s="586"/>
      <c r="L2" s="586"/>
      <c r="M2" s="586"/>
      <c r="N2" s="586"/>
      <c r="O2" s="586"/>
      <c r="P2" s="586"/>
      <c r="Q2" s="586"/>
      <c r="R2" s="586"/>
      <c r="S2" s="586"/>
      <c r="T2" s="586"/>
      <c r="U2" s="586"/>
      <c r="V2" s="586"/>
      <c r="W2" s="586"/>
      <c r="X2" s="586"/>
      <c r="Y2" s="586"/>
      <c r="Z2" s="586"/>
    </row>
    <row r="3" spans="1:26" ht="15.75" x14ac:dyDescent="0.25">
      <c r="A3" s="245" t="str">
        <f>"CÔNG TRÌNH : "&amp;'Bia du toan'!$G$12</f>
        <v>CÔNG TRÌNH : TRƯỜNG CAO ĐẲNG LÝ TỰ TRỌNG</v>
      </c>
      <c r="B3" s="73"/>
      <c r="C3" s="74"/>
      <c r="D3" s="74"/>
      <c r="E3" s="74"/>
      <c r="F3" s="74"/>
      <c r="G3" s="74"/>
      <c r="H3" s="74"/>
      <c r="I3" s="560"/>
      <c r="J3" s="560"/>
      <c r="K3" s="560"/>
      <c r="L3" s="560"/>
      <c r="M3" s="560"/>
      <c r="N3" s="560"/>
      <c r="O3" s="560"/>
      <c r="P3" s="560"/>
      <c r="Q3" s="560"/>
      <c r="R3" s="560"/>
      <c r="S3" s="560"/>
      <c r="T3" s="560"/>
      <c r="U3" s="560"/>
      <c r="V3" s="560"/>
      <c r="W3" s="560"/>
      <c r="X3" s="560"/>
      <c r="Y3" s="560"/>
      <c r="Z3" s="560"/>
    </row>
    <row r="4" spans="1:26" ht="15.75" x14ac:dyDescent="0.25">
      <c r="A4" s="245" t="str">
        <f>"HẠNG MỤC : "&amp; 'Bia du toan'!$G$13</f>
        <v>HẠNG MỤC : CẢI TẠO THƯ VIỆN GIAI ĐOẠN 2 - NĂM 2019</v>
      </c>
      <c r="B4" s="73"/>
      <c r="C4" s="74"/>
      <c r="D4" s="74"/>
      <c r="E4" s="74"/>
      <c r="F4" s="74"/>
      <c r="G4" s="74"/>
      <c r="H4" s="74"/>
      <c r="I4" s="560"/>
      <c r="J4" s="560"/>
      <c r="K4" s="560"/>
      <c r="L4" s="560"/>
      <c r="M4" s="560"/>
      <c r="N4" s="560"/>
      <c r="O4" s="560"/>
      <c r="P4" s="560"/>
      <c r="Q4" s="560"/>
      <c r="R4" s="560"/>
      <c r="S4" s="560"/>
      <c r="T4" s="560"/>
      <c r="U4" s="560"/>
      <c r="V4" s="560"/>
      <c r="W4" s="560"/>
      <c r="X4" s="560"/>
      <c r="Y4" s="560"/>
      <c r="Z4" s="560"/>
    </row>
    <row r="5" spans="1:26" ht="15" x14ac:dyDescent="0.25">
      <c r="A5" s="75"/>
      <c r="B5" s="75"/>
      <c r="C5" s="75"/>
      <c r="D5" s="75"/>
      <c r="E5" s="75"/>
      <c r="F5" s="75"/>
      <c r="G5" s="584" t="s">
        <v>1456</v>
      </c>
      <c r="H5" s="584"/>
      <c r="I5" s="584" t="s">
        <v>1457</v>
      </c>
      <c r="J5" s="584"/>
      <c r="K5" s="584" t="s">
        <v>1458</v>
      </c>
      <c r="L5" s="584"/>
      <c r="M5" s="584" t="s">
        <v>1459</v>
      </c>
      <c r="N5" s="584"/>
      <c r="O5" s="584" t="s">
        <v>1460</v>
      </c>
      <c r="P5" s="584"/>
      <c r="Q5" s="584" t="s">
        <v>1461</v>
      </c>
      <c r="R5" s="584"/>
      <c r="S5" s="584" t="s">
        <v>1462</v>
      </c>
      <c r="T5" s="584"/>
      <c r="U5" s="584" t="s">
        <v>1463</v>
      </c>
      <c r="V5" s="584"/>
      <c r="W5" s="584" t="s">
        <v>1464</v>
      </c>
      <c r="X5" s="584"/>
      <c r="Y5" s="584" t="s">
        <v>1465</v>
      </c>
      <c r="Z5" s="584"/>
    </row>
    <row r="6" spans="1:26" ht="29.25" customHeight="1" x14ac:dyDescent="0.2">
      <c r="A6" s="178" t="s">
        <v>15</v>
      </c>
      <c r="B6" s="178"/>
      <c r="C6" s="178" t="s">
        <v>430</v>
      </c>
      <c r="D6" s="178" t="s">
        <v>236</v>
      </c>
      <c r="E6" s="178" t="s">
        <v>431</v>
      </c>
      <c r="F6" s="583" t="s">
        <v>432</v>
      </c>
      <c r="G6" s="178" t="s">
        <v>378</v>
      </c>
      <c r="H6" s="178" t="s">
        <v>379</v>
      </c>
      <c r="I6" s="582" t="s">
        <v>378</v>
      </c>
      <c r="J6" s="582" t="s">
        <v>379</v>
      </c>
      <c r="K6" s="582" t="s">
        <v>378</v>
      </c>
      <c r="L6" s="582" t="s">
        <v>379</v>
      </c>
      <c r="M6" s="582" t="s">
        <v>378</v>
      </c>
      <c r="N6" s="582" t="s">
        <v>379</v>
      </c>
      <c r="O6" s="582" t="s">
        <v>378</v>
      </c>
      <c r="P6" s="582" t="s">
        <v>379</v>
      </c>
      <c r="Q6" s="582" t="s">
        <v>378</v>
      </c>
      <c r="R6" s="582" t="s">
        <v>379</v>
      </c>
      <c r="S6" s="582" t="s">
        <v>378</v>
      </c>
      <c r="T6" s="582" t="s">
        <v>379</v>
      </c>
      <c r="U6" s="582" t="s">
        <v>378</v>
      </c>
      <c r="V6" s="582" t="s">
        <v>379</v>
      </c>
      <c r="W6" s="582" t="s">
        <v>378</v>
      </c>
      <c r="X6" s="582" t="s">
        <v>379</v>
      </c>
      <c r="Y6" s="582" t="s">
        <v>378</v>
      </c>
      <c r="Z6" s="582" t="s">
        <v>379</v>
      </c>
    </row>
    <row r="7" spans="1:26" ht="20.25" customHeight="1" x14ac:dyDescent="0.25">
      <c r="A7" s="280">
        <v>1</v>
      </c>
      <c r="B7" s="281" t="s">
        <v>433</v>
      </c>
      <c r="C7" s="282" t="s">
        <v>434</v>
      </c>
      <c r="D7" s="121" t="s">
        <v>3023</v>
      </c>
      <c r="E7" s="121"/>
      <c r="F7" s="285">
        <v>1.03</v>
      </c>
      <c r="G7" s="283">
        <v>16018</v>
      </c>
      <c r="H7" s="284">
        <v>16018</v>
      </c>
      <c r="I7" s="283">
        <v>16018</v>
      </c>
      <c r="J7" s="284">
        <v>16018</v>
      </c>
      <c r="K7" s="283">
        <v>16018</v>
      </c>
      <c r="L7" s="284">
        <v>16018</v>
      </c>
      <c r="M7" s="283">
        <v>16018</v>
      </c>
      <c r="N7" s="284">
        <v>16018</v>
      </c>
      <c r="O7" s="283">
        <v>16018</v>
      </c>
      <c r="P7" s="284">
        <v>16018</v>
      </c>
      <c r="Q7" s="283">
        <v>16018</v>
      </c>
      <c r="R7" s="284">
        <v>16018</v>
      </c>
      <c r="S7" s="283">
        <v>16018</v>
      </c>
      <c r="T7" s="284">
        <v>16018</v>
      </c>
      <c r="U7" s="283">
        <v>16018</v>
      </c>
      <c r="V7" s="284">
        <v>16018</v>
      </c>
      <c r="W7" s="283">
        <v>16018</v>
      </c>
      <c r="X7" s="284">
        <v>16018</v>
      </c>
      <c r="Y7" s="283">
        <v>16018</v>
      </c>
      <c r="Z7" s="284">
        <v>16018</v>
      </c>
    </row>
    <row r="8" spans="1:26" ht="20.25" customHeight="1" x14ac:dyDescent="0.25">
      <c r="A8" s="76">
        <v>2</v>
      </c>
      <c r="B8" s="77" t="s">
        <v>435</v>
      </c>
      <c r="C8" s="78" t="s">
        <v>436</v>
      </c>
      <c r="D8" s="79" t="s">
        <v>3023</v>
      </c>
      <c r="E8" s="79"/>
      <c r="F8" s="82">
        <v>1.05</v>
      </c>
      <c r="G8" s="80">
        <v>14673</v>
      </c>
      <c r="H8" s="81">
        <v>14673</v>
      </c>
      <c r="I8" s="80">
        <v>14673</v>
      </c>
      <c r="J8" s="81">
        <v>14673</v>
      </c>
      <c r="K8" s="80">
        <v>14673</v>
      </c>
      <c r="L8" s="81">
        <v>14673</v>
      </c>
      <c r="M8" s="80">
        <v>14673</v>
      </c>
      <c r="N8" s="81">
        <v>14673</v>
      </c>
      <c r="O8" s="80">
        <v>14673</v>
      </c>
      <c r="P8" s="81">
        <v>14673</v>
      </c>
      <c r="Q8" s="80">
        <v>14673</v>
      </c>
      <c r="R8" s="81">
        <v>14673</v>
      </c>
      <c r="S8" s="80">
        <v>14673</v>
      </c>
      <c r="T8" s="81">
        <v>14673</v>
      </c>
      <c r="U8" s="80">
        <v>14673</v>
      </c>
      <c r="V8" s="81">
        <v>14673</v>
      </c>
      <c r="W8" s="80">
        <v>14673</v>
      </c>
      <c r="X8" s="81">
        <v>14673</v>
      </c>
      <c r="Y8" s="80">
        <v>14673</v>
      </c>
      <c r="Z8" s="81">
        <v>14673</v>
      </c>
    </row>
    <row r="9" spans="1:26" ht="20.25" customHeight="1" x14ac:dyDescent="0.25">
      <c r="A9" s="76">
        <v>3</v>
      </c>
      <c r="B9" s="77" t="s">
        <v>437</v>
      </c>
      <c r="C9" s="78" t="s">
        <v>438</v>
      </c>
      <c r="D9" s="79" t="s">
        <v>3024</v>
      </c>
      <c r="E9" s="79"/>
      <c r="F9" s="82">
        <v>1.07</v>
      </c>
      <c r="G9" s="80">
        <v>1518</v>
      </c>
      <c r="H9" s="81">
        <v>1518</v>
      </c>
      <c r="I9" s="80">
        <v>1518</v>
      </c>
      <c r="J9" s="81">
        <v>1518</v>
      </c>
      <c r="K9" s="80">
        <v>1518</v>
      </c>
      <c r="L9" s="81">
        <v>1518</v>
      </c>
      <c r="M9" s="80">
        <v>1518</v>
      </c>
      <c r="N9" s="81">
        <v>1518</v>
      </c>
      <c r="O9" s="80">
        <v>1518</v>
      </c>
      <c r="P9" s="81">
        <v>1518</v>
      </c>
      <c r="Q9" s="80">
        <v>1518</v>
      </c>
      <c r="R9" s="81">
        <v>1518</v>
      </c>
      <c r="S9" s="80">
        <v>1518</v>
      </c>
      <c r="T9" s="81">
        <v>1518</v>
      </c>
      <c r="U9" s="80">
        <v>1518</v>
      </c>
      <c r="V9" s="81">
        <v>1518</v>
      </c>
      <c r="W9" s="80">
        <v>1518</v>
      </c>
      <c r="X9" s="81">
        <v>1518</v>
      </c>
      <c r="Y9" s="80">
        <v>1518</v>
      </c>
      <c r="Z9" s="81">
        <v>1518</v>
      </c>
    </row>
    <row r="10" spans="1:26" ht="20.25" customHeight="1" x14ac:dyDescent="0.25">
      <c r="A10" s="76">
        <v>4</v>
      </c>
      <c r="B10" s="77" t="s">
        <v>439</v>
      </c>
      <c r="C10" s="78" t="s">
        <v>440</v>
      </c>
      <c r="D10" s="76" t="s">
        <v>3025</v>
      </c>
      <c r="E10" s="79"/>
      <c r="F10" s="82"/>
      <c r="G10" s="80"/>
      <c r="H10" s="81"/>
      <c r="I10" s="80"/>
      <c r="J10" s="81"/>
      <c r="K10" s="80"/>
      <c r="L10" s="81"/>
      <c r="M10" s="80"/>
      <c r="N10" s="81"/>
      <c r="O10" s="80"/>
      <c r="P10" s="81"/>
      <c r="Q10" s="80"/>
      <c r="R10" s="81"/>
      <c r="S10" s="80"/>
      <c r="T10" s="81"/>
      <c r="U10" s="80"/>
      <c r="V10" s="81"/>
      <c r="W10" s="80"/>
      <c r="X10" s="81"/>
      <c r="Y10" s="80"/>
      <c r="Z10" s="81"/>
    </row>
    <row r="11" spans="1:26" s="816" customFormat="1" ht="20.25" customHeight="1" x14ac:dyDescent="0.25">
      <c r="A11" s="811">
        <v>5</v>
      </c>
      <c r="B11" s="811" t="s">
        <v>441</v>
      </c>
      <c r="C11" s="812" t="s">
        <v>442</v>
      </c>
      <c r="D11" s="813" t="s">
        <v>443</v>
      </c>
      <c r="E11" s="813"/>
      <c r="F11" s="814"/>
      <c r="G11" s="815" t="s">
        <v>1154</v>
      </c>
      <c r="H11" s="815">
        <v>1150000</v>
      </c>
      <c r="I11" s="815" t="s">
        <v>1154</v>
      </c>
      <c r="J11" s="815">
        <v>1150000</v>
      </c>
      <c r="K11" s="815" t="s">
        <v>1154</v>
      </c>
      <c r="L11" s="815">
        <v>1150000</v>
      </c>
      <c r="M11" s="815" t="s">
        <v>1154</v>
      </c>
      <c r="N11" s="815">
        <v>1150000</v>
      </c>
      <c r="O11" s="815" t="s">
        <v>1154</v>
      </c>
      <c r="P11" s="815">
        <v>1150000</v>
      </c>
      <c r="Q11" s="815" t="s">
        <v>1154</v>
      </c>
      <c r="R11" s="815">
        <v>1150000</v>
      </c>
      <c r="S11" s="815" t="s">
        <v>1154</v>
      </c>
      <c r="T11" s="815">
        <v>1150000</v>
      </c>
      <c r="U11" s="815" t="s">
        <v>1154</v>
      </c>
      <c r="V11" s="815">
        <v>1150000</v>
      </c>
      <c r="W11" s="815" t="s">
        <v>1154</v>
      </c>
      <c r="X11" s="815">
        <v>1150000</v>
      </c>
      <c r="Y11" s="815" t="s">
        <v>1154</v>
      </c>
      <c r="Z11" s="815">
        <v>1150000</v>
      </c>
    </row>
    <row r="12" spans="1:26" s="816" customFormat="1" ht="20.25" customHeight="1" x14ac:dyDescent="0.25">
      <c r="A12" s="811">
        <v>6</v>
      </c>
      <c r="B12" s="811" t="s">
        <v>444</v>
      </c>
      <c r="C12" s="812" t="s">
        <v>445</v>
      </c>
      <c r="D12" s="813" t="s">
        <v>443</v>
      </c>
      <c r="E12" s="813"/>
      <c r="F12" s="814"/>
      <c r="G12" s="815" t="s">
        <v>1155</v>
      </c>
      <c r="H12" s="815">
        <v>1400000</v>
      </c>
      <c r="I12" s="815" t="s">
        <v>1155</v>
      </c>
      <c r="J12" s="815">
        <v>1400000</v>
      </c>
      <c r="K12" s="815" t="s">
        <v>1155</v>
      </c>
      <c r="L12" s="815">
        <v>1400000</v>
      </c>
      <c r="M12" s="815" t="s">
        <v>1155</v>
      </c>
      <c r="N12" s="815">
        <v>1400000</v>
      </c>
      <c r="O12" s="815" t="s">
        <v>1155</v>
      </c>
      <c r="P12" s="815">
        <v>1400000</v>
      </c>
      <c r="Q12" s="815" t="s">
        <v>1155</v>
      </c>
      <c r="R12" s="815">
        <v>1400000</v>
      </c>
      <c r="S12" s="815" t="s">
        <v>1155</v>
      </c>
      <c r="T12" s="815">
        <v>1400000</v>
      </c>
      <c r="U12" s="815" t="s">
        <v>1155</v>
      </c>
      <c r="V12" s="815">
        <v>1400000</v>
      </c>
      <c r="W12" s="815" t="s">
        <v>1155</v>
      </c>
      <c r="X12" s="815">
        <v>1400000</v>
      </c>
      <c r="Y12" s="815" t="s">
        <v>1155</v>
      </c>
      <c r="Z12" s="815">
        <v>1400000</v>
      </c>
    </row>
    <row r="13" spans="1:26" s="816" customFormat="1" ht="20.25" customHeight="1" x14ac:dyDescent="0.25">
      <c r="A13" s="811">
        <v>7</v>
      </c>
      <c r="B13" s="811" t="s">
        <v>446</v>
      </c>
      <c r="C13" s="812" t="s">
        <v>447</v>
      </c>
      <c r="D13" s="813" t="s">
        <v>74</v>
      </c>
      <c r="E13" s="813" t="s">
        <v>441</v>
      </c>
      <c r="F13" s="814"/>
      <c r="G13" s="817">
        <v>0.2</v>
      </c>
      <c r="H13" s="817">
        <v>0.2</v>
      </c>
      <c r="I13" s="817">
        <v>0.2</v>
      </c>
      <c r="J13" s="817">
        <v>0.2</v>
      </c>
      <c r="K13" s="817">
        <v>0.2</v>
      </c>
      <c r="L13" s="817">
        <v>0.2</v>
      </c>
      <c r="M13" s="817">
        <v>0.2</v>
      </c>
      <c r="N13" s="817">
        <v>0.2</v>
      </c>
      <c r="O13" s="817">
        <v>0.2</v>
      </c>
      <c r="P13" s="817">
        <v>0.2</v>
      </c>
      <c r="Q13" s="817">
        <v>0.2</v>
      </c>
      <c r="R13" s="817">
        <v>0.2</v>
      </c>
      <c r="S13" s="817">
        <v>0.2</v>
      </c>
      <c r="T13" s="817">
        <v>0.2</v>
      </c>
      <c r="U13" s="817">
        <v>0.2</v>
      </c>
      <c r="V13" s="817">
        <v>0.2</v>
      </c>
      <c r="W13" s="817">
        <v>0.2</v>
      </c>
      <c r="X13" s="817">
        <v>0.2</v>
      </c>
      <c r="Y13" s="817">
        <v>0.2</v>
      </c>
      <c r="Z13" s="817">
        <v>0.2</v>
      </c>
    </row>
    <row r="14" spans="1:26" s="816" customFormat="1" ht="20.25" customHeight="1" x14ac:dyDescent="0.25">
      <c r="A14" s="811">
        <v>8</v>
      </c>
      <c r="B14" s="811" t="s">
        <v>448</v>
      </c>
      <c r="C14" s="812" t="s">
        <v>449</v>
      </c>
      <c r="D14" s="813" t="s">
        <v>74</v>
      </c>
      <c r="E14" s="813" t="s">
        <v>444</v>
      </c>
      <c r="F14" s="814"/>
      <c r="G14" s="817">
        <v>0</v>
      </c>
      <c r="H14" s="817">
        <v>0</v>
      </c>
      <c r="I14" s="817">
        <v>0</v>
      </c>
      <c r="J14" s="817">
        <v>0</v>
      </c>
      <c r="K14" s="817">
        <v>0</v>
      </c>
      <c r="L14" s="817">
        <v>0</v>
      </c>
      <c r="M14" s="817">
        <v>0</v>
      </c>
      <c r="N14" s="817">
        <v>0</v>
      </c>
      <c r="O14" s="817">
        <v>0</v>
      </c>
      <c r="P14" s="817">
        <v>0</v>
      </c>
      <c r="Q14" s="817">
        <v>0</v>
      </c>
      <c r="R14" s="817">
        <v>0</v>
      </c>
      <c r="S14" s="817">
        <v>0</v>
      </c>
      <c r="T14" s="817">
        <v>0</v>
      </c>
      <c r="U14" s="817">
        <v>0</v>
      </c>
      <c r="V14" s="817">
        <v>0</v>
      </c>
      <c r="W14" s="817">
        <v>0</v>
      </c>
      <c r="X14" s="817">
        <v>0</v>
      </c>
      <c r="Y14" s="817">
        <v>0</v>
      </c>
      <c r="Z14" s="817">
        <v>0</v>
      </c>
    </row>
    <row r="15" spans="1:26" s="816" customFormat="1" ht="20.25" customHeight="1" x14ac:dyDescent="0.25">
      <c r="A15" s="811">
        <v>9</v>
      </c>
      <c r="B15" s="811" t="s">
        <v>450</v>
      </c>
      <c r="C15" s="812" t="s">
        <v>451</v>
      </c>
      <c r="D15" s="813" t="s">
        <v>74</v>
      </c>
      <c r="E15" s="813" t="s">
        <v>444</v>
      </c>
      <c r="F15" s="814"/>
      <c r="G15" s="817">
        <v>0</v>
      </c>
      <c r="H15" s="817">
        <v>0</v>
      </c>
      <c r="I15" s="817">
        <v>0</v>
      </c>
      <c r="J15" s="817">
        <v>0</v>
      </c>
      <c r="K15" s="817">
        <v>0</v>
      </c>
      <c r="L15" s="817">
        <v>0</v>
      </c>
      <c r="M15" s="817">
        <v>0</v>
      </c>
      <c r="N15" s="817">
        <v>0</v>
      </c>
      <c r="O15" s="817">
        <v>0</v>
      </c>
      <c r="P15" s="817">
        <v>0</v>
      </c>
      <c r="Q15" s="817">
        <v>0</v>
      </c>
      <c r="R15" s="817">
        <v>0</v>
      </c>
      <c r="S15" s="817">
        <v>0</v>
      </c>
      <c r="T15" s="817">
        <v>0</v>
      </c>
      <c r="U15" s="817">
        <v>0</v>
      </c>
      <c r="V15" s="817">
        <v>0</v>
      </c>
      <c r="W15" s="817">
        <v>0</v>
      </c>
      <c r="X15" s="817">
        <v>0</v>
      </c>
      <c r="Y15" s="817">
        <v>0</v>
      </c>
      <c r="Z15" s="817">
        <v>0</v>
      </c>
    </row>
    <row r="16" spans="1:26" s="816" customFormat="1" ht="20.25" customHeight="1" x14ac:dyDescent="0.25">
      <c r="A16" s="811">
        <v>10</v>
      </c>
      <c r="B16" s="811" t="s">
        <v>452</v>
      </c>
      <c r="C16" s="812" t="s">
        <v>453</v>
      </c>
      <c r="D16" s="813" t="s">
        <v>74</v>
      </c>
      <c r="E16" s="813" t="s">
        <v>444</v>
      </c>
      <c r="F16" s="814"/>
      <c r="G16" s="817">
        <v>0</v>
      </c>
      <c r="H16" s="817">
        <v>0</v>
      </c>
      <c r="I16" s="817">
        <v>0</v>
      </c>
      <c r="J16" s="817">
        <v>0</v>
      </c>
      <c r="K16" s="817">
        <v>0</v>
      </c>
      <c r="L16" s="817">
        <v>0</v>
      </c>
      <c r="M16" s="817">
        <v>0</v>
      </c>
      <c r="N16" s="817">
        <v>0</v>
      </c>
      <c r="O16" s="817">
        <v>0</v>
      </c>
      <c r="P16" s="817">
        <v>0</v>
      </c>
      <c r="Q16" s="817">
        <v>0</v>
      </c>
      <c r="R16" s="817">
        <v>0</v>
      </c>
      <c r="S16" s="817">
        <v>0</v>
      </c>
      <c r="T16" s="817">
        <v>0</v>
      </c>
      <c r="U16" s="817">
        <v>0</v>
      </c>
      <c r="V16" s="817">
        <v>0</v>
      </c>
      <c r="W16" s="817">
        <v>0</v>
      </c>
      <c r="X16" s="817">
        <v>0</v>
      </c>
      <c r="Y16" s="817">
        <v>0</v>
      </c>
      <c r="Z16" s="817">
        <v>0</v>
      </c>
    </row>
    <row r="17" spans="1:26" s="816" customFormat="1" ht="20.25" customHeight="1" x14ac:dyDescent="0.25">
      <c r="A17" s="811">
        <v>11</v>
      </c>
      <c r="B17" s="811" t="s">
        <v>454</v>
      </c>
      <c r="C17" s="812" t="s">
        <v>455</v>
      </c>
      <c r="D17" s="813" t="s">
        <v>74</v>
      </c>
      <c r="E17" s="813" t="s">
        <v>456</v>
      </c>
      <c r="F17" s="814"/>
      <c r="G17" s="817">
        <v>0</v>
      </c>
      <c r="H17" s="817">
        <v>0</v>
      </c>
      <c r="I17" s="817">
        <v>0</v>
      </c>
      <c r="J17" s="817">
        <v>0</v>
      </c>
      <c r="K17" s="817">
        <v>0</v>
      </c>
      <c r="L17" s="817">
        <v>0</v>
      </c>
      <c r="M17" s="817">
        <v>0</v>
      </c>
      <c r="N17" s="817">
        <v>0</v>
      </c>
      <c r="O17" s="817">
        <v>0</v>
      </c>
      <c r="P17" s="817">
        <v>0</v>
      </c>
      <c r="Q17" s="817">
        <v>0</v>
      </c>
      <c r="R17" s="817">
        <v>0</v>
      </c>
      <c r="S17" s="817">
        <v>0</v>
      </c>
      <c r="T17" s="817">
        <v>0</v>
      </c>
      <c r="U17" s="817">
        <v>0</v>
      </c>
      <c r="V17" s="817">
        <v>0</v>
      </c>
      <c r="W17" s="817">
        <v>0</v>
      </c>
      <c r="X17" s="817">
        <v>0</v>
      </c>
      <c r="Y17" s="817">
        <v>0</v>
      </c>
      <c r="Z17" s="817">
        <v>0</v>
      </c>
    </row>
    <row r="18" spans="1:26" s="816" customFormat="1" ht="20.25" customHeight="1" x14ac:dyDescent="0.25">
      <c r="A18" s="811">
        <v>12</v>
      </c>
      <c r="B18" s="811" t="s">
        <v>457</v>
      </c>
      <c r="C18" s="812" t="s">
        <v>458</v>
      </c>
      <c r="D18" s="813" t="s">
        <v>74</v>
      </c>
      <c r="E18" s="813" t="s">
        <v>456</v>
      </c>
      <c r="F18" s="814"/>
      <c r="G18" s="817">
        <v>0.1</v>
      </c>
      <c r="H18" s="817">
        <v>0.1</v>
      </c>
      <c r="I18" s="817">
        <v>0.1</v>
      </c>
      <c r="J18" s="817">
        <v>0.1</v>
      </c>
      <c r="K18" s="817">
        <v>0.1</v>
      </c>
      <c r="L18" s="817">
        <v>0.1</v>
      </c>
      <c r="M18" s="817">
        <v>0.1</v>
      </c>
      <c r="N18" s="817">
        <v>0.1</v>
      </c>
      <c r="O18" s="817">
        <v>0.1</v>
      </c>
      <c r="P18" s="817">
        <v>0.1</v>
      </c>
      <c r="Q18" s="817">
        <v>0.1</v>
      </c>
      <c r="R18" s="817">
        <v>0.1</v>
      </c>
      <c r="S18" s="817">
        <v>0.1</v>
      </c>
      <c r="T18" s="817">
        <v>0.1</v>
      </c>
      <c r="U18" s="817">
        <v>0.1</v>
      </c>
      <c r="V18" s="817">
        <v>0.1</v>
      </c>
      <c r="W18" s="817">
        <v>0.1</v>
      </c>
      <c r="X18" s="817">
        <v>0.1</v>
      </c>
      <c r="Y18" s="817">
        <v>0.1</v>
      </c>
      <c r="Z18" s="817">
        <v>0.1</v>
      </c>
    </row>
    <row r="19" spans="1:26" s="816" customFormat="1" ht="20.25" customHeight="1" x14ac:dyDescent="0.25">
      <c r="A19" s="811">
        <v>13</v>
      </c>
      <c r="B19" s="811" t="s">
        <v>459</v>
      </c>
      <c r="C19" s="812" t="s">
        <v>365</v>
      </c>
      <c r="D19" s="813" t="s">
        <v>74</v>
      </c>
      <c r="E19" s="813" t="s">
        <v>456</v>
      </c>
      <c r="F19" s="814"/>
      <c r="G19" s="817">
        <v>0.12</v>
      </c>
      <c r="H19" s="817">
        <v>0.12</v>
      </c>
      <c r="I19" s="817">
        <v>0.12</v>
      </c>
      <c r="J19" s="817">
        <v>0.12</v>
      </c>
      <c r="K19" s="817">
        <v>0.12</v>
      </c>
      <c r="L19" s="817">
        <v>0.12</v>
      </c>
      <c r="M19" s="817">
        <v>0.12</v>
      </c>
      <c r="N19" s="817">
        <v>0.12</v>
      </c>
      <c r="O19" s="817">
        <v>0.12</v>
      </c>
      <c r="P19" s="817">
        <v>0.12</v>
      </c>
      <c r="Q19" s="817">
        <v>0.12</v>
      </c>
      <c r="R19" s="817">
        <v>0.12</v>
      </c>
      <c r="S19" s="817">
        <v>0.12</v>
      </c>
      <c r="T19" s="817">
        <v>0.12</v>
      </c>
      <c r="U19" s="817">
        <v>0.12</v>
      </c>
      <c r="V19" s="817">
        <v>0.12</v>
      </c>
      <c r="W19" s="817">
        <v>0.12</v>
      </c>
      <c r="X19" s="817">
        <v>0.12</v>
      </c>
      <c r="Y19" s="817">
        <v>0.12</v>
      </c>
      <c r="Z19" s="817">
        <v>0.12</v>
      </c>
    </row>
    <row r="20" spans="1:26" s="816" customFormat="1" ht="20.25" customHeight="1" x14ac:dyDescent="0.25">
      <c r="A20" s="811">
        <v>14</v>
      </c>
      <c r="B20" s="811" t="s">
        <v>460</v>
      </c>
      <c r="C20" s="812" t="s">
        <v>461</v>
      </c>
      <c r="D20" s="813" t="s">
        <v>74</v>
      </c>
      <c r="E20" s="813" t="s">
        <v>456</v>
      </c>
      <c r="F20" s="814"/>
      <c r="G20" s="817">
        <v>0.04</v>
      </c>
      <c r="H20" s="817">
        <v>0.04</v>
      </c>
      <c r="I20" s="817">
        <v>0.04</v>
      </c>
      <c r="J20" s="817">
        <v>0.04</v>
      </c>
      <c r="K20" s="817">
        <v>0.04</v>
      </c>
      <c r="L20" s="817">
        <v>0.04</v>
      </c>
      <c r="M20" s="817">
        <v>0.04</v>
      </c>
      <c r="N20" s="817">
        <v>0.04</v>
      </c>
      <c r="O20" s="817">
        <v>0.04</v>
      </c>
      <c r="P20" s="817">
        <v>0.04</v>
      </c>
      <c r="Q20" s="817">
        <v>0.04</v>
      </c>
      <c r="R20" s="817">
        <v>0.04</v>
      </c>
      <c r="S20" s="817">
        <v>0.04</v>
      </c>
      <c r="T20" s="817">
        <v>0.04</v>
      </c>
      <c r="U20" s="817">
        <v>0.04</v>
      </c>
      <c r="V20" s="817">
        <v>0.04</v>
      </c>
      <c r="W20" s="817">
        <v>0.04</v>
      </c>
      <c r="X20" s="817">
        <v>0.04</v>
      </c>
      <c r="Y20" s="817">
        <v>0.04</v>
      </c>
      <c r="Z20" s="817">
        <v>0.04</v>
      </c>
    </row>
    <row r="21" spans="1:26" s="816" customFormat="1" ht="20.25" customHeight="1" x14ac:dyDescent="0.25">
      <c r="A21" s="811">
        <v>15</v>
      </c>
      <c r="B21" s="811" t="s">
        <v>460</v>
      </c>
      <c r="C21" s="812" t="s">
        <v>619</v>
      </c>
      <c r="D21" s="813"/>
      <c r="E21" s="813"/>
      <c r="F21" s="814"/>
      <c r="G21" s="817"/>
      <c r="H21" s="818">
        <v>1.23</v>
      </c>
      <c r="I21" s="817"/>
      <c r="J21" s="818">
        <v>1.23</v>
      </c>
      <c r="K21" s="817"/>
      <c r="L21" s="818">
        <v>1.23</v>
      </c>
      <c r="M21" s="817"/>
      <c r="N21" s="818">
        <v>1.23</v>
      </c>
      <c r="O21" s="817"/>
      <c r="P21" s="818">
        <v>1.23</v>
      </c>
      <c r="Q21" s="817"/>
      <c r="R21" s="818">
        <v>1.23</v>
      </c>
      <c r="S21" s="817"/>
      <c r="T21" s="818">
        <v>1.23</v>
      </c>
      <c r="U21" s="817"/>
      <c r="V21" s="818">
        <v>1.23</v>
      </c>
      <c r="W21" s="817"/>
      <c r="X21" s="818">
        <v>1.23</v>
      </c>
      <c r="Y21" s="817"/>
      <c r="Z21" s="818">
        <v>1.23</v>
      </c>
    </row>
    <row r="22" spans="1:26" s="810" customFormat="1" ht="45" x14ac:dyDescent="0.2">
      <c r="A22" s="806">
        <v>15</v>
      </c>
      <c r="B22" s="806" t="s">
        <v>460</v>
      </c>
      <c r="C22" s="807" t="s">
        <v>3800</v>
      </c>
      <c r="D22" s="808"/>
      <c r="E22" s="808"/>
      <c r="F22" s="808"/>
      <c r="G22" s="809">
        <v>1900000</v>
      </c>
      <c r="H22" s="809">
        <v>1900000</v>
      </c>
      <c r="I22" s="809">
        <v>1900000</v>
      </c>
      <c r="J22" s="809">
        <v>1900000</v>
      </c>
      <c r="K22" s="809">
        <v>1900000</v>
      </c>
      <c r="L22" s="809">
        <v>1900000</v>
      </c>
      <c r="M22" s="809">
        <v>1900000</v>
      </c>
      <c r="N22" s="809">
        <v>1900000</v>
      </c>
      <c r="O22" s="809">
        <v>1900000</v>
      </c>
      <c r="P22" s="809">
        <v>1900000</v>
      </c>
      <c r="Q22" s="809">
        <v>1900000</v>
      </c>
      <c r="R22" s="809">
        <v>1900000</v>
      </c>
      <c r="S22" s="809">
        <v>1900000</v>
      </c>
      <c r="T22" s="809">
        <v>1900000</v>
      </c>
      <c r="U22" s="809">
        <v>1900000</v>
      </c>
      <c r="V22" s="809">
        <v>1900000</v>
      </c>
      <c r="W22" s="809">
        <v>1900000</v>
      </c>
      <c r="X22" s="809">
        <v>1900000</v>
      </c>
      <c r="Y22" s="809">
        <v>1900000</v>
      </c>
      <c r="Z22" s="809">
        <v>1900000</v>
      </c>
    </row>
    <row r="23" spans="1:26" s="791" customFormat="1" ht="14.25" x14ac:dyDescent="0.2">
      <c r="A23" s="819"/>
      <c r="B23" s="819"/>
      <c r="C23" s="820" t="s">
        <v>1414</v>
      </c>
      <c r="D23" s="821"/>
      <c r="E23" s="821"/>
      <c r="F23" s="822"/>
      <c r="G23" s="823"/>
      <c r="H23" s="824"/>
      <c r="I23" s="823"/>
      <c r="J23" s="824"/>
      <c r="K23" s="823"/>
      <c r="L23" s="824"/>
      <c r="M23" s="823"/>
      <c r="N23" s="824"/>
      <c r="O23" s="823"/>
      <c r="P23" s="824"/>
      <c r="Q23" s="823"/>
      <c r="R23" s="824"/>
      <c r="S23" s="823"/>
      <c r="T23" s="824"/>
      <c r="U23" s="823"/>
      <c r="V23" s="824"/>
      <c r="W23" s="823"/>
      <c r="X23" s="824"/>
      <c r="Y23" s="823"/>
      <c r="Z23" s="824"/>
    </row>
    <row r="24" spans="1:26" s="791" customFormat="1" ht="15" x14ac:dyDescent="0.25">
      <c r="A24" s="786">
        <v>1</v>
      </c>
      <c r="B24" s="786" t="s">
        <v>1415</v>
      </c>
      <c r="C24" s="787" t="s">
        <v>1416</v>
      </c>
      <c r="D24" s="788"/>
      <c r="E24" s="788"/>
      <c r="F24" s="789"/>
      <c r="G24" s="790">
        <v>1150000</v>
      </c>
      <c r="H24" s="790">
        <v>1150000</v>
      </c>
      <c r="I24" s="790">
        <v>1150000</v>
      </c>
      <c r="J24" s="790">
        <v>1150000</v>
      </c>
      <c r="K24" s="790">
        <v>1150000</v>
      </c>
      <c r="L24" s="790">
        <v>1150000</v>
      </c>
      <c r="M24" s="790">
        <v>1150000</v>
      </c>
      <c r="N24" s="790">
        <v>1150000</v>
      </c>
      <c r="O24" s="790">
        <v>1150000</v>
      </c>
      <c r="P24" s="790">
        <v>1150000</v>
      </c>
      <c r="Q24" s="790">
        <v>1150000</v>
      </c>
      <c r="R24" s="790">
        <v>1150000</v>
      </c>
      <c r="S24" s="790">
        <v>1150000</v>
      </c>
      <c r="T24" s="790">
        <v>1150000</v>
      </c>
      <c r="U24" s="790">
        <v>1150000</v>
      </c>
      <c r="V24" s="790">
        <v>1150000</v>
      </c>
      <c r="W24" s="790">
        <v>1150000</v>
      </c>
      <c r="X24" s="790">
        <v>1150000</v>
      </c>
      <c r="Y24" s="790">
        <v>1150000</v>
      </c>
      <c r="Z24" s="790">
        <v>1150000</v>
      </c>
    </row>
    <row r="25" spans="1:26" s="791" customFormat="1" ht="15" x14ac:dyDescent="0.25">
      <c r="A25" s="786">
        <v>2</v>
      </c>
      <c r="B25" s="786" t="s">
        <v>1417</v>
      </c>
      <c r="C25" s="787" t="s">
        <v>453</v>
      </c>
      <c r="D25" s="788"/>
      <c r="E25" s="788"/>
      <c r="F25" s="789"/>
      <c r="G25" s="792">
        <v>0</v>
      </c>
      <c r="H25" s="792">
        <v>0</v>
      </c>
      <c r="I25" s="792">
        <v>0</v>
      </c>
      <c r="J25" s="792">
        <v>0</v>
      </c>
      <c r="K25" s="792">
        <v>0</v>
      </c>
      <c r="L25" s="792">
        <v>0</v>
      </c>
      <c r="M25" s="792">
        <v>0</v>
      </c>
      <c r="N25" s="792">
        <v>0</v>
      </c>
      <c r="O25" s="792">
        <v>0</v>
      </c>
      <c r="P25" s="792">
        <v>0</v>
      </c>
      <c r="Q25" s="792">
        <v>0</v>
      </c>
      <c r="R25" s="792">
        <v>0</v>
      </c>
      <c r="S25" s="792">
        <v>0</v>
      </c>
      <c r="T25" s="792">
        <v>0</v>
      </c>
      <c r="U25" s="792">
        <v>0</v>
      </c>
      <c r="V25" s="792">
        <v>0</v>
      </c>
      <c r="W25" s="792">
        <v>0</v>
      </c>
      <c r="X25" s="792">
        <v>0</v>
      </c>
      <c r="Y25" s="792">
        <v>0</v>
      </c>
      <c r="Z25" s="792">
        <v>0</v>
      </c>
    </row>
    <row r="26" spans="1:26" s="791" customFormat="1" ht="15" x14ac:dyDescent="0.25">
      <c r="A26" s="786">
        <v>3</v>
      </c>
      <c r="B26" s="786" t="s">
        <v>1418</v>
      </c>
      <c r="C26" s="787" t="s">
        <v>449</v>
      </c>
      <c r="D26" s="788"/>
      <c r="E26" s="788"/>
      <c r="F26" s="789"/>
      <c r="G26" s="792">
        <v>0</v>
      </c>
      <c r="H26" s="792">
        <v>0</v>
      </c>
      <c r="I26" s="792">
        <v>0</v>
      </c>
      <c r="J26" s="792">
        <v>0</v>
      </c>
      <c r="K26" s="792">
        <v>0</v>
      </c>
      <c r="L26" s="792">
        <v>0</v>
      </c>
      <c r="M26" s="792">
        <v>0</v>
      </c>
      <c r="N26" s="792">
        <v>0</v>
      </c>
      <c r="O26" s="792">
        <v>0</v>
      </c>
      <c r="P26" s="792">
        <v>0</v>
      </c>
      <c r="Q26" s="792">
        <v>0</v>
      </c>
      <c r="R26" s="792">
        <v>0</v>
      </c>
      <c r="S26" s="792">
        <v>0</v>
      </c>
      <c r="T26" s="792">
        <v>0</v>
      </c>
      <c r="U26" s="792">
        <v>0</v>
      </c>
      <c r="V26" s="792">
        <v>0</v>
      </c>
      <c r="W26" s="792">
        <v>0</v>
      </c>
      <c r="X26" s="792">
        <v>0</v>
      </c>
      <c r="Y26" s="792">
        <v>0</v>
      </c>
      <c r="Z26" s="792">
        <v>0</v>
      </c>
    </row>
    <row r="27" spans="1:26" s="791" customFormat="1" ht="15" x14ac:dyDescent="0.25">
      <c r="A27" s="786">
        <v>4</v>
      </c>
      <c r="B27" s="786" t="s">
        <v>1419</v>
      </c>
      <c r="C27" s="787" t="s">
        <v>447</v>
      </c>
      <c r="D27" s="788"/>
      <c r="E27" s="788"/>
      <c r="F27" s="789"/>
      <c r="G27" s="792">
        <v>0</v>
      </c>
      <c r="H27" s="792">
        <v>0</v>
      </c>
      <c r="I27" s="792">
        <v>0</v>
      </c>
      <c r="J27" s="792">
        <v>0</v>
      </c>
      <c r="K27" s="792">
        <v>0</v>
      </c>
      <c r="L27" s="792">
        <v>0</v>
      </c>
      <c r="M27" s="792">
        <v>0</v>
      </c>
      <c r="N27" s="792">
        <v>0</v>
      </c>
      <c r="O27" s="792">
        <v>0</v>
      </c>
      <c r="P27" s="792">
        <v>0</v>
      </c>
      <c r="Q27" s="792">
        <v>0</v>
      </c>
      <c r="R27" s="792">
        <v>0</v>
      </c>
      <c r="S27" s="792">
        <v>0</v>
      </c>
      <c r="T27" s="792">
        <v>0</v>
      </c>
      <c r="U27" s="792">
        <v>0</v>
      </c>
      <c r="V27" s="792">
        <v>0</v>
      </c>
      <c r="W27" s="792">
        <v>0</v>
      </c>
      <c r="X27" s="792">
        <v>0</v>
      </c>
      <c r="Y27" s="792">
        <v>0</v>
      </c>
      <c r="Z27" s="792">
        <v>0</v>
      </c>
    </row>
    <row r="28" spans="1:26" s="791" customFormat="1" ht="15" x14ac:dyDescent="0.25">
      <c r="A28" s="786">
        <v>5</v>
      </c>
      <c r="B28" s="786" t="s">
        <v>1420</v>
      </c>
      <c r="C28" s="787" t="s">
        <v>451</v>
      </c>
      <c r="D28" s="788"/>
      <c r="E28" s="788"/>
      <c r="F28" s="789"/>
      <c r="G28" s="792">
        <v>0</v>
      </c>
      <c r="H28" s="792">
        <v>0</v>
      </c>
      <c r="I28" s="792">
        <v>0</v>
      </c>
      <c r="J28" s="792">
        <v>0</v>
      </c>
      <c r="K28" s="792">
        <v>0</v>
      </c>
      <c r="L28" s="792">
        <v>0</v>
      </c>
      <c r="M28" s="792">
        <v>0</v>
      </c>
      <c r="N28" s="792">
        <v>0</v>
      </c>
      <c r="O28" s="792">
        <v>0</v>
      </c>
      <c r="P28" s="792">
        <v>0</v>
      </c>
      <c r="Q28" s="792">
        <v>0</v>
      </c>
      <c r="R28" s="792">
        <v>0</v>
      </c>
      <c r="S28" s="792">
        <v>0</v>
      </c>
      <c r="T28" s="792">
        <v>0</v>
      </c>
      <c r="U28" s="792">
        <v>0</v>
      </c>
      <c r="V28" s="792">
        <v>0</v>
      </c>
      <c r="W28" s="792">
        <v>0</v>
      </c>
      <c r="X28" s="792">
        <v>0</v>
      </c>
      <c r="Y28" s="792">
        <v>0</v>
      </c>
      <c r="Z28" s="792">
        <v>0</v>
      </c>
    </row>
    <row r="29" spans="1:26" s="791" customFormat="1" ht="15" x14ac:dyDescent="0.25">
      <c r="A29" s="793">
        <v>6</v>
      </c>
      <c r="B29" s="793" t="s">
        <v>1421</v>
      </c>
      <c r="C29" s="794" t="s">
        <v>455</v>
      </c>
      <c r="D29" s="795"/>
      <c r="E29" s="795"/>
      <c r="F29" s="796"/>
      <c r="G29" s="797">
        <v>0</v>
      </c>
      <c r="H29" s="797">
        <v>0</v>
      </c>
      <c r="I29" s="797">
        <v>0</v>
      </c>
      <c r="J29" s="797">
        <v>0</v>
      </c>
      <c r="K29" s="797">
        <v>0</v>
      </c>
      <c r="L29" s="797">
        <v>0</v>
      </c>
      <c r="M29" s="797">
        <v>0</v>
      </c>
      <c r="N29" s="797">
        <v>0</v>
      </c>
      <c r="O29" s="797">
        <v>0</v>
      </c>
      <c r="P29" s="797">
        <v>0</v>
      </c>
      <c r="Q29" s="797">
        <v>0</v>
      </c>
      <c r="R29" s="797">
        <v>0</v>
      </c>
      <c r="S29" s="797">
        <v>0</v>
      </c>
      <c r="T29" s="797">
        <v>0</v>
      </c>
      <c r="U29" s="797">
        <v>0</v>
      </c>
      <c r="V29" s="797">
        <v>0</v>
      </c>
      <c r="W29" s="797">
        <v>0</v>
      </c>
      <c r="X29" s="797">
        <v>0</v>
      </c>
      <c r="Y29" s="797">
        <v>0</v>
      </c>
      <c r="Z29" s="797">
        <v>0</v>
      </c>
    </row>
    <row r="30" spans="1:26" s="791" customFormat="1" ht="15" x14ac:dyDescent="0.25">
      <c r="A30" s="798">
        <v>7</v>
      </c>
      <c r="B30" s="798" t="s">
        <v>1422</v>
      </c>
      <c r="C30" s="799" t="s">
        <v>1423</v>
      </c>
      <c r="D30" s="800"/>
      <c r="E30" s="800"/>
      <c r="F30" s="801"/>
      <c r="G30" s="802">
        <v>0</v>
      </c>
      <c r="H30" s="802">
        <v>0</v>
      </c>
      <c r="I30" s="802">
        <v>0</v>
      </c>
      <c r="J30" s="802">
        <v>0</v>
      </c>
      <c r="K30" s="802">
        <v>0</v>
      </c>
      <c r="L30" s="802">
        <v>0</v>
      </c>
      <c r="M30" s="802">
        <v>0</v>
      </c>
      <c r="N30" s="802">
        <v>0</v>
      </c>
      <c r="O30" s="802">
        <v>0</v>
      </c>
      <c r="P30" s="802">
        <v>0</v>
      </c>
      <c r="Q30" s="802">
        <v>0</v>
      </c>
      <c r="R30" s="802">
        <v>0</v>
      </c>
      <c r="S30" s="802">
        <v>0</v>
      </c>
      <c r="T30" s="802">
        <v>0</v>
      </c>
      <c r="U30" s="802">
        <v>0</v>
      </c>
      <c r="V30" s="802">
        <v>0</v>
      </c>
      <c r="W30" s="802">
        <v>0</v>
      </c>
      <c r="X30" s="802">
        <v>0</v>
      </c>
      <c r="Y30" s="802">
        <v>0</v>
      </c>
      <c r="Z30" s="802">
        <v>0</v>
      </c>
    </row>
    <row r="31" spans="1:26" s="791" customFormat="1" ht="15" x14ac:dyDescent="0.25">
      <c r="A31" s="786">
        <v>8</v>
      </c>
      <c r="B31" s="786" t="s">
        <v>1424</v>
      </c>
      <c r="C31" s="787" t="s">
        <v>458</v>
      </c>
      <c r="D31" s="788"/>
      <c r="E31" s="788"/>
      <c r="F31" s="789"/>
      <c r="G31" s="792">
        <v>0</v>
      </c>
      <c r="H31" s="792">
        <v>0</v>
      </c>
      <c r="I31" s="792">
        <v>0</v>
      </c>
      <c r="J31" s="792">
        <v>0</v>
      </c>
      <c r="K31" s="792">
        <v>0</v>
      </c>
      <c r="L31" s="792">
        <v>0</v>
      </c>
      <c r="M31" s="792">
        <v>0</v>
      </c>
      <c r="N31" s="792">
        <v>0</v>
      </c>
      <c r="O31" s="792">
        <v>0</v>
      </c>
      <c r="P31" s="792">
        <v>0</v>
      </c>
      <c r="Q31" s="792">
        <v>0</v>
      </c>
      <c r="R31" s="792">
        <v>0</v>
      </c>
      <c r="S31" s="792">
        <v>0</v>
      </c>
      <c r="T31" s="792">
        <v>0</v>
      </c>
      <c r="U31" s="792">
        <v>0</v>
      </c>
      <c r="V31" s="792">
        <v>0</v>
      </c>
      <c r="W31" s="792">
        <v>0</v>
      </c>
      <c r="X31" s="792">
        <v>0</v>
      </c>
      <c r="Y31" s="792">
        <v>0</v>
      </c>
      <c r="Z31" s="792">
        <v>0</v>
      </c>
    </row>
    <row r="32" spans="1:26" s="791" customFormat="1" ht="15" x14ac:dyDescent="0.25">
      <c r="A32" s="786">
        <v>9</v>
      </c>
      <c r="B32" s="786" t="s">
        <v>1425</v>
      </c>
      <c r="C32" s="787" t="s">
        <v>1426</v>
      </c>
      <c r="D32" s="788"/>
      <c r="E32" s="788"/>
      <c r="F32" s="789"/>
      <c r="G32" s="792">
        <v>0</v>
      </c>
      <c r="H32" s="792">
        <v>0</v>
      </c>
      <c r="I32" s="792">
        <v>0</v>
      </c>
      <c r="J32" s="792">
        <v>0</v>
      </c>
      <c r="K32" s="792">
        <v>0</v>
      </c>
      <c r="L32" s="792">
        <v>0</v>
      </c>
      <c r="M32" s="792">
        <v>0</v>
      </c>
      <c r="N32" s="792">
        <v>0</v>
      </c>
      <c r="O32" s="792">
        <v>0</v>
      </c>
      <c r="P32" s="792">
        <v>0</v>
      </c>
      <c r="Q32" s="792">
        <v>0</v>
      </c>
      <c r="R32" s="792">
        <v>0</v>
      </c>
      <c r="S32" s="792">
        <v>0</v>
      </c>
      <c r="T32" s="792">
        <v>0</v>
      </c>
      <c r="U32" s="792">
        <v>0</v>
      </c>
      <c r="V32" s="792">
        <v>0</v>
      </c>
      <c r="W32" s="792">
        <v>0</v>
      </c>
      <c r="X32" s="792">
        <v>0</v>
      </c>
      <c r="Y32" s="792">
        <v>0</v>
      </c>
      <c r="Z32" s="792">
        <v>0</v>
      </c>
    </row>
    <row r="33" spans="1:26" s="791" customFormat="1" ht="15" x14ac:dyDescent="0.2">
      <c r="A33" s="786">
        <v>10</v>
      </c>
      <c r="B33" s="803"/>
      <c r="C33" s="803" t="s">
        <v>1470</v>
      </c>
      <c r="D33" s="803"/>
      <c r="E33" s="803"/>
      <c r="F33" s="803"/>
      <c r="G33" s="803"/>
      <c r="H33" s="803"/>
      <c r="I33" s="803"/>
      <c r="J33" s="803"/>
      <c r="K33" s="803"/>
      <c r="L33" s="803"/>
      <c r="M33" s="803"/>
      <c r="N33" s="803"/>
      <c r="O33" s="803"/>
      <c r="P33" s="803"/>
      <c r="Q33" s="803"/>
      <c r="R33" s="803"/>
      <c r="S33" s="803"/>
      <c r="T33" s="803"/>
      <c r="U33" s="803"/>
      <c r="V33" s="803"/>
      <c r="W33" s="803"/>
      <c r="X33" s="803"/>
      <c r="Y33" s="803"/>
      <c r="Z33" s="803"/>
    </row>
    <row r="34" spans="1:26" s="791" customFormat="1" ht="15" x14ac:dyDescent="0.2">
      <c r="A34" s="804">
        <v>11</v>
      </c>
      <c r="B34" s="805"/>
      <c r="C34" s="805" t="s">
        <v>1471</v>
      </c>
      <c r="D34" s="805"/>
      <c r="E34" s="805"/>
      <c r="F34" s="805"/>
      <c r="G34" s="805"/>
      <c r="H34" s="805"/>
      <c r="I34" s="805"/>
      <c r="J34" s="805"/>
      <c r="K34" s="805"/>
      <c r="L34" s="805"/>
      <c r="M34" s="805"/>
      <c r="N34" s="805"/>
      <c r="O34" s="805"/>
      <c r="P34" s="805"/>
      <c r="Q34" s="805"/>
      <c r="R34" s="805"/>
      <c r="S34" s="805"/>
      <c r="T34" s="805"/>
      <c r="U34" s="805"/>
      <c r="V34" s="805"/>
      <c r="W34" s="805"/>
      <c r="X34" s="805"/>
      <c r="Y34" s="805"/>
      <c r="Z34" s="805"/>
    </row>
  </sheetData>
  <protectedRanges>
    <protectedRange sqref="D7:D9" name="Range1_1_2"/>
    <protectedRange sqref="H7:H10 E7:E10 J7:J10 L7:L10 N7:N10 P7:P10 R7:R10 T7:T10 V7:V10 X7:X10 Z7:Z10" name="Range1_1_1_1"/>
    <protectedRange sqref="C11:D21 C22" name="Range1_1_2_2"/>
    <protectedRange sqref="H11 G12:Z22 J11 L11 N11 P11 R11 T11 V11 X11 Z11 E11:E21" name="Range1_1_1_1_2"/>
  </protectedRanges>
  <phoneticPr fontId="2" type="noConversion"/>
  <dataValidations count="1">
    <dataValidation allowBlank="1" showErrorMessage="1" promptTitle="Chú ý về dữ liệu đầu vào:" prompt="Bạn phải nhập dữ liệu đầu vào ở vùng bôi màu vàng, cả cột GỐC và cột THỰC TẾ !!!" sqref="G7:Z22"/>
  </dataValidations>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PTBCM"/>
  <dimension ref="A1:L6"/>
  <sheetViews>
    <sheetView showGridLines="0" workbookViewId="0">
      <selection activeCell="D17" sqref="D17"/>
    </sheetView>
  </sheetViews>
  <sheetFormatPr defaultRowHeight="12.75" x14ac:dyDescent="0.2"/>
  <cols>
    <col min="1" max="1" width="3.7109375" bestFit="1" customWidth="1"/>
    <col min="2" max="2" width="11.28515625" customWidth="1"/>
    <col min="3" max="3" width="18.7109375" hidden="1" customWidth="1"/>
    <col min="4" max="4" width="32.28515625" customWidth="1"/>
    <col min="5" max="5" width="4.7109375" style="141" bestFit="1" customWidth="1"/>
    <col min="6" max="6" width="9.28515625" style="142" bestFit="1" customWidth="1"/>
    <col min="7" max="7" width="9.5703125" style="142" bestFit="1" customWidth="1"/>
    <col min="8" max="8" width="6" style="142" bestFit="1" customWidth="1"/>
    <col min="9" max="9" width="7.28515625" style="142" customWidth="1"/>
    <col min="10" max="10" width="5.85546875" style="142" bestFit="1" customWidth="1"/>
    <col min="11" max="11" width="6.7109375" style="143" customWidth="1"/>
    <col min="12" max="12" width="7.85546875" style="143" bestFit="1" customWidth="1"/>
  </cols>
  <sheetData>
    <row r="1" spans="1:12" ht="20.25" x14ac:dyDescent="0.3">
      <c r="A1" s="41" t="s">
        <v>557</v>
      </c>
      <c r="B1" s="96"/>
      <c r="C1" s="96"/>
      <c r="D1" s="96"/>
      <c r="E1" s="96"/>
      <c r="F1" s="138"/>
      <c r="G1" s="138"/>
      <c r="H1" s="96"/>
      <c r="I1" s="138"/>
      <c r="J1" s="96"/>
      <c r="K1" s="96"/>
      <c r="L1" s="139"/>
    </row>
    <row r="2" spans="1:12" ht="15.75" x14ac:dyDescent="0.25">
      <c r="A2" s="8" t="str">
        <f>"CÔNG TRÌNH : "&amp;'Bia du toan'!$G$12</f>
        <v>CÔNG TRÌNH : TRƯỜNG CAO ĐẲNG LÝ TỰ TRỌNG</v>
      </c>
      <c r="B2" s="96"/>
      <c r="C2" s="96"/>
      <c r="D2" s="96"/>
      <c r="E2" s="96"/>
      <c r="F2" s="138"/>
      <c r="G2" s="138"/>
      <c r="H2" s="96"/>
      <c r="I2" s="138"/>
      <c r="J2" s="96"/>
      <c r="K2" s="96"/>
      <c r="L2" s="139"/>
    </row>
    <row r="3" spans="1:12" ht="15.75" x14ac:dyDescent="0.25">
      <c r="A3" s="8" t="str">
        <f>"HẠNG MỤC : "&amp; 'Bia du toan'!$G$13</f>
        <v>HẠNG MỤC : CẢI TẠO THƯ VIỆN GIAI ĐOẠN 2 - NĂM 2019</v>
      </c>
      <c r="B3" s="96"/>
      <c r="C3" s="96"/>
      <c r="D3" s="96"/>
      <c r="E3" s="96"/>
      <c r="F3" s="138"/>
      <c r="G3" s="138"/>
      <c r="H3" s="96"/>
      <c r="I3" s="138"/>
      <c r="J3" s="96"/>
      <c r="K3" s="96"/>
      <c r="L3" s="139"/>
    </row>
    <row r="4" spans="1:12" ht="15" x14ac:dyDescent="0.25">
      <c r="A4" s="96"/>
      <c r="B4" s="96"/>
      <c r="C4" s="96"/>
      <c r="D4" s="96"/>
      <c r="E4" s="96"/>
      <c r="F4" s="138"/>
      <c r="G4" s="138"/>
      <c r="H4" s="96"/>
      <c r="I4" s="138"/>
      <c r="J4" s="96"/>
      <c r="K4" s="96"/>
      <c r="L4" s="139"/>
    </row>
    <row r="5" spans="1:12" s="780" customFormat="1" x14ac:dyDescent="0.2">
      <c r="A5" s="1781" t="s">
        <v>15</v>
      </c>
      <c r="B5" s="1752" t="s">
        <v>234</v>
      </c>
      <c r="C5" s="1781" t="s">
        <v>256</v>
      </c>
      <c r="D5" s="1781" t="s">
        <v>257</v>
      </c>
      <c r="E5" s="1753" t="s">
        <v>3347</v>
      </c>
      <c r="F5" s="1860" t="s">
        <v>237</v>
      </c>
      <c r="G5" s="1860"/>
      <c r="H5" s="1860"/>
      <c r="I5" s="1860"/>
      <c r="J5" s="1860"/>
      <c r="K5" s="169" t="s">
        <v>558</v>
      </c>
      <c r="L5" s="170" t="s">
        <v>383</v>
      </c>
    </row>
    <row r="6" spans="1:12" s="780" customFormat="1" x14ac:dyDescent="0.2">
      <c r="A6" s="1781"/>
      <c r="B6" s="1861"/>
      <c r="C6" s="1781"/>
      <c r="D6" s="1781"/>
      <c r="E6" s="1781"/>
      <c r="F6" s="735" t="s">
        <v>261</v>
      </c>
      <c r="G6" s="735" t="s">
        <v>233</v>
      </c>
      <c r="H6" s="733" t="s">
        <v>241</v>
      </c>
      <c r="I6" s="735" t="s">
        <v>483</v>
      </c>
      <c r="J6" s="735" t="s">
        <v>262</v>
      </c>
      <c r="K6" s="171" t="s">
        <v>559</v>
      </c>
      <c r="L6" s="172" t="s">
        <v>385</v>
      </c>
    </row>
  </sheetData>
  <mergeCells count="6">
    <mergeCell ref="F5:J5"/>
    <mergeCell ref="A5:A6"/>
    <mergeCell ref="C5:C6"/>
    <mergeCell ref="D5:D6"/>
    <mergeCell ref="E5:E6"/>
    <mergeCell ref="B5:B6"/>
  </mergeCells>
  <phoneticPr fontId="0" type="noConversion"/>
  <pageMargins left="0.55118110236220497" right="0.196850393700787" top="0.43307086614173201" bottom="0.59055118110236204" header="0.15748031496063" footer="0.23622047244094499"/>
  <pageSetup paperSize="9" scale="90" orientation="portrait" r:id="rId1"/>
  <headerFooter alignWithMargins="0">
    <oddHeader>&amp;L&amp;"Times New Roman,Bold Italic"&amp;9Dự toán Bắc Nam  - ÐT: 0966.966.455</oddHeader>
    <oddFooter>&amp;R&amp;9Trang &amp;P/&amp;N</odd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LuongCN"/>
  <dimension ref="A1:S938"/>
  <sheetViews>
    <sheetView showGridLines="0" showZeros="0" zoomScale="130" zoomScaleNormal="130" workbookViewId="0">
      <selection activeCell="C10" sqref="C10"/>
    </sheetView>
  </sheetViews>
  <sheetFormatPr defaultRowHeight="12.75" x14ac:dyDescent="0.2"/>
  <cols>
    <col min="3" max="3" width="52.85546875" customWidth="1"/>
    <col min="6" max="6" width="15.42578125" customWidth="1"/>
    <col min="10" max="10" width="22.140625" customWidth="1"/>
    <col min="13" max="13" width="12.7109375" customWidth="1"/>
    <col min="14" max="14" width="7.42578125" customWidth="1"/>
    <col min="15" max="15" width="23.28515625" customWidth="1"/>
    <col min="16" max="16" width="7.7109375" customWidth="1"/>
  </cols>
  <sheetData>
    <row r="1" spans="1:19" x14ac:dyDescent="0.2">
      <c r="A1" t="s">
        <v>1530</v>
      </c>
    </row>
    <row r="2" spans="1:19" x14ac:dyDescent="0.2">
      <c r="B2" t="s">
        <v>335</v>
      </c>
      <c r="C2" t="s">
        <v>1531</v>
      </c>
      <c r="D2" t="s">
        <v>350</v>
      </c>
      <c r="E2" t="s">
        <v>1532</v>
      </c>
      <c r="H2" t="s">
        <v>1533</v>
      </c>
      <c r="L2" t="s">
        <v>1534</v>
      </c>
      <c r="O2" t="s">
        <v>1535</v>
      </c>
    </row>
    <row r="3" spans="1:19" x14ac:dyDescent="0.2">
      <c r="C3" t="s">
        <v>387</v>
      </c>
      <c r="L3" t="s">
        <v>387</v>
      </c>
      <c r="O3" t="s">
        <v>387</v>
      </c>
    </row>
    <row r="4" spans="1:19" x14ac:dyDescent="0.2">
      <c r="B4" t="s">
        <v>1536</v>
      </c>
      <c r="C4" t="s">
        <v>725</v>
      </c>
      <c r="D4">
        <v>1.55</v>
      </c>
      <c r="E4" t="s">
        <v>1537</v>
      </c>
      <c r="F4" t="s">
        <v>1538</v>
      </c>
      <c r="G4">
        <v>1.55</v>
      </c>
      <c r="H4" t="s">
        <v>726</v>
      </c>
      <c r="I4" t="s">
        <v>1539</v>
      </c>
      <c r="J4">
        <v>1.55</v>
      </c>
      <c r="K4" t="s">
        <v>1540</v>
      </c>
      <c r="L4" t="s">
        <v>1541</v>
      </c>
      <c r="M4" t="s">
        <v>1542</v>
      </c>
      <c r="N4" t="s">
        <v>1543</v>
      </c>
      <c r="O4" t="s">
        <v>1544</v>
      </c>
      <c r="P4">
        <v>1.55</v>
      </c>
    </row>
    <row r="5" spans="1:19" x14ac:dyDescent="0.2">
      <c r="B5" t="s">
        <v>1545</v>
      </c>
      <c r="C5" t="s">
        <v>727</v>
      </c>
      <c r="D5">
        <v>1.83</v>
      </c>
      <c r="E5" t="s">
        <v>1546</v>
      </c>
      <c r="F5" t="s">
        <v>1547</v>
      </c>
      <c r="G5">
        <v>1.83</v>
      </c>
      <c r="H5" t="s">
        <v>728</v>
      </c>
      <c r="I5" t="s">
        <v>1548</v>
      </c>
      <c r="J5">
        <v>1.83</v>
      </c>
      <c r="K5" t="s">
        <v>1549</v>
      </c>
      <c r="L5" t="s">
        <v>1550</v>
      </c>
      <c r="M5" t="s">
        <v>1551</v>
      </c>
      <c r="N5" t="s">
        <v>1552</v>
      </c>
      <c r="O5" t="s">
        <v>1553</v>
      </c>
      <c r="P5">
        <v>1.83</v>
      </c>
    </row>
    <row r="6" spans="1:19" x14ac:dyDescent="0.2">
      <c r="B6" t="s">
        <v>1554</v>
      </c>
      <c r="C6" t="s">
        <v>729</v>
      </c>
      <c r="D6">
        <v>1.9950000000000001</v>
      </c>
      <c r="E6" t="s">
        <v>1555</v>
      </c>
      <c r="F6" t="s">
        <v>1556</v>
      </c>
      <c r="G6">
        <v>1.9950000000000001</v>
      </c>
      <c r="H6" t="s">
        <v>730</v>
      </c>
      <c r="I6" t="s">
        <v>1557</v>
      </c>
      <c r="J6">
        <v>1.9950000000000001</v>
      </c>
      <c r="K6" t="s">
        <v>1558</v>
      </c>
      <c r="L6" t="s">
        <v>1559</v>
      </c>
      <c r="M6">
        <v>1.9950000000000001</v>
      </c>
      <c r="N6" t="s">
        <v>1560</v>
      </c>
      <c r="O6" t="s">
        <v>1561</v>
      </c>
      <c r="P6">
        <v>1.9950000000000001</v>
      </c>
    </row>
    <row r="7" spans="1:19" x14ac:dyDescent="0.2">
      <c r="B7" t="s">
        <v>1562</v>
      </c>
      <c r="C7" t="s">
        <v>731</v>
      </c>
      <c r="D7">
        <v>2.0609999999999999</v>
      </c>
      <c r="E7" t="s">
        <v>1563</v>
      </c>
      <c r="F7" t="s">
        <v>1564</v>
      </c>
      <c r="G7">
        <v>2.0609999999999999</v>
      </c>
      <c r="H7" t="s">
        <v>732</v>
      </c>
      <c r="I7" t="s">
        <v>1565</v>
      </c>
      <c r="J7">
        <v>2.0609999999999999</v>
      </c>
      <c r="K7" t="s">
        <v>1566</v>
      </c>
      <c r="L7" t="s">
        <v>1567</v>
      </c>
      <c r="M7">
        <v>2.0609999999999999</v>
      </c>
      <c r="N7" t="s">
        <v>1568</v>
      </c>
      <c r="O7" t="s">
        <v>1569</v>
      </c>
      <c r="P7">
        <v>2.0609999999999999</v>
      </c>
    </row>
    <row r="8" spans="1:19" x14ac:dyDescent="0.2">
      <c r="B8" t="s">
        <v>1570</v>
      </c>
      <c r="C8" t="s">
        <v>733</v>
      </c>
      <c r="D8">
        <v>2.16</v>
      </c>
      <c r="E8" t="s">
        <v>1571</v>
      </c>
      <c r="F8" t="s">
        <v>1572</v>
      </c>
      <c r="G8">
        <v>2.16</v>
      </c>
      <c r="H8" t="s">
        <v>734</v>
      </c>
      <c r="I8" t="s">
        <v>1573</v>
      </c>
      <c r="J8">
        <v>2.16</v>
      </c>
      <c r="K8" t="s">
        <v>1574</v>
      </c>
      <c r="L8" t="s">
        <v>1575</v>
      </c>
      <c r="M8" t="s">
        <v>1576</v>
      </c>
      <c r="N8" t="s">
        <v>1577</v>
      </c>
      <c r="O8" t="s">
        <v>1578</v>
      </c>
      <c r="P8">
        <v>2.16</v>
      </c>
    </row>
    <row r="9" spans="1:19" x14ac:dyDescent="0.2">
      <c r="B9" t="s">
        <v>1579</v>
      </c>
      <c r="C9" t="s">
        <v>735</v>
      </c>
      <c r="D9">
        <v>2.238</v>
      </c>
      <c r="E9" t="s">
        <v>1580</v>
      </c>
      <c r="F9" t="s">
        <v>1581</v>
      </c>
      <c r="G9">
        <v>2.238</v>
      </c>
      <c r="H9" t="s">
        <v>736</v>
      </c>
      <c r="I9" t="s">
        <v>1582</v>
      </c>
      <c r="J9">
        <v>2.238</v>
      </c>
      <c r="K9" t="s">
        <v>1583</v>
      </c>
      <c r="L9" t="s">
        <v>1584</v>
      </c>
      <c r="M9">
        <v>2.238</v>
      </c>
      <c r="N9" t="s">
        <v>1585</v>
      </c>
      <c r="O9" t="s">
        <v>1586</v>
      </c>
      <c r="P9">
        <v>2.238</v>
      </c>
    </row>
    <row r="10" spans="1:19" x14ac:dyDescent="0.2">
      <c r="B10" t="s">
        <v>1587</v>
      </c>
      <c r="C10" t="s">
        <v>737</v>
      </c>
      <c r="D10">
        <v>2.2770000000000001</v>
      </c>
      <c r="E10" t="s">
        <v>1588</v>
      </c>
      <c r="F10" t="s">
        <v>1589</v>
      </c>
      <c r="G10">
        <v>2.2770000000000001</v>
      </c>
      <c r="H10" t="s">
        <v>738</v>
      </c>
      <c r="I10" t="s">
        <v>1590</v>
      </c>
      <c r="J10">
        <v>2.2770000000000001</v>
      </c>
      <c r="K10" t="s">
        <v>1591</v>
      </c>
      <c r="L10" t="s">
        <v>1592</v>
      </c>
      <c r="M10">
        <v>2.2770000000000001</v>
      </c>
      <c r="N10" t="s">
        <v>1593</v>
      </c>
      <c r="O10" t="s">
        <v>1594</v>
      </c>
      <c r="P10">
        <v>2.2770000000000001</v>
      </c>
      <c r="S10" s="552"/>
    </row>
    <row r="11" spans="1:19" x14ac:dyDescent="0.2">
      <c r="B11" t="s">
        <v>1595</v>
      </c>
      <c r="C11" t="s">
        <v>739</v>
      </c>
      <c r="D11">
        <v>2.355</v>
      </c>
      <c r="E11" t="s">
        <v>1596</v>
      </c>
      <c r="F11" t="s">
        <v>1597</v>
      </c>
      <c r="G11">
        <v>2.355</v>
      </c>
      <c r="H11" t="s">
        <v>740</v>
      </c>
      <c r="I11" t="s">
        <v>1598</v>
      </c>
      <c r="J11">
        <v>2.355</v>
      </c>
      <c r="K11" t="s">
        <v>1599</v>
      </c>
      <c r="L11" t="s">
        <v>1600</v>
      </c>
      <c r="M11">
        <v>2.355</v>
      </c>
      <c r="N11" t="s">
        <v>1601</v>
      </c>
      <c r="O11" t="s">
        <v>1602</v>
      </c>
      <c r="P11">
        <v>2.355</v>
      </c>
      <c r="S11" s="552"/>
    </row>
    <row r="12" spans="1:19" x14ac:dyDescent="0.2">
      <c r="B12" t="s">
        <v>1603</v>
      </c>
      <c r="C12" t="s">
        <v>741</v>
      </c>
      <c r="D12">
        <v>2.4329999999999998</v>
      </c>
      <c r="E12" t="s">
        <v>1604</v>
      </c>
      <c r="F12" t="s">
        <v>1605</v>
      </c>
      <c r="G12">
        <v>2.4329999999999998</v>
      </c>
      <c r="H12" t="s">
        <v>742</v>
      </c>
      <c r="I12" t="s">
        <v>1606</v>
      </c>
      <c r="J12">
        <v>2.4329999999999998</v>
      </c>
      <c r="K12" t="s">
        <v>1607</v>
      </c>
      <c r="L12" t="s">
        <v>1608</v>
      </c>
      <c r="M12">
        <v>2.4300000000000002</v>
      </c>
      <c r="N12" t="s">
        <v>1609</v>
      </c>
      <c r="O12" t="s">
        <v>1610</v>
      </c>
      <c r="P12">
        <v>2.4329999999999998</v>
      </c>
      <c r="S12" s="552"/>
    </row>
    <row r="13" spans="1:19" x14ac:dyDescent="0.2">
      <c r="B13" t="s">
        <v>1611</v>
      </c>
      <c r="C13" t="s">
        <v>743</v>
      </c>
      <c r="D13">
        <v>2.5499999999999998</v>
      </c>
      <c r="E13" t="s">
        <v>1612</v>
      </c>
      <c r="F13" t="s">
        <v>1613</v>
      </c>
      <c r="G13">
        <v>2.5499999999999998</v>
      </c>
      <c r="H13" t="s">
        <v>744</v>
      </c>
      <c r="I13" t="s">
        <v>1614</v>
      </c>
      <c r="J13">
        <v>2.5499999999999998</v>
      </c>
      <c r="K13" t="s">
        <v>1615</v>
      </c>
      <c r="L13" t="s">
        <v>1616</v>
      </c>
      <c r="M13" t="s">
        <v>1617</v>
      </c>
      <c r="N13" t="s">
        <v>1618</v>
      </c>
      <c r="O13" t="s">
        <v>1619</v>
      </c>
      <c r="P13">
        <v>2.5499999999999998</v>
      </c>
      <c r="S13" s="552"/>
    </row>
    <row r="14" spans="1:19" x14ac:dyDescent="0.2">
      <c r="B14" t="s">
        <v>1620</v>
      </c>
      <c r="C14" t="s">
        <v>745</v>
      </c>
      <c r="D14">
        <v>2.6419999999999999</v>
      </c>
      <c r="E14" t="s">
        <v>1621</v>
      </c>
      <c r="F14" t="s">
        <v>1622</v>
      </c>
      <c r="G14">
        <v>2.6419999999999999</v>
      </c>
      <c r="H14" t="s">
        <v>746</v>
      </c>
      <c r="I14" t="s">
        <v>1623</v>
      </c>
      <c r="J14">
        <v>2.6419999999999999</v>
      </c>
      <c r="K14" t="s">
        <v>1624</v>
      </c>
      <c r="L14" t="s">
        <v>1625</v>
      </c>
      <c r="M14">
        <v>2.6419999999999999</v>
      </c>
      <c r="N14" t="s">
        <v>1626</v>
      </c>
      <c r="O14" t="s">
        <v>1627</v>
      </c>
      <c r="P14">
        <v>2.6419999999999999</v>
      </c>
      <c r="S14" s="552"/>
    </row>
    <row r="15" spans="1:19" x14ac:dyDescent="0.2">
      <c r="B15" t="s">
        <v>1628</v>
      </c>
      <c r="C15" t="s">
        <v>747</v>
      </c>
      <c r="D15">
        <v>2.6880000000000002</v>
      </c>
      <c r="E15" t="s">
        <v>1629</v>
      </c>
      <c r="F15" t="s">
        <v>1630</v>
      </c>
      <c r="G15">
        <v>2.6880000000000002</v>
      </c>
      <c r="H15" t="s">
        <v>748</v>
      </c>
      <c r="I15" t="s">
        <v>1631</v>
      </c>
      <c r="J15">
        <v>2.6880000000000002</v>
      </c>
      <c r="K15" t="s">
        <v>1632</v>
      </c>
      <c r="L15" t="s">
        <v>1633</v>
      </c>
      <c r="M15">
        <v>2.6880000000000002</v>
      </c>
      <c r="N15" t="s">
        <v>1634</v>
      </c>
      <c r="O15" t="s">
        <v>1635</v>
      </c>
      <c r="P15">
        <v>2.6880000000000002</v>
      </c>
      <c r="S15" s="552"/>
    </row>
    <row r="16" spans="1:19" x14ac:dyDescent="0.2">
      <c r="B16" t="s">
        <v>1636</v>
      </c>
      <c r="C16" t="s">
        <v>749</v>
      </c>
      <c r="D16">
        <v>2.78</v>
      </c>
      <c r="E16" t="s">
        <v>1637</v>
      </c>
      <c r="F16" t="s">
        <v>1638</v>
      </c>
      <c r="G16">
        <v>2.78</v>
      </c>
      <c r="H16" t="s">
        <v>750</v>
      </c>
      <c r="I16" t="s">
        <v>1639</v>
      </c>
      <c r="J16">
        <v>2.78</v>
      </c>
      <c r="K16" t="s">
        <v>1640</v>
      </c>
      <c r="L16" t="s">
        <v>1641</v>
      </c>
      <c r="M16">
        <v>2.78</v>
      </c>
      <c r="N16" t="s">
        <v>1642</v>
      </c>
      <c r="O16" t="s">
        <v>1643</v>
      </c>
      <c r="P16">
        <v>2.78</v>
      </c>
      <c r="Q16" s="347"/>
      <c r="R16" s="347"/>
      <c r="S16" s="552"/>
    </row>
    <row r="17" spans="2:19" x14ac:dyDescent="0.2">
      <c r="B17" t="s">
        <v>1644</v>
      </c>
      <c r="C17" t="s">
        <v>751</v>
      </c>
      <c r="D17">
        <v>2.8719999999999999</v>
      </c>
      <c r="E17" t="s">
        <v>1645</v>
      </c>
      <c r="F17" t="s">
        <v>1646</v>
      </c>
      <c r="G17">
        <v>2.8719999999999999</v>
      </c>
      <c r="H17" t="s">
        <v>752</v>
      </c>
      <c r="I17" t="s">
        <v>1647</v>
      </c>
      <c r="J17">
        <v>2.8719999999999999</v>
      </c>
      <c r="K17" t="s">
        <v>1648</v>
      </c>
      <c r="L17" t="s">
        <v>1649</v>
      </c>
      <c r="M17">
        <v>2.8719999999999999</v>
      </c>
      <c r="N17" t="s">
        <v>1650</v>
      </c>
      <c r="O17" t="s">
        <v>1651</v>
      </c>
      <c r="P17">
        <v>2.8719999999999999</v>
      </c>
      <c r="S17" s="552"/>
    </row>
    <row r="18" spans="2:19" x14ac:dyDescent="0.2">
      <c r="B18" t="s">
        <v>1652</v>
      </c>
      <c r="C18" t="s">
        <v>753</v>
      </c>
      <c r="D18">
        <v>3.01</v>
      </c>
      <c r="E18" t="s">
        <v>1653</v>
      </c>
      <c r="F18" t="s">
        <v>1654</v>
      </c>
      <c r="G18">
        <v>3.01</v>
      </c>
      <c r="H18" t="s">
        <v>754</v>
      </c>
      <c r="I18" t="s">
        <v>1655</v>
      </c>
      <c r="J18">
        <v>3.01</v>
      </c>
      <c r="K18" t="s">
        <v>1656</v>
      </c>
      <c r="L18" t="s">
        <v>1657</v>
      </c>
      <c r="M18" t="s">
        <v>1658</v>
      </c>
      <c r="N18" t="s">
        <v>1659</v>
      </c>
      <c r="O18" t="s">
        <v>1660</v>
      </c>
      <c r="P18">
        <v>3.01</v>
      </c>
      <c r="Q18" s="347"/>
      <c r="R18" s="347"/>
      <c r="S18" s="552"/>
    </row>
    <row r="19" spans="2:19" x14ac:dyDescent="0.2">
      <c r="B19" t="s">
        <v>1661</v>
      </c>
      <c r="C19" t="s">
        <v>755</v>
      </c>
      <c r="D19">
        <v>3.1199999999999997</v>
      </c>
      <c r="E19" t="s">
        <v>1662</v>
      </c>
      <c r="F19" t="s">
        <v>1663</v>
      </c>
      <c r="G19">
        <v>3.1199999999999997</v>
      </c>
      <c r="H19" t="s">
        <v>756</v>
      </c>
      <c r="I19" t="s">
        <v>1664</v>
      </c>
      <c r="J19">
        <v>3.12</v>
      </c>
      <c r="K19" t="s">
        <v>1665</v>
      </c>
      <c r="L19" t="s">
        <v>1666</v>
      </c>
      <c r="M19">
        <v>3.12</v>
      </c>
      <c r="N19" t="s">
        <v>1667</v>
      </c>
      <c r="O19" t="s">
        <v>1668</v>
      </c>
      <c r="P19">
        <v>3.12</v>
      </c>
      <c r="S19" s="552"/>
    </row>
    <row r="20" spans="2:19" x14ac:dyDescent="0.2">
      <c r="B20" t="s">
        <v>1669</v>
      </c>
      <c r="C20" t="s">
        <v>757</v>
      </c>
      <c r="D20">
        <v>3.2850000000000001</v>
      </c>
      <c r="E20" t="s">
        <v>1670</v>
      </c>
      <c r="F20" t="s">
        <v>1671</v>
      </c>
      <c r="G20">
        <v>3.2850000000000001</v>
      </c>
      <c r="H20" t="s">
        <v>758</v>
      </c>
      <c r="I20" t="s">
        <v>1672</v>
      </c>
      <c r="J20">
        <v>3.2850000000000001</v>
      </c>
      <c r="K20" t="s">
        <v>1673</v>
      </c>
      <c r="L20" t="s">
        <v>1674</v>
      </c>
      <c r="M20">
        <v>3.2850000000000001</v>
      </c>
      <c r="N20" t="s">
        <v>1675</v>
      </c>
      <c r="O20" t="s">
        <v>1676</v>
      </c>
      <c r="P20">
        <v>3.2850000000000001</v>
      </c>
      <c r="S20" s="552"/>
    </row>
    <row r="21" spans="2:19" x14ac:dyDescent="0.2">
      <c r="B21" t="s">
        <v>1677</v>
      </c>
      <c r="C21" t="s">
        <v>759</v>
      </c>
      <c r="D21">
        <v>3.56</v>
      </c>
      <c r="E21" t="s">
        <v>1678</v>
      </c>
      <c r="F21" t="s">
        <v>1679</v>
      </c>
      <c r="G21">
        <v>3.56</v>
      </c>
      <c r="H21" t="s">
        <v>760</v>
      </c>
      <c r="I21" t="s">
        <v>1680</v>
      </c>
      <c r="J21">
        <v>3.56</v>
      </c>
      <c r="K21" t="s">
        <v>1681</v>
      </c>
      <c r="L21" t="s">
        <v>1682</v>
      </c>
      <c r="M21" t="s">
        <v>1683</v>
      </c>
      <c r="N21" t="s">
        <v>1684</v>
      </c>
      <c r="O21" t="s">
        <v>1685</v>
      </c>
      <c r="P21">
        <v>3.56</v>
      </c>
      <c r="Q21" s="347"/>
      <c r="R21" s="347"/>
      <c r="S21" s="552"/>
    </row>
    <row r="22" spans="2:19" x14ac:dyDescent="0.2">
      <c r="B22" t="s">
        <v>1686</v>
      </c>
      <c r="C22" t="s">
        <v>761</v>
      </c>
      <c r="D22">
        <v>4.2</v>
      </c>
      <c r="E22" t="s">
        <v>1687</v>
      </c>
      <c r="F22" t="s">
        <v>1688</v>
      </c>
      <c r="G22">
        <v>4.2</v>
      </c>
      <c r="H22" t="s">
        <v>762</v>
      </c>
      <c r="I22" t="s">
        <v>1689</v>
      </c>
      <c r="J22">
        <v>4.2</v>
      </c>
      <c r="K22" t="s">
        <v>1690</v>
      </c>
      <c r="L22" t="s">
        <v>1691</v>
      </c>
      <c r="M22" t="s">
        <v>1692</v>
      </c>
      <c r="N22" t="s">
        <v>1693</v>
      </c>
      <c r="O22" t="s">
        <v>1694</v>
      </c>
      <c r="P22">
        <v>4.2</v>
      </c>
      <c r="S22" s="552"/>
    </row>
    <row r="23" spans="2:19" x14ac:dyDescent="0.2">
      <c r="C23" t="s">
        <v>388</v>
      </c>
      <c r="F23" t="s">
        <v>388</v>
      </c>
      <c r="I23" t="s">
        <v>388</v>
      </c>
      <c r="L23" t="s">
        <v>387</v>
      </c>
      <c r="O23" t="s">
        <v>388</v>
      </c>
      <c r="R23" s="347"/>
      <c r="S23" s="552"/>
    </row>
    <row r="24" spans="2:19" x14ac:dyDescent="0.2">
      <c r="B24" t="s">
        <v>1695</v>
      </c>
      <c r="C24" t="s">
        <v>763</v>
      </c>
      <c r="D24">
        <v>1.67</v>
      </c>
      <c r="E24" t="s">
        <v>1696</v>
      </c>
      <c r="F24" t="s">
        <v>1697</v>
      </c>
      <c r="G24">
        <v>1.67</v>
      </c>
      <c r="H24" t="s">
        <v>726</v>
      </c>
      <c r="I24" t="s">
        <v>1539</v>
      </c>
      <c r="J24">
        <v>1.55</v>
      </c>
      <c r="K24" t="s">
        <v>1540</v>
      </c>
      <c r="L24" t="s">
        <v>1541</v>
      </c>
      <c r="M24" t="s">
        <v>1542</v>
      </c>
      <c r="N24" t="s">
        <v>1543</v>
      </c>
      <c r="O24" t="s">
        <v>1544</v>
      </c>
      <c r="P24">
        <v>1.55</v>
      </c>
      <c r="S24" s="552"/>
    </row>
    <row r="25" spans="2:19" x14ac:dyDescent="0.2">
      <c r="B25" t="s">
        <v>1698</v>
      </c>
      <c r="C25" t="s">
        <v>765</v>
      </c>
      <c r="D25">
        <v>1.96</v>
      </c>
      <c r="E25" t="s">
        <v>1699</v>
      </c>
      <c r="F25" t="s">
        <v>1700</v>
      </c>
      <c r="G25">
        <v>1.96</v>
      </c>
      <c r="H25" t="s">
        <v>728</v>
      </c>
      <c r="I25" t="s">
        <v>1548</v>
      </c>
      <c r="J25">
        <v>1.83</v>
      </c>
      <c r="K25" t="s">
        <v>1549</v>
      </c>
      <c r="L25" t="s">
        <v>1550</v>
      </c>
      <c r="M25" t="s">
        <v>1551</v>
      </c>
      <c r="N25" t="s">
        <v>1552</v>
      </c>
      <c r="O25" t="s">
        <v>1553</v>
      </c>
      <c r="P25">
        <v>1.83</v>
      </c>
      <c r="S25" s="552"/>
    </row>
    <row r="26" spans="2:19" x14ac:dyDescent="0.2">
      <c r="B26" t="s">
        <v>1701</v>
      </c>
      <c r="C26" t="s">
        <v>767</v>
      </c>
      <c r="D26">
        <v>2.1349999999999998</v>
      </c>
      <c r="E26" t="s">
        <v>1702</v>
      </c>
      <c r="F26" t="s">
        <v>1703</v>
      </c>
      <c r="G26">
        <v>2.1349999999999998</v>
      </c>
      <c r="H26" t="s">
        <v>730</v>
      </c>
      <c r="I26" t="s">
        <v>1557</v>
      </c>
      <c r="J26">
        <v>1.9950000000000001</v>
      </c>
      <c r="K26" t="s">
        <v>1558</v>
      </c>
      <c r="L26" t="s">
        <v>1559</v>
      </c>
      <c r="M26">
        <v>1.9950000000000001</v>
      </c>
      <c r="N26" t="s">
        <v>1560</v>
      </c>
      <c r="O26" t="s">
        <v>1561</v>
      </c>
      <c r="P26">
        <v>1.9950000000000001</v>
      </c>
      <c r="S26" s="552"/>
    </row>
    <row r="27" spans="2:19" x14ac:dyDescent="0.2">
      <c r="B27" t="s">
        <v>1704</v>
      </c>
      <c r="C27" t="s">
        <v>769</v>
      </c>
      <c r="D27">
        <v>2.2050000000000001</v>
      </c>
      <c r="E27" t="s">
        <v>1705</v>
      </c>
      <c r="F27" t="s">
        <v>1706</v>
      </c>
      <c r="G27">
        <v>2.2050000000000001</v>
      </c>
      <c r="H27" t="s">
        <v>732</v>
      </c>
      <c r="I27" t="s">
        <v>1565</v>
      </c>
      <c r="J27">
        <v>2.0609999999999999</v>
      </c>
      <c r="K27" t="s">
        <v>1566</v>
      </c>
      <c r="L27" t="s">
        <v>1567</v>
      </c>
      <c r="M27">
        <v>2.0609999999999999</v>
      </c>
      <c r="N27" t="s">
        <v>1568</v>
      </c>
      <c r="O27" t="s">
        <v>1569</v>
      </c>
      <c r="P27">
        <v>2.0609999999999999</v>
      </c>
      <c r="S27" s="552"/>
    </row>
    <row r="28" spans="2:19" x14ac:dyDescent="0.2">
      <c r="B28" t="s">
        <v>1707</v>
      </c>
      <c r="C28" t="s">
        <v>771</v>
      </c>
      <c r="D28">
        <v>2.31</v>
      </c>
      <c r="E28" t="s">
        <v>1708</v>
      </c>
      <c r="F28" t="s">
        <v>1709</v>
      </c>
      <c r="G28">
        <v>2.31</v>
      </c>
      <c r="H28" t="s">
        <v>734</v>
      </c>
      <c r="I28" t="s">
        <v>1573</v>
      </c>
      <c r="J28">
        <v>2.16</v>
      </c>
      <c r="K28" t="s">
        <v>1574</v>
      </c>
      <c r="L28" t="s">
        <v>1575</v>
      </c>
      <c r="M28" t="s">
        <v>1576</v>
      </c>
      <c r="N28" t="s">
        <v>1577</v>
      </c>
      <c r="O28" t="s">
        <v>1578</v>
      </c>
      <c r="P28">
        <v>2.16</v>
      </c>
      <c r="S28" s="552"/>
    </row>
    <row r="29" spans="2:19" x14ac:dyDescent="0.2">
      <c r="B29" t="s">
        <v>1710</v>
      </c>
      <c r="C29" t="s">
        <v>773</v>
      </c>
      <c r="D29">
        <v>2.39</v>
      </c>
      <c r="E29" t="s">
        <v>1711</v>
      </c>
      <c r="F29" t="s">
        <v>1712</v>
      </c>
      <c r="G29">
        <v>2.39</v>
      </c>
      <c r="H29" t="s">
        <v>736</v>
      </c>
      <c r="I29" t="s">
        <v>1582</v>
      </c>
      <c r="J29">
        <v>2.238</v>
      </c>
      <c r="K29" t="s">
        <v>1583</v>
      </c>
      <c r="L29" t="s">
        <v>1584</v>
      </c>
      <c r="M29">
        <v>2.238</v>
      </c>
      <c r="N29" t="s">
        <v>1585</v>
      </c>
      <c r="O29" t="s">
        <v>1586</v>
      </c>
      <c r="P29">
        <v>2.238</v>
      </c>
    </row>
    <row r="30" spans="2:19" x14ac:dyDescent="0.2">
      <c r="B30" t="s">
        <v>1713</v>
      </c>
      <c r="C30" t="s">
        <v>773</v>
      </c>
      <c r="D30">
        <v>2.4300000000000002</v>
      </c>
      <c r="E30" t="s">
        <v>1711</v>
      </c>
      <c r="F30" t="s">
        <v>1712</v>
      </c>
      <c r="G30">
        <v>2.4300000000000002</v>
      </c>
      <c r="H30" t="s">
        <v>738</v>
      </c>
      <c r="I30" t="s">
        <v>1590</v>
      </c>
      <c r="J30">
        <v>2.2770000000000001</v>
      </c>
      <c r="K30" t="s">
        <v>1591</v>
      </c>
      <c r="L30" t="s">
        <v>1592</v>
      </c>
      <c r="M30">
        <v>2.2770000000000001</v>
      </c>
      <c r="N30" t="s">
        <v>1593</v>
      </c>
      <c r="O30" t="s">
        <v>1594</v>
      </c>
      <c r="P30">
        <v>2.2770000000000001</v>
      </c>
    </row>
    <row r="31" spans="2:19" x14ac:dyDescent="0.2">
      <c r="B31" t="s">
        <v>1714</v>
      </c>
      <c r="C31" t="s">
        <v>775</v>
      </c>
      <c r="D31">
        <v>2.5099999999999998</v>
      </c>
      <c r="E31" t="s">
        <v>1715</v>
      </c>
      <c r="F31" t="s">
        <v>1716</v>
      </c>
      <c r="G31">
        <v>2.5099999999999998</v>
      </c>
      <c r="H31" t="s">
        <v>740</v>
      </c>
      <c r="I31" t="s">
        <v>1598</v>
      </c>
      <c r="J31">
        <v>2.355</v>
      </c>
      <c r="K31" t="s">
        <v>1599</v>
      </c>
      <c r="L31" t="s">
        <v>1600</v>
      </c>
      <c r="M31">
        <v>2.355</v>
      </c>
      <c r="N31" t="s">
        <v>1601</v>
      </c>
      <c r="O31" t="s">
        <v>1602</v>
      </c>
      <c r="P31">
        <v>2.355</v>
      </c>
    </row>
    <row r="32" spans="2:19" x14ac:dyDescent="0.2">
      <c r="B32" t="s">
        <v>1717</v>
      </c>
      <c r="C32" t="s">
        <v>777</v>
      </c>
      <c r="D32">
        <v>2.59</v>
      </c>
      <c r="E32" t="s">
        <v>1718</v>
      </c>
      <c r="F32" t="s">
        <v>1719</v>
      </c>
      <c r="G32">
        <v>2.5830000000000002</v>
      </c>
      <c r="H32" t="s">
        <v>742</v>
      </c>
      <c r="I32" t="s">
        <v>1606</v>
      </c>
      <c r="J32">
        <v>2.4329999999999998</v>
      </c>
      <c r="K32" t="s">
        <v>1607</v>
      </c>
      <c r="L32" t="s">
        <v>1608</v>
      </c>
      <c r="M32">
        <v>2.4300000000000002</v>
      </c>
      <c r="N32" t="s">
        <v>1609</v>
      </c>
      <c r="O32" t="s">
        <v>1610</v>
      </c>
      <c r="P32">
        <v>2.4329999999999998</v>
      </c>
    </row>
    <row r="33" spans="2:16" x14ac:dyDescent="0.2">
      <c r="B33" t="s">
        <v>1720</v>
      </c>
      <c r="C33" t="s">
        <v>779</v>
      </c>
      <c r="D33">
        <v>2.71</v>
      </c>
      <c r="E33" t="s">
        <v>1721</v>
      </c>
      <c r="F33" t="s">
        <v>1722</v>
      </c>
      <c r="G33">
        <v>2.71</v>
      </c>
      <c r="H33" t="s">
        <v>744</v>
      </c>
      <c r="I33" t="s">
        <v>1614</v>
      </c>
      <c r="J33">
        <v>2.5499999999999998</v>
      </c>
      <c r="K33" t="s">
        <v>1615</v>
      </c>
      <c r="L33" t="s">
        <v>1616</v>
      </c>
      <c r="M33" t="s">
        <v>1617</v>
      </c>
      <c r="N33" t="s">
        <v>1618</v>
      </c>
      <c r="O33" t="s">
        <v>1619</v>
      </c>
      <c r="P33">
        <v>2.5499999999999998</v>
      </c>
    </row>
    <row r="34" spans="2:16" x14ac:dyDescent="0.2">
      <c r="B34" t="s">
        <v>1723</v>
      </c>
      <c r="C34" t="s">
        <v>781</v>
      </c>
      <c r="D34">
        <v>2.806</v>
      </c>
      <c r="E34" t="s">
        <v>1724</v>
      </c>
      <c r="F34" t="s">
        <v>1725</v>
      </c>
      <c r="G34">
        <v>2.806</v>
      </c>
      <c r="H34" t="s">
        <v>746</v>
      </c>
      <c r="I34" t="s">
        <v>1623</v>
      </c>
      <c r="J34">
        <v>2.6419999999999999</v>
      </c>
      <c r="K34" t="s">
        <v>1624</v>
      </c>
      <c r="L34" t="s">
        <v>1625</v>
      </c>
      <c r="M34">
        <v>2.6419999999999999</v>
      </c>
      <c r="N34" t="s">
        <v>1626</v>
      </c>
      <c r="O34" t="s">
        <v>1627</v>
      </c>
      <c r="P34">
        <v>2.6419999999999999</v>
      </c>
    </row>
    <row r="35" spans="2:16" x14ac:dyDescent="0.2">
      <c r="B35" t="s">
        <v>1726</v>
      </c>
      <c r="C35" t="s">
        <v>1727</v>
      </c>
      <c r="D35">
        <v>2.8540000000000001</v>
      </c>
      <c r="E35" t="s">
        <v>1728</v>
      </c>
      <c r="F35" t="s">
        <v>1729</v>
      </c>
      <c r="G35">
        <v>2.8540000000000001</v>
      </c>
      <c r="H35" t="s">
        <v>748</v>
      </c>
      <c r="I35" t="s">
        <v>1631</v>
      </c>
      <c r="J35">
        <v>2.6880000000000002</v>
      </c>
      <c r="K35" t="s">
        <v>1632</v>
      </c>
      <c r="L35" t="s">
        <v>1633</v>
      </c>
      <c r="M35">
        <v>2.6880000000000002</v>
      </c>
      <c r="N35" t="s">
        <v>1634</v>
      </c>
      <c r="O35" t="s">
        <v>1635</v>
      </c>
      <c r="P35">
        <v>2.6880000000000002</v>
      </c>
    </row>
    <row r="36" spans="2:16" x14ac:dyDescent="0.2">
      <c r="B36" t="s">
        <v>1730</v>
      </c>
      <c r="C36" t="s">
        <v>783</v>
      </c>
      <c r="D36">
        <v>2.95</v>
      </c>
      <c r="E36" t="s">
        <v>1731</v>
      </c>
      <c r="F36" t="s">
        <v>1732</v>
      </c>
      <c r="G36">
        <v>2.95</v>
      </c>
      <c r="H36" t="s">
        <v>750</v>
      </c>
      <c r="I36" t="s">
        <v>1639</v>
      </c>
      <c r="J36">
        <v>2.78</v>
      </c>
      <c r="K36" t="s">
        <v>1640</v>
      </c>
      <c r="L36" t="s">
        <v>1641</v>
      </c>
      <c r="M36">
        <v>2.78</v>
      </c>
      <c r="N36" t="s">
        <v>1642</v>
      </c>
      <c r="O36" t="s">
        <v>1643</v>
      </c>
      <c r="P36" s="347">
        <v>2.78</v>
      </c>
    </row>
    <row r="37" spans="2:16" x14ac:dyDescent="0.2">
      <c r="B37" t="s">
        <v>1733</v>
      </c>
      <c r="C37" t="s">
        <v>785</v>
      </c>
      <c r="D37">
        <v>3.0459999999999998</v>
      </c>
      <c r="E37" t="s">
        <v>1734</v>
      </c>
      <c r="F37" t="s">
        <v>1735</v>
      </c>
      <c r="G37">
        <v>3.0459999999999998</v>
      </c>
      <c r="H37" t="s">
        <v>752</v>
      </c>
      <c r="I37" t="s">
        <v>1647</v>
      </c>
      <c r="J37">
        <v>2.8719999999999999</v>
      </c>
      <c r="K37" t="s">
        <v>1648</v>
      </c>
      <c r="L37" t="s">
        <v>1649</v>
      </c>
      <c r="M37">
        <v>2.8719999999999999</v>
      </c>
      <c r="N37" t="s">
        <v>1650</v>
      </c>
      <c r="O37" t="s">
        <v>1651</v>
      </c>
      <c r="P37">
        <v>2.8719999999999999</v>
      </c>
    </row>
    <row r="38" spans="2:16" x14ac:dyDescent="0.2">
      <c r="B38" t="s">
        <v>1736</v>
      </c>
      <c r="C38" t="s">
        <v>787</v>
      </c>
      <c r="D38">
        <v>3.19</v>
      </c>
      <c r="E38" t="s">
        <v>1737</v>
      </c>
      <c r="F38" t="s">
        <v>1738</v>
      </c>
      <c r="G38">
        <v>3.19</v>
      </c>
      <c r="H38" t="s">
        <v>754</v>
      </c>
      <c r="I38" t="s">
        <v>1655</v>
      </c>
      <c r="J38">
        <v>3.01</v>
      </c>
      <c r="K38" t="s">
        <v>1656</v>
      </c>
      <c r="L38" t="s">
        <v>1657</v>
      </c>
      <c r="M38" t="s">
        <v>1658</v>
      </c>
      <c r="N38" t="s">
        <v>1659</v>
      </c>
      <c r="O38" t="s">
        <v>1660</v>
      </c>
      <c r="P38" s="347">
        <v>3.01</v>
      </c>
    </row>
    <row r="39" spans="2:16" x14ac:dyDescent="0.2">
      <c r="B39" t="s">
        <v>1739</v>
      </c>
      <c r="C39" t="s">
        <v>789</v>
      </c>
      <c r="D39">
        <v>3.3</v>
      </c>
      <c r="E39" t="s">
        <v>1740</v>
      </c>
      <c r="F39" t="s">
        <v>1741</v>
      </c>
      <c r="G39">
        <v>3.3</v>
      </c>
      <c r="H39" t="s">
        <v>756</v>
      </c>
      <c r="I39" t="s">
        <v>1664</v>
      </c>
      <c r="J39">
        <v>3.12</v>
      </c>
      <c r="K39" t="s">
        <v>1665</v>
      </c>
      <c r="L39" t="s">
        <v>1666</v>
      </c>
      <c r="M39">
        <v>3.12</v>
      </c>
      <c r="N39" t="s">
        <v>1667</v>
      </c>
      <c r="O39" t="s">
        <v>1668</v>
      </c>
      <c r="P39">
        <v>3.12</v>
      </c>
    </row>
    <row r="40" spans="2:16" x14ac:dyDescent="0.2">
      <c r="B40" t="s">
        <v>1742</v>
      </c>
      <c r="C40" t="s">
        <v>791</v>
      </c>
      <c r="D40">
        <v>3.4649999999999999</v>
      </c>
      <c r="E40" t="s">
        <v>1743</v>
      </c>
      <c r="F40" t="s">
        <v>1744</v>
      </c>
      <c r="G40">
        <v>3.4649999999999999</v>
      </c>
      <c r="H40" t="s">
        <v>758</v>
      </c>
      <c r="I40" t="s">
        <v>1672</v>
      </c>
      <c r="J40">
        <v>3.2850000000000001</v>
      </c>
      <c r="K40" t="s">
        <v>1673</v>
      </c>
      <c r="L40" t="s">
        <v>1674</v>
      </c>
      <c r="M40">
        <v>3.2850000000000001</v>
      </c>
      <c r="N40" t="s">
        <v>1675</v>
      </c>
      <c r="O40" t="s">
        <v>1676</v>
      </c>
      <c r="P40">
        <v>3.2850000000000001</v>
      </c>
    </row>
    <row r="41" spans="2:16" x14ac:dyDescent="0.2">
      <c r="B41" t="s">
        <v>1745</v>
      </c>
      <c r="C41" t="s">
        <v>793</v>
      </c>
      <c r="D41">
        <v>3.74</v>
      </c>
      <c r="E41" t="s">
        <v>1746</v>
      </c>
      <c r="F41" t="s">
        <v>1747</v>
      </c>
      <c r="G41">
        <v>3.74</v>
      </c>
      <c r="H41" t="s">
        <v>760</v>
      </c>
      <c r="I41" t="s">
        <v>1680</v>
      </c>
      <c r="J41">
        <v>3.56</v>
      </c>
      <c r="K41" t="s">
        <v>1681</v>
      </c>
      <c r="L41" t="s">
        <v>1682</v>
      </c>
      <c r="M41" t="s">
        <v>1683</v>
      </c>
      <c r="N41" t="s">
        <v>1684</v>
      </c>
      <c r="O41" t="s">
        <v>1685</v>
      </c>
      <c r="P41" s="347">
        <v>3.56</v>
      </c>
    </row>
    <row r="42" spans="2:16" x14ac:dyDescent="0.2">
      <c r="B42" t="s">
        <v>1748</v>
      </c>
      <c r="C42" t="s">
        <v>795</v>
      </c>
      <c r="D42">
        <v>4.4000000000000004</v>
      </c>
      <c r="E42" t="s">
        <v>1749</v>
      </c>
      <c r="F42" t="s">
        <v>1750</v>
      </c>
      <c r="G42">
        <v>4.4000000000000004</v>
      </c>
      <c r="H42" t="s">
        <v>762</v>
      </c>
      <c r="I42" t="s">
        <v>1689</v>
      </c>
      <c r="J42">
        <v>4.2</v>
      </c>
      <c r="K42" t="s">
        <v>1690</v>
      </c>
      <c r="L42" t="s">
        <v>1691</v>
      </c>
      <c r="M42" t="s">
        <v>1692</v>
      </c>
      <c r="N42" t="s">
        <v>1693</v>
      </c>
      <c r="O42" t="s">
        <v>1694</v>
      </c>
      <c r="P42">
        <v>4.2</v>
      </c>
    </row>
    <row r="43" spans="2:16" x14ac:dyDescent="0.2">
      <c r="C43" t="s">
        <v>389</v>
      </c>
      <c r="L43" t="s">
        <v>387</v>
      </c>
      <c r="O43" t="s">
        <v>389</v>
      </c>
      <c r="P43">
        <v>0</v>
      </c>
    </row>
    <row r="44" spans="2:16" x14ac:dyDescent="0.2">
      <c r="B44" t="s">
        <v>1751</v>
      </c>
      <c r="C44" t="s">
        <v>797</v>
      </c>
      <c r="D44">
        <v>1.85</v>
      </c>
      <c r="E44" t="s">
        <v>1752</v>
      </c>
      <c r="F44" t="s">
        <v>1753</v>
      </c>
      <c r="G44">
        <v>1.85</v>
      </c>
      <c r="H44" t="s">
        <v>726</v>
      </c>
      <c r="I44" t="s">
        <v>1539</v>
      </c>
      <c r="J44">
        <v>1.55</v>
      </c>
      <c r="K44" t="s">
        <v>1540</v>
      </c>
      <c r="L44" t="s">
        <v>1541</v>
      </c>
      <c r="M44" t="s">
        <v>1542</v>
      </c>
      <c r="N44" t="s">
        <v>1543</v>
      </c>
      <c r="O44" t="s">
        <v>1544</v>
      </c>
      <c r="P44">
        <v>1.55</v>
      </c>
    </row>
    <row r="45" spans="2:16" x14ac:dyDescent="0.2">
      <c r="B45" t="s">
        <v>1754</v>
      </c>
      <c r="C45" t="s">
        <v>798</v>
      </c>
      <c r="D45">
        <v>2.1800000000000002</v>
      </c>
      <c r="E45" t="s">
        <v>1755</v>
      </c>
      <c r="F45" t="s">
        <v>1756</v>
      </c>
      <c r="G45">
        <v>2.1800000000000002</v>
      </c>
      <c r="H45" t="s">
        <v>728</v>
      </c>
      <c r="I45" t="s">
        <v>1548</v>
      </c>
      <c r="J45">
        <v>1.83</v>
      </c>
      <c r="K45" t="s">
        <v>1549</v>
      </c>
      <c r="L45" t="s">
        <v>1550</v>
      </c>
      <c r="M45" t="s">
        <v>1551</v>
      </c>
      <c r="N45" t="s">
        <v>1552</v>
      </c>
      <c r="O45" t="s">
        <v>1553</v>
      </c>
      <c r="P45">
        <v>1.83</v>
      </c>
    </row>
    <row r="46" spans="2:16" x14ac:dyDescent="0.2">
      <c r="B46" t="s">
        <v>1757</v>
      </c>
      <c r="C46" t="s">
        <v>799</v>
      </c>
      <c r="D46">
        <v>2.37</v>
      </c>
      <c r="E46" t="s">
        <v>1758</v>
      </c>
      <c r="F46" t="s">
        <v>1759</v>
      </c>
      <c r="G46">
        <v>2.37</v>
      </c>
      <c r="H46" t="s">
        <v>730</v>
      </c>
      <c r="I46" t="s">
        <v>1557</v>
      </c>
      <c r="J46">
        <v>1.9950000000000001</v>
      </c>
      <c r="K46" t="s">
        <v>1558</v>
      </c>
      <c r="L46" t="s">
        <v>1559</v>
      </c>
      <c r="M46">
        <v>1.9950000000000001</v>
      </c>
      <c r="N46" t="s">
        <v>1560</v>
      </c>
      <c r="O46" t="s">
        <v>1561</v>
      </c>
      <c r="P46">
        <v>1.9950000000000001</v>
      </c>
    </row>
    <row r="47" spans="2:16" x14ac:dyDescent="0.2">
      <c r="B47" t="s">
        <v>1760</v>
      </c>
      <c r="C47" t="s">
        <v>800</v>
      </c>
      <c r="D47">
        <v>2.4460000000000002</v>
      </c>
      <c r="E47" t="s">
        <v>1761</v>
      </c>
      <c r="F47" t="s">
        <v>1762</v>
      </c>
      <c r="G47">
        <v>2.4460000000000002</v>
      </c>
      <c r="H47" t="s">
        <v>732</v>
      </c>
      <c r="I47" t="s">
        <v>1565</v>
      </c>
      <c r="J47">
        <v>2.0609999999999999</v>
      </c>
      <c r="K47" t="s">
        <v>1566</v>
      </c>
      <c r="L47" t="s">
        <v>1567</v>
      </c>
      <c r="M47">
        <v>2.0609999999999999</v>
      </c>
      <c r="N47" t="s">
        <v>1568</v>
      </c>
      <c r="O47" t="s">
        <v>1569</v>
      </c>
      <c r="P47">
        <v>2.0609999999999999</v>
      </c>
    </row>
    <row r="48" spans="2:16" x14ac:dyDescent="0.2">
      <c r="B48" t="s">
        <v>1763</v>
      </c>
      <c r="C48" t="s">
        <v>801</v>
      </c>
      <c r="D48">
        <v>2.56</v>
      </c>
      <c r="E48" t="s">
        <v>1764</v>
      </c>
      <c r="F48" t="s">
        <v>1765</v>
      </c>
      <c r="G48">
        <v>2.56</v>
      </c>
      <c r="H48" t="s">
        <v>734</v>
      </c>
      <c r="I48" t="s">
        <v>1573</v>
      </c>
      <c r="J48">
        <v>2.16</v>
      </c>
      <c r="K48" t="s">
        <v>1574</v>
      </c>
      <c r="L48" t="s">
        <v>1575</v>
      </c>
      <c r="M48" t="s">
        <v>1576</v>
      </c>
      <c r="N48" t="s">
        <v>1577</v>
      </c>
      <c r="O48" t="s">
        <v>1578</v>
      </c>
      <c r="P48">
        <v>2.16</v>
      </c>
    </row>
    <row r="49" spans="1:16" x14ac:dyDescent="0.2">
      <c r="B49" t="s">
        <v>1766</v>
      </c>
      <c r="C49" t="s">
        <v>802</v>
      </c>
      <c r="D49">
        <v>2.65</v>
      </c>
      <c r="E49" t="s">
        <v>1767</v>
      </c>
      <c r="F49" t="s">
        <v>1768</v>
      </c>
      <c r="G49">
        <v>2.65</v>
      </c>
      <c r="H49" t="s">
        <v>736</v>
      </c>
      <c r="I49" t="s">
        <v>1582</v>
      </c>
      <c r="J49">
        <v>2.238</v>
      </c>
      <c r="K49" t="s">
        <v>1583</v>
      </c>
      <c r="L49" t="s">
        <v>1584</v>
      </c>
      <c r="M49">
        <v>2.238</v>
      </c>
      <c r="N49" t="s">
        <v>1585</v>
      </c>
      <c r="O49" t="s">
        <v>1586</v>
      </c>
      <c r="P49">
        <v>2.238</v>
      </c>
    </row>
    <row r="50" spans="1:16" x14ac:dyDescent="0.2">
      <c r="B50" t="s">
        <v>1769</v>
      </c>
      <c r="C50" t="s">
        <v>1770</v>
      </c>
      <c r="D50">
        <v>2.6949999999999998</v>
      </c>
      <c r="E50" t="s">
        <v>1771</v>
      </c>
      <c r="F50" t="s">
        <v>1772</v>
      </c>
      <c r="G50">
        <v>2.6949999999999998</v>
      </c>
      <c r="H50" t="s">
        <v>738</v>
      </c>
      <c r="I50" t="s">
        <v>1590</v>
      </c>
      <c r="J50">
        <v>2.2770000000000001</v>
      </c>
      <c r="K50" t="s">
        <v>1591</v>
      </c>
      <c r="L50" t="s">
        <v>1592</v>
      </c>
      <c r="M50">
        <v>2.2770000000000001</v>
      </c>
      <c r="N50" t="s">
        <v>1593</v>
      </c>
      <c r="O50" t="s">
        <v>1594</v>
      </c>
      <c r="P50">
        <v>2.2770000000000001</v>
      </c>
    </row>
    <row r="51" spans="1:16" x14ac:dyDescent="0.2">
      <c r="B51" t="s">
        <v>1773</v>
      </c>
      <c r="C51" t="s">
        <v>803</v>
      </c>
      <c r="D51">
        <v>2.7850000000000001</v>
      </c>
      <c r="E51" t="s">
        <v>1774</v>
      </c>
      <c r="F51" t="s">
        <v>1775</v>
      </c>
      <c r="G51">
        <v>2.7850000000000001</v>
      </c>
      <c r="H51" t="s">
        <v>740</v>
      </c>
      <c r="I51" t="s">
        <v>1598</v>
      </c>
      <c r="J51">
        <v>2.355</v>
      </c>
      <c r="K51" t="s">
        <v>1599</v>
      </c>
      <c r="L51" t="s">
        <v>1600</v>
      </c>
      <c r="M51">
        <v>2.355</v>
      </c>
      <c r="N51" t="s">
        <v>1601</v>
      </c>
      <c r="O51" t="s">
        <v>1602</v>
      </c>
      <c r="P51">
        <v>2.355</v>
      </c>
    </row>
    <row r="52" spans="1:16" x14ac:dyDescent="0.2">
      <c r="B52" t="s">
        <v>1776</v>
      </c>
      <c r="C52" t="s">
        <v>804</v>
      </c>
      <c r="D52">
        <v>2.875</v>
      </c>
      <c r="E52" t="s">
        <v>1777</v>
      </c>
      <c r="F52" t="s">
        <v>1778</v>
      </c>
      <c r="G52">
        <v>2.875</v>
      </c>
      <c r="H52" t="s">
        <v>742</v>
      </c>
      <c r="I52" t="s">
        <v>1606</v>
      </c>
      <c r="J52">
        <v>2.4329999999999998</v>
      </c>
      <c r="K52" t="s">
        <v>1607</v>
      </c>
      <c r="L52" t="s">
        <v>1608</v>
      </c>
      <c r="M52">
        <v>2.4300000000000002</v>
      </c>
      <c r="N52" t="s">
        <v>1609</v>
      </c>
      <c r="O52" t="s">
        <v>1610</v>
      </c>
      <c r="P52">
        <v>2.4329999999999998</v>
      </c>
    </row>
    <row r="53" spans="1:16" x14ac:dyDescent="0.2">
      <c r="B53" t="s">
        <v>1779</v>
      </c>
      <c r="C53" t="s">
        <v>805</v>
      </c>
      <c r="D53">
        <v>3.01</v>
      </c>
      <c r="E53" t="s">
        <v>1780</v>
      </c>
      <c r="F53" t="s">
        <v>1781</v>
      </c>
      <c r="G53">
        <v>3.01</v>
      </c>
      <c r="H53" t="s">
        <v>744</v>
      </c>
      <c r="I53" t="s">
        <v>1614</v>
      </c>
      <c r="J53">
        <v>2.5499999999999998</v>
      </c>
      <c r="K53" t="s">
        <v>1615</v>
      </c>
      <c r="L53" t="s">
        <v>1616</v>
      </c>
      <c r="M53" t="s">
        <v>1617</v>
      </c>
      <c r="N53" t="s">
        <v>1618</v>
      </c>
      <c r="O53" t="s">
        <v>1619</v>
      </c>
      <c r="P53">
        <v>2.5499999999999998</v>
      </c>
    </row>
    <row r="54" spans="1:16" x14ac:dyDescent="0.2">
      <c r="B54" t="s">
        <v>1782</v>
      </c>
      <c r="C54" t="s">
        <v>806</v>
      </c>
      <c r="D54">
        <v>3.1159999999999997</v>
      </c>
      <c r="E54" t="s">
        <v>1783</v>
      </c>
      <c r="F54" t="s">
        <v>1784</v>
      </c>
      <c r="G54">
        <v>3.1159999999999997</v>
      </c>
      <c r="H54" t="s">
        <v>746</v>
      </c>
      <c r="I54" t="s">
        <v>1623</v>
      </c>
      <c r="J54">
        <v>2.6419999999999999</v>
      </c>
      <c r="K54" t="s">
        <v>1624</v>
      </c>
      <c r="L54" t="s">
        <v>1625</v>
      </c>
      <c r="M54">
        <v>2.6419999999999999</v>
      </c>
      <c r="N54" t="s">
        <v>1626</v>
      </c>
      <c r="O54" t="s">
        <v>1627</v>
      </c>
      <c r="P54">
        <v>2.6419999999999999</v>
      </c>
    </row>
    <row r="55" spans="1:16" x14ac:dyDescent="0.2">
      <c r="B55" t="s">
        <v>1785</v>
      </c>
      <c r="C55" t="s">
        <v>807</v>
      </c>
      <c r="D55">
        <v>3.169</v>
      </c>
      <c r="E55" t="s">
        <v>1786</v>
      </c>
      <c r="F55" t="s">
        <v>1787</v>
      </c>
      <c r="G55">
        <v>3.169</v>
      </c>
      <c r="H55" t="s">
        <v>748</v>
      </c>
      <c r="I55" t="s">
        <v>1631</v>
      </c>
      <c r="J55">
        <v>2.6880000000000002</v>
      </c>
      <c r="K55" t="s">
        <v>1632</v>
      </c>
      <c r="L55" t="s">
        <v>1633</v>
      </c>
      <c r="M55">
        <v>2.6880000000000002</v>
      </c>
      <c r="N55" t="s">
        <v>1634</v>
      </c>
      <c r="O55" t="s">
        <v>1635</v>
      </c>
      <c r="P55">
        <v>2.6880000000000002</v>
      </c>
    </row>
    <row r="56" spans="1:16" x14ac:dyDescent="0.2">
      <c r="B56" t="s">
        <v>1788</v>
      </c>
      <c r="C56" t="s">
        <v>809</v>
      </c>
      <c r="D56">
        <v>3.2749999999999999</v>
      </c>
      <c r="E56" t="s">
        <v>1789</v>
      </c>
      <c r="F56" t="s">
        <v>1790</v>
      </c>
      <c r="G56">
        <v>3.2749999999999999</v>
      </c>
      <c r="H56" t="s">
        <v>750</v>
      </c>
      <c r="I56" t="s">
        <v>1639</v>
      </c>
      <c r="J56">
        <v>2.78</v>
      </c>
      <c r="K56" t="s">
        <v>1640</v>
      </c>
      <c r="L56" t="s">
        <v>1641</v>
      </c>
      <c r="M56">
        <v>2.78</v>
      </c>
      <c r="N56" t="s">
        <v>1642</v>
      </c>
      <c r="O56" t="s">
        <v>1643</v>
      </c>
      <c r="P56">
        <v>2.78</v>
      </c>
    </row>
    <row r="57" spans="1:16" x14ac:dyDescent="0.2">
      <c r="B57" t="s">
        <v>1791</v>
      </c>
      <c r="C57" t="s">
        <v>810</v>
      </c>
      <c r="D57">
        <v>3.3809999999999998</v>
      </c>
      <c r="E57" t="s">
        <v>1792</v>
      </c>
      <c r="F57" t="s">
        <v>1793</v>
      </c>
      <c r="G57">
        <v>3.3809999999999998</v>
      </c>
      <c r="H57" t="s">
        <v>752</v>
      </c>
      <c r="I57" t="s">
        <v>1647</v>
      </c>
      <c r="J57">
        <v>2.8719999999999999</v>
      </c>
      <c r="K57" t="s">
        <v>1648</v>
      </c>
      <c r="L57" t="s">
        <v>1649</v>
      </c>
      <c r="M57">
        <v>2.8719999999999999</v>
      </c>
      <c r="N57" t="s">
        <v>1650</v>
      </c>
      <c r="O57" t="s">
        <v>1651</v>
      </c>
      <c r="P57">
        <v>2.8719999999999999</v>
      </c>
    </row>
    <row r="58" spans="1:16" x14ac:dyDescent="0.2">
      <c r="B58" t="s">
        <v>1794</v>
      </c>
      <c r="C58" t="s">
        <v>811</v>
      </c>
      <c r="D58">
        <v>3.54</v>
      </c>
      <c r="E58" t="s">
        <v>1795</v>
      </c>
      <c r="F58" t="s">
        <v>1796</v>
      </c>
      <c r="G58">
        <v>3.54</v>
      </c>
      <c r="H58" t="s">
        <v>754</v>
      </c>
      <c r="I58" t="s">
        <v>1655</v>
      </c>
      <c r="J58">
        <v>3.01</v>
      </c>
      <c r="K58" t="s">
        <v>1656</v>
      </c>
      <c r="L58" t="s">
        <v>1657</v>
      </c>
      <c r="M58" t="s">
        <v>1658</v>
      </c>
      <c r="N58" t="s">
        <v>1659</v>
      </c>
      <c r="O58" t="s">
        <v>1660</v>
      </c>
      <c r="P58">
        <v>3.01</v>
      </c>
    </row>
    <row r="59" spans="1:16" x14ac:dyDescent="0.2">
      <c r="B59" t="s">
        <v>1797</v>
      </c>
      <c r="C59" t="s">
        <v>812</v>
      </c>
      <c r="D59">
        <v>3.6659999999999999</v>
      </c>
      <c r="E59" t="s">
        <v>1798</v>
      </c>
      <c r="F59" s="347" t="s">
        <v>1799</v>
      </c>
      <c r="G59">
        <v>3.6659999999999999</v>
      </c>
      <c r="H59" t="s">
        <v>756</v>
      </c>
      <c r="I59" s="347" t="s">
        <v>1664</v>
      </c>
      <c r="J59">
        <v>3.12</v>
      </c>
      <c r="K59" t="s">
        <v>1665</v>
      </c>
      <c r="L59" t="s">
        <v>1666</v>
      </c>
      <c r="M59">
        <v>3.12</v>
      </c>
      <c r="N59" t="s">
        <v>1667</v>
      </c>
      <c r="O59" t="s">
        <v>1668</v>
      </c>
      <c r="P59">
        <v>3.12</v>
      </c>
    </row>
    <row r="60" spans="1:16" x14ac:dyDescent="0.2">
      <c r="B60" t="s">
        <v>1800</v>
      </c>
      <c r="C60" t="s">
        <v>813</v>
      </c>
      <c r="D60">
        <v>3.855</v>
      </c>
      <c r="E60" t="s">
        <v>1801</v>
      </c>
      <c r="F60" t="s">
        <v>1802</v>
      </c>
      <c r="G60">
        <v>3.855</v>
      </c>
      <c r="H60" t="s">
        <v>758</v>
      </c>
      <c r="I60" t="s">
        <v>1672</v>
      </c>
      <c r="J60">
        <v>3.2850000000000001</v>
      </c>
      <c r="K60" t="s">
        <v>1673</v>
      </c>
      <c r="L60" t="s">
        <v>1674</v>
      </c>
      <c r="M60">
        <v>3.2850000000000001</v>
      </c>
      <c r="N60" t="s">
        <v>1675</v>
      </c>
      <c r="O60" t="s">
        <v>1676</v>
      </c>
      <c r="P60">
        <v>3.2850000000000001</v>
      </c>
    </row>
    <row r="61" spans="1:16" x14ac:dyDescent="0.2">
      <c r="B61" t="s">
        <v>1803</v>
      </c>
      <c r="C61" t="s">
        <v>814</v>
      </c>
      <c r="D61">
        <v>4.17</v>
      </c>
      <c r="E61" t="s">
        <v>1804</v>
      </c>
      <c r="F61" t="s">
        <v>1805</v>
      </c>
      <c r="G61">
        <v>4.17</v>
      </c>
      <c r="H61" t="s">
        <v>760</v>
      </c>
      <c r="I61" t="s">
        <v>1680</v>
      </c>
      <c r="J61">
        <v>3.56</v>
      </c>
      <c r="K61" t="s">
        <v>1681</v>
      </c>
      <c r="L61" t="s">
        <v>1682</v>
      </c>
      <c r="M61" t="s">
        <v>1683</v>
      </c>
      <c r="N61" t="s">
        <v>1684</v>
      </c>
      <c r="O61" t="s">
        <v>1685</v>
      </c>
      <c r="P61">
        <v>3.56</v>
      </c>
    </row>
    <row r="62" spans="1:16" x14ac:dyDescent="0.2">
      <c r="B62" t="s">
        <v>1806</v>
      </c>
      <c r="C62" t="s">
        <v>815</v>
      </c>
      <c r="D62">
        <v>4.9000000000000004</v>
      </c>
      <c r="E62" t="s">
        <v>1807</v>
      </c>
      <c r="F62" t="s">
        <v>1808</v>
      </c>
      <c r="G62">
        <v>4.9000000000000004</v>
      </c>
      <c r="H62" t="s">
        <v>762</v>
      </c>
      <c r="I62" t="s">
        <v>1689</v>
      </c>
      <c r="J62">
        <v>4.2</v>
      </c>
      <c r="K62" t="s">
        <v>1690</v>
      </c>
      <c r="L62" t="s">
        <v>1691</v>
      </c>
      <c r="M62" t="s">
        <v>1692</v>
      </c>
      <c r="N62" t="s">
        <v>1693</v>
      </c>
      <c r="O62" t="s">
        <v>1694</v>
      </c>
      <c r="P62">
        <v>4.2</v>
      </c>
    </row>
    <row r="63" spans="1:16" x14ac:dyDescent="0.2">
      <c r="A63" t="s">
        <v>66</v>
      </c>
      <c r="C63" t="s">
        <v>390</v>
      </c>
      <c r="L63" t="s">
        <v>390</v>
      </c>
      <c r="O63" t="s">
        <v>390</v>
      </c>
    </row>
    <row r="64" spans="1:16" x14ac:dyDescent="0.2">
      <c r="C64" t="s">
        <v>387</v>
      </c>
      <c r="L64" t="s">
        <v>387</v>
      </c>
      <c r="O64" t="s">
        <v>387</v>
      </c>
    </row>
    <row r="65" spans="2:16" x14ac:dyDescent="0.2">
      <c r="B65" t="s">
        <v>1809</v>
      </c>
      <c r="C65" t="s">
        <v>816</v>
      </c>
      <c r="D65">
        <v>2.1800000000000002</v>
      </c>
      <c r="E65" t="s">
        <v>1810</v>
      </c>
      <c r="F65" t="s">
        <v>1811</v>
      </c>
      <c r="G65">
        <v>2.1800000000000002</v>
      </c>
      <c r="H65" t="s">
        <v>817</v>
      </c>
      <c r="I65" t="s">
        <v>1812</v>
      </c>
      <c r="J65">
        <v>2.1800000000000002</v>
      </c>
      <c r="K65" t="s">
        <v>1813</v>
      </c>
      <c r="L65" t="s">
        <v>1814</v>
      </c>
      <c r="M65">
        <v>2.1800000000000002</v>
      </c>
      <c r="N65" t="s">
        <v>1813</v>
      </c>
      <c r="O65" t="s">
        <v>1814</v>
      </c>
      <c r="P65">
        <v>2.1800000000000002</v>
      </c>
    </row>
    <row r="66" spans="2:16" x14ac:dyDescent="0.2">
      <c r="B66" t="s">
        <v>1815</v>
      </c>
      <c r="C66" t="s">
        <v>818</v>
      </c>
      <c r="D66">
        <v>2.57</v>
      </c>
      <c r="E66" t="s">
        <v>1816</v>
      </c>
      <c r="F66" t="s">
        <v>1817</v>
      </c>
      <c r="G66">
        <v>2.57</v>
      </c>
      <c r="H66" t="s">
        <v>819</v>
      </c>
      <c r="I66" t="s">
        <v>1818</v>
      </c>
      <c r="J66">
        <v>2.57</v>
      </c>
      <c r="K66" t="s">
        <v>1819</v>
      </c>
      <c r="L66" t="s">
        <v>1820</v>
      </c>
      <c r="M66">
        <v>2.57</v>
      </c>
      <c r="N66" t="s">
        <v>1819</v>
      </c>
      <c r="O66" t="s">
        <v>1820</v>
      </c>
      <c r="P66">
        <v>2.57</v>
      </c>
    </row>
    <row r="67" spans="2:16" x14ac:dyDescent="0.2">
      <c r="B67" t="s">
        <v>1821</v>
      </c>
      <c r="C67" t="s">
        <v>820</v>
      </c>
      <c r="D67">
        <v>3.05</v>
      </c>
      <c r="E67" t="s">
        <v>1822</v>
      </c>
      <c r="F67" t="s">
        <v>1823</v>
      </c>
      <c r="G67">
        <v>3.05</v>
      </c>
      <c r="H67" t="s">
        <v>821</v>
      </c>
      <c r="I67" t="s">
        <v>1824</v>
      </c>
      <c r="J67">
        <v>3.05</v>
      </c>
      <c r="K67" t="s">
        <v>1825</v>
      </c>
      <c r="L67" t="s">
        <v>1826</v>
      </c>
      <c r="M67">
        <v>3.05</v>
      </c>
      <c r="N67" t="s">
        <v>1825</v>
      </c>
      <c r="O67" t="s">
        <v>1826</v>
      </c>
      <c r="P67">
        <v>3.05</v>
      </c>
    </row>
    <row r="68" spans="2:16" x14ac:dyDescent="0.2">
      <c r="B68" t="s">
        <v>1827</v>
      </c>
      <c r="C68" t="s">
        <v>822</v>
      </c>
      <c r="D68">
        <v>3.6</v>
      </c>
      <c r="E68" t="s">
        <v>1828</v>
      </c>
      <c r="F68" t="s">
        <v>1829</v>
      </c>
      <c r="G68">
        <v>3.6</v>
      </c>
      <c r="H68" t="s">
        <v>823</v>
      </c>
      <c r="I68" t="s">
        <v>1830</v>
      </c>
      <c r="J68">
        <v>3.6</v>
      </c>
      <c r="K68" t="s">
        <v>1831</v>
      </c>
      <c r="L68" t="s">
        <v>1832</v>
      </c>
      <c r="M68">
        <v>3.6</v>
      </c>
      <c r="N68" t="s">
        <v>1831</v>
      </c>
      <c r="O68" t="s">
        <v>1832</v>
      </c>
      <c r="P68">
        <v>3.6</v>
      </c>
    </row>
    <row r="69" spans="2:16" x14ac:dyDescent="0.2">
      <c r="C69" t="s">
        <v>388</v>
      </c>
    </row>
    <row r="70" spans="2:16" x14ac:dyDescent="0.2">
      <c r="B70" t="s">
        <v>1833</v>
      </c>
      <c r="C70" t="s">
        <v>824</v>
      </c>
      <c r="D70">
        <v>2.35</v>
      </c>
      <c r="E70" t="s">
        <v>1834</v>
      </c>
      <c r="F70" t="s">
        <v>1835</v>
      </c>
      <c r="G70">
        <v>2.35</v>
      </c>
      <c r="H70" t="s">
        <v>817</v>
      </c>
      <c r="I70" t="s">
        <v>1812</v>
      </c>
      <c r="J70">
        <v>2.1800000000000002</v>
      </c>
      <c r="K70" t="s">
        <v>1836</v>
      </c>
      <c r="L70" t="s">
        <v>1837</v>
      </c>
      <c r="M70">
        <v>2.35</v>
      </c>
      <c r="N70" t="s">
        <v>1836</v>
      </c>
      <c r="O70" t="s">
        <v>1837</v>
      </c>
      <c r="P70">
        <v>2.35</v>
      </c>
    </row>
    <row r="71" spans="2:16" x14ac:dyDescent="0.2">
      <c r="B71" t="s">
        <v>1838</v>
      </c>
      <c r="C71" t="s">
        <v>825</v>
      </c>
      <c r="D71">
        <v>2.76</v>
      </c>
      <c r="E71" t="s">
        <v>1839</v>
      </c>
      <c r="F71" t="s">
        <v>1840</v>
      </c>
      <c r="G71">
        <v>2.76</v>
      </c>
      <c r="H71" t="s">
        <v>819</v>
      </c>
      <c r="I71" t="s">
        <v>1818</v>
      </c>
      <c r="J71">
        <v>2.57</v>
      </c>
      <c r="K71" t="s">
        <v>1841</v>
      </c>
      <c r="L71" t="s">
        <v>1842</v>
      </c>
      <c r="M71">
        <v>2.76</v>
      </c>
      <c r="N71" t="s">
        <v>1841</v>
      </c>
      <c r="O71" t="s">
        <v>1842</v>
      </c>
      <c r="P71">
        <v>2.76</v>
      </c>
    </row>
    <row r="72" spans="2:16" x14ac:dyDescent="0.2">
      <c r="B72" t="s">
        <v>1843</v>
      </c>
      <c r="C72" t="s">
        <v>826</v>
      </c>
      <c r="D72">
        <v>3.25</v>
      </c>
      <c r="E72" t="s">
        <v>1844</v>
      </c>
      <c r="F72" t="s">
        <v>1845</v>
      </c>
      <c r="G72">
        <v>3.25</v>
      </c>
      <c r="H72" t="s">
        <v>821</v>
      </c>
      <c r="I72" t="s">
        <v>1824</v>
      </c>
      <c r="J72">
        <v>3.05</v>
      </c>
      <c r="K72" t="s">
        <v>1846</v>
      </c>
      <c r="L72" t="s">
        <v>1847</v>
      </c>
      <c r="M72">
        <v>3.25</v>
      </c>
      <c r="N72" t="s">
        <v>1846</v>
      </c>
      <c r="O72" t="s">
        <v>1847</v>
      </c>
      <c r="P72">
        <v>3.25</v>
      </c>
    </row>
    <row r="73" spans="2:16" x14ac:dyDescent="0.2">
      <c r="B73" t="s">
        <v>1848</v>
      </c>
      <c r="C73" t="s">
        <v>827</v>
      </c>
      <c r="D73">
        <v>3.82</v>
      </c>
      <c r="E73" t="s">
        <v>1849</v>
      </c>
      <c r="F73" t="s">
        <v>1850</v>
      </c>
      <c r="G73">
        <v>3.82</v>
      </c>
      <c r="H73" t="s">
        <v>823</v>
      </c>
      <c r="I73" t="s">
        <v>1830</v>
      </c>
      <c r="J73">
        <v>3.6</v>
      </c>
      <c r="K73" t="s">
        <v>1851</v>
      </c>
      <c r="L73" t="s">
        <v>1852</v>
      </c>
      <c r="M73">
        <v>3.82</v>
      </c>
      <c r="N73" t="s">
        <v>1851</v>
      </c>
      <c r="O73" t="s">
        <v>1852</v>
      </c>
      <c r="P73">
        <v>3.82</v>
      </c>
    </row>
    <row r="74" spans="2:16" x14ac:dyDescent="0.2">
      <c r="C74" t="s">
        <v>389</v>
      </c>
    </row>
    <row r="75" spans="2:16" x14ac:dyDescent="0.2">
      <c r="B75" t="s">
        <v>1853</v>
      </c>
      <c r="C75" t="s">
        <v>828</v>
      </c>
      <c r="D75">
        <v>2.5099999999999998</v>
      </c>
      <c r="E75" t="s">
        <v>1854</v>
      </c>
      <c r="F75" t="s">
        <v>1855</v>
      </c>
      <c r="G75">
        <v>2.5099999999999998</v>
      </c>
      <c r="H75" t="s">
        <v>829</v>
      </c>
      <c r="I75" t="s">
        <v>1856</v>
      </c>
      <c r="J75">
        <v>2.5099999999999998</v>
      </c>
      <c r="K75" t="s">
        <v>1857</v>
      </c>
      <c r="L75" t="s">
        <v>1858</v>
      </c>
      <c r="M75">
        <v>2.5099999999999998</v>
      </c>
      <c r="N75" t="s">
        <v>1857</v>
      </c>
      <c r="O75" t="s">
        <v>1858</v>
      </c>
      <c r="P75">
        <v>2.5099999999999998</v>
      </c>
    </row>
    <row r="76" spans="2:16" x14ac:dyDescent="0.2">
      <c r="B76" t="s">
        <v>1859</v>
      </c>
      <c r="C76" t="s">
        <v>830</v>
      </c>
      <c r="D76">
        <v>2.94</v>
      </c>
      <c r="E76" t="s">
        <v>1860</v>
      </c>
      <c r="F76" t="s">
        <v>1861</v>
      </c>
      <c r="G76">
        <v>2.94</v>
      </c>
      <c r="H76" t="s">
        <v>831</v>
      </c>
      <c r="I76" t="s">
        <v>1862</v>
      </c>
      <c r="J76">
        <v>2.94</v>
      </c>
      <c r="K76" t="s">
        <v>1863</v>
      </c>
      <c r="L76" t="s">
        <v>1864</v>
      </c>
      <c r="M76">
        <v>2.94</v>
      </c>
      <c r="N76" t="s">
        <v>1863</v>
      </c>
      <c r="O76" t="s">
        <v>1864</v>
      </c>
      <c r="P76">
        <v>2.94</v>
      </c>
    </row>
    <row r="77" spans="2:16" x14ac:dyDescent="0.2">
      <c r="B77" t="s">
        <v>1865</v>
      </c>
      <c r="C77" t="s">
        <v>832</v>
      </c>
      <c r="D77">
        <v>3.44</v>
      </c>
      <c r="E77" t="s">
        <v>1866</v>
      </c>
      <c r="F77" t="s">
        <v>1867</v>
      </c>
      <c r="G77">
        <v>3.44</v>
      </c>
      <c r="H77" t="s">
        <v>833</v>
      </c>
      <c r="I77" t="s">
        <v>1868</v>
      </c>
      <c r="J77">
        <v>3.44</v>
      </c>
      <c r="K77" t="s">
        <v>1869</v>
      </c>
      <c r="L77" t="s">
        <v>1870</v>
      </c>
      <c r="M77">
        <v>3.44</v>
      </c>
      <c r="N77" t="s">
        <v>1869</v>
      </c>
      <c r="O77" t="s">
        <v>1870</v>
      </c>
      <c r="P77">
        <v>3.44</v>
      </c>
    </row>
    <row r="78" spans="2:16" x14ac:dyDescent="0.2">
      <c r="B78" t="s">
        <v>1871</v>
      </c>
      <c r="C78" t="s">
        <v>834</v>
      </c>
      <c r="D78">
        <v>4.05</v>
      </c>
      <c r="E78" t="s">
        <v>1872</v>
      </c>
      <c r="F78" t="s">
        <v>1873</v>
      </c>
      <c r="G78">
        <v>4.05</v>
      </c>
      <c r="H78" t="s">
        <v>835</v>
      </c>
      <c r="I78" t="s">
        <v>1874</v>
      </c>
      <c r="J78">
        <v>4.05</v>
      </c>
      <c r="K78" t="s">
        <v>1875</v>
      </c>
      <c r="L78" t="s">
        <v>1876</v>
      </c>
      <c r="M78">
        <v>4.05</v>
      </c>
      <c r="N78" t="s">
        <v>1875</v>
      </c>
      <c r="O78" t="s">
        <v>1876</v>
      </c>
      <c r="P78">
        <v>4.05</v>
      </c>
    </row>
    <row r="79" spans="2:16" x14ac:dyDescent="0.2">
      <c r="C79" t="s">
        <v>391</v>
      </c>
    </row>
    <row r="80" spans="2:16" x14ac:dyDescent="0.2">
      <c r="B80" t="s">
        <v>1877</v>
      </c>
      <c r="C80" t="s">
        <v>836</v>
      </c>
      <c r="D80">
        <v>2.66</v>
      </c>
      <c r="E80" t="s">
        <v>1878</v>
      </c>
      <c r="F80" t="s">
        <v>1879</v>
      </c>
      <c r="G80">
        <v>2.66</v>
      </c>
      <c r="H80" t="s">
        <v>829</v>
      </c>
      <c r="I80" t="s">
        <v>1856</v>
      </c>
      <c r="J80">
        <v>2.5099999999999998</v>
      </c>
      <c r="K80" t="s">
        <v>1880</v>
      </c>
      <c r="L80" t="s">
        <v>1881</v>
      </c>
      <c r="M80">
        <v>2.66</v>
      </c>
      <c r="N80" t="s">
        <v>1880</v>
      </c>
      <c r="O80" t="s">
        <v>1881</v>
      </c>
      <c r="P80">
        <v>2.66</v>
      </c>
    </row>
    <row r="81" spans="1:16" x14ac:dyDescent="0.2">
      <c r="B81" t="s">
        <v>1882</v>
      </c>
      <c r="C81" t="s">
        <v>837</v>
      </c>
      <c r="D81">
        <v>3.11</v>
      </c>
      <c r="E81" t="s">
        <v>1883</v>
      </c>
      <c r="F81" t="s">
        <v>1884</v>
      </c>
      <c r="G81">
        <v>3.11</v>
      </c>
      <c r="H81" t="s">
        <v>831</v>
      </c>
      <c r="I81" t="s">
        <v>1862</v>
      </c>
      <c r="J81">
        <v>2.94</v>
      </c>
      <c r="K81" t="s">
        <v>1885</v>
      </c>
      <c r="L81" t="s">
        <v>1886</v>
      </c>
      <c r="M81">
        <v>3.11</v>
      </c>
      <c r="N81" t="s">
        <v>1885</v>
      </c>
      <c r="O81" t="s">
        <v>1886</v>
      </c>
      <c r="P81">
        <v>3.11</v>
      </c>
    </row>
    <row r="82" spans="1:16" x14ac:dyDescent="0.2">
      <c r="B82" t="s">
        <v>1887</v>
      </c>
      <c r="C82" t="s">
        <v>838</v>
      </c>
      <c r="D82">
        <v>3.64</v>
      </c>
      <c r="E82" t="s">
        <v>1888</v>
      </c>
      <c r="F82" t="s">
        <v>1889</v>
      </c>
      <c r="G82">
        <v>3.64</v>
      </c>
      <c r="H82" t="s">
        <v>833</v>
      </c>
      <c r="I82" t="s">
        <v>1868</v>
      </c>
      <c r="J82">
        <v>3.44</v>
      </c>
      <c r="K82" t="s">
        <v>1890</v>
      </c>
      <c r="L82" t="s">
        <v>1891</v>
      </c>
      <c r="M82">
        <v>3.64</v>
      </c>
      <c r="N82" t="s">
        <v>1890</v>
      </c>
      <c r="O82" t="s">
        <v>1891</v>
      </c>
      <c r="P82">
        <v>3.64</v>
      </c>
    </row>
    <row r="83" spans="1:16" x14ac:dyDescent="0.2">
      <c r="B83" t="s">
        <v>1892</v>
      </c>
      <c r="C83" t="s">
        <v>839</v>
      </c>
      <c r="D83">
        <v>4.2</v>
      </c>
      <c r="E83" t="s">
        <v>1893</v>
      </c>
      <c r="F83" t="s">
        <v>1894</v>
      </c>
      <c r="G83">
        <v>4.2</v>
      </c>
      <c r="H83" t="s">
        <v>835</v>
      </c>
      <c r="I83" t="s">
        <v>1874</v>
      </c>
      <c r="J83">
        <v>4.05</v>
      </c>
      <c r="K83" t="s">
        <v>1895</v>
      </c>
      <c r="L83" t="s">
        <v>1896</v>
      </c>
      <c r="M83">
        <v>4.2</v>
      </c>
      <c r="N83" t="s">
        <v>1895</v>
      </c>
      <c r="O83" t="s">
        <v>1896</v>
      </c>
      <c r="P83">
        <v>4.2</v>
      </c>
    </row>
    <row r="84" spans="1:16" x14ac:dyDescent="0.2">
      <c r="C84" t="s">
        <v>392</v>
      </c>
    </row>
    <row r="85" spans="1:16" x14ac:dyDescent="0.2">
      <c r="B85" t="s">
        <v>1897</v>
      </c>
      <c r="C85" t="s">
        <v>840</v>
      </c>
      <c r="D85">
        <v>2.99</v>
      </c>
      <c r="E85" t="s">
        <v>1898</v>
      </c>
      <c r="F85" t="s">
        <v>1899</v>
      </c>
      <c r="G85">
        <v>2.99</v>
      </c>
      <c r="H85" t="s">
        <v>841</v>
      </c>
      <c r="I85" t="s">
        <v>1900</v>
      </c>
      <c r="J85">
        <v>2.99</v>
      </c>
      <c r="K85" t="s">
        <v>1901</v>
      </c>
      <c r="L85" t="s">
        <v>1902</v>
      </c>
      <c r="M85">
        <v>2.99</v>
      </c>
      <c r="N85" t="s">
        <v>1901</v>
      </c>
      <c r="O85" t="s">
        <v>1902</v>
      </c>
      <c r="P85">
        <v>2.99</v>
      </c>
    </row>
    <row r="86" spans="1:16" x14ac:dyDescent="0.2">
      <c r="B86" t="s">
        <v>1903</v>
      </c>
      <c r="C86" t="s">
        <v>842</v>
      </c>
      <c r="D86">
        <v>3.5</v>
      </c>
      <c r="E86" t="s">
        <v>1904</v>
      </c>
      <c r="F86" t="s">
        <v>1905</v>
      </c>
      <c r="G86">
        <v>3.5</v>
      </c>
      <c r="H86" t="s">
        <v>843</v>
      </c>
      <c r="I86" t="s">
        <v>1906</v>
      </c>
      <c r="J86">
        <v>3.5</v>
      </c>
      <c r="K86" t="s">
        <v>1907</v>
      </c>
      <c r="L86" t="s">
        <v>1908</v>
      </c>
      <c r="M86">
        <v>3.5</v>
      </c>
      <c r="N86" t="s">
        <v>1907</v>
      </c>
      <c r="O86" t="s">
        <v>1908</v>
      </c>
      <c r="P86">
        <v>3.5</v>
      </c>
    </row>
    <row r="87" spans="1:16" x14ac:dyDescent="0.2">
      <c r="B87" t="s">
        <v>1909</v>
      </c>
      <c r="C87" t="s">
        <v>844</v>
      </c>
      <c r="D87">
        <v>4.1100000000000003</v>
      </c>
      <c r="E87" t="s">
        <v>1910</v>
      </c>
      <c r="F87" t="s">
        <v>1911</v>
      </c>
      <c r="G87">
        <v>4.1100000000000003</v>
      </c>
      <c r="H87" t="s">
        <v>845</v>
      </c>
      <c r="I87" t="s">
        <v>1912</v>
      </c>
      <c r="J87">
        <v>4.1100000000000003</v>
      </c>
      <c r="K87" t="s">
        <v>1913</v>
      </c>
      <c r="L87" t="s">
        <v>1914</v>
      </c>
      <c r="M87">
        <v>4.1100000000000003</v>
      </c>
      <c r="N87" t="s">
        <v>1913</v>
      </c>
      <c r="O87" t="s">
        <v>1914</v>
      </c>
      <c r="P87">
        <v>4.1100000000000003</v>
      </c>
    </row>
    <row r="88" spans="1:16" x14ac:dyDescent="0.2">
      <c r="B88" t="s">
        <v>1915</v>
      </c>
      <c r="C88" t="s">
        <v>846</v>
      </c>
      <c r="D88">
        <v>4.82</v>
      </c>
      <c r="E88" t="s">
        <v>1916</v>
      </c>
      <c r="F88" t="s">
        <v>1917</v>
      </c>
      <c r="G88">
        <v>4.82</v>
      </c>
      <c r="H88" t="s">
        <v>847</v>
      </c>
      <c r="I88" t="s">
        <v>1918</v>
      </c>
      <c r="J88">
        <v>4.82</v>
      </c>
      <c r="K88" t="s">
        <v>1919</v>
      </c>
      <c r="L88" t="s">
        <v>1920</v>
      </c>
      <c r="M88">
        <v>4.82</v>
      </c>
      <c r="N88" t="s">
        <v>1919</v>
      </c>
      <c r="O88" t="s">
        <v>1920</v>
      </c>
      <c r="P88">
        <v>4.82</v>
      </c>
    </row>
    <row r="89" spans="1:16" x14ac:dyDescent="0.2">
      <c r="C89" t="s">
        <v>393</v>
      </c>
    </row>
    <row r="90" spans="1:16" x14ac:dyDescent="0.2">
      <c r="B90" t="s">
        <v>1921</v>
      </c>
      <c r="C90" t="s">
        <v>848</v>
      </c>
      <c r="D90">
        <v>3.2</v>
      </c>
      <c r="E90" t="s">
        <v>1922</v>
      </c>
      <c r="F90" t="s">
        <v>1923</v>
      </c>
      <c r="G90">
        <v>3.2</v>
      </c>
      <c r="H90" t="s">
        <v>841</v>
      </c>
      <c r="I90" t="s">
        <v>1900</v>
      </c>
      <c r="J90">
        <v>2.99</v>
      </c>
      <c r="K90" t="s">
        <v>1924</v>
      </c>
      <c r="L90" t="s">
        <v>1925</v>
      </c>
      <c r="M90">
        <v>3.2</v>
      </c>
      <c r="N90" t="s">
        <v>1924</v>
      </c>
      <c r="O90" t="s">
        <v>1925</v>
      </c>
      <c r="P90">
        <v>3.2</v>
      </c>
    </row>
    <row r="91" spans="1:16" x14ac:dyDescent="0.2">
      <c r="B91" t="s">
        <v>1926</v>
      </c>
      <c r="C91" t="s">
        <v>849</v>
      </c>
      <c r="D91">
        <v>3.75</v>
      </c>
      <c r="E91" t="s">
        <v>1927</v>
      </c>
      <c r="F91" t="s">
        <v>1928</v>
      </c>
      <c r="G91">
        <v>3.75</v>
      </c>
      <c r="H91" t="s">
        <v>843</v>
      </c>
      <c r="I91" t="s">
        <v>1906</v>
      </c>
      <c r="J91">
        <v>3.5</v>
      </c>
      <c r="K91" t="s">
        <v>1929</v>
      </c>
      <c r="L91" t="s">
        <v>1930</v>
      </c>
      <c r="M91">
        <v>3.75</v>
      </c>
      <c r="N91" t="s">
        <v>1929</v>
      </c>
      <c r="O91" t="s">
        <v>1930</v>
      </c>
      <c r="P91">
        <v>3.75</v>
      </c>
    </row>
    <row r="92" spans="1:16" x14ac:dyDescent="0.2">
      <c r="B92" t="s">
        <v>1931</v>
      </c>
      <c r="C92" t="s">
        <v>850</v>
      </c>
      <c r="D92">
        <v>4.3899999999999997</v>
      </c>
      <c r="E92" t="s">
        <v>1932</v>
      </c>
      <c r="F92" t="s">
        <v>1933</v>
      </c>
      <c r="G92">
        <v>4.3899999999999997</v>
      </c>
      <c r="H92" t="s">
        <v>845</v>
      </c>
      <c r="I92" t="s">
        <v>1912</v>
      </c>
      <c r="J92">
        <v>4.1100000000000003</v>
      </c>
      <c r="K92" t="s">
        <v>1934</v>
      </c>
      <c r="L92" t="s">
        <v>1935</v>
      </c>
      <c r="M92">
        <v>4.3899999999999997</v>
      </c>
      <c r="N92" t="s">
        <v>1934</v>
      </c>
      <c r="O92" t="s">
        <v>1935</v>
      </c>
      <c r="P92">
        <v>4.3899999999999997</v>
      </c>
    </row>
    <row r="93" spans="1:16" x14ac:dyDescent="0.2">
      <c r="B93" t="s">
        <v>1936</v>
      </c>
      <c r="C93" t="s">
        <v>851</v>
      </c>
      <c r="D93">
        <v>5.15</v>
      </c>
      <c r="E93" t="s">
        <v>1937</v>
      </c>
      <c r="F93" t="s">
        <v>1938</v>
      </c>
      <c r="G93">
        <v>5.15</v>
      </c>
      <c r="H93" t="s">
        <v>847</v>
      </c>
      <c r="I93" t="s">
        <v>1918</v>
      </c>
      <c r="J93">
        <v>4.82</v>
      </c>
      <c r="K93" t="s">
        <v>1939</v>
      </c>
      <c r="L93" t="s">
        <v>1940</v>
      </c>
      <c r="M93">
        <v>5.15</v>
      </c>
      <c r="N93" t="s">
        <v>1939</v>
      </c>
      <c r="O93" t="s">
        <v>1940</v>
      </c>
      <c r="P93">
        <v>5.15</v>
      </c>
    </row>
    <row r="94" spans="1:16" x14ac:dyDescent="0.2">
      <c r="A94" t="s">
        <v>96</v>
      </c>
      <c r="C94" t="s">
        <v>394</v>
      </c>
    </row>
    <row r="95" spans="1:16" x14ac:dyDescent="0.2">
      <c r="C95" t="s">
        <v>852</v>
      </c>
    </row>
    <row r="96" spans="1:16" x14ac:dyDescent="0.2">
      <c r="B96" t="s">
        <v>1941</v>
      </c>
      <c r="C96" t="s">
        <v>853</v>
      </c>
      <c r="D96">
        <v>2.81</v>
      </c>
      <c r="E96" t="s">
        <v>1942</v>
      </c>
      <c r="F96" t="s">
        <v>1943</v>
      </c>
      <c r="G96">
        <v>2.81</v>
      </c>
      <c r="H96" t="s">
        <v>854</v>
      </c>
      <c r="I96" t="s">
        <v>855</v>
      </c>
      <c r="J96">
        <v>3.73</v>
      </c>
      <c r="K96" t="s">
        <v>1942</v>
      </c>
      <c r="L96" t="s">
        <v>1944</v>
      </c>
      <c r="M96">
        <v>2.81</v>
      </c>
      <c r="N96" t="s">
        <v>1942</v>
      </c>
      <c r="O96" t="s">
        <v>1944</v>
      </c>
      <c r="P96">
        <v>2.81</v>
      </c>
    </row>
    <row r="97" spans="1:16" x14ac:dyDescent="0.2">
      <c r="B97" t="s">
        <v>1945</v>
      </c>
      <c r="C97" t="s">
        <v>856</v>
      </c>
      <c r="D97">
        <v>2.99</v>
      </c>
      <c r="E97" t="s">
        <v>1946</v>
      </c>
      <c r="F97" t="s">
        <v>1947</v>
      </c>
      <c r="G97">
        <v>2.99</v>
      </c>
      <c r="H97" t="s">
        <v>857</v>
      </c>
      <c r="I97" t="s">
        <v>858</v>
      </c>
      <c r="J97">
        <v>3.91</v>
      </c>
      <c r="K97" t="s">
        <v>1946</v>
      </c>
      <c r="L97" t="s">
        <v>1948</v>
      </c>
      <c r="M97">
        <v>2.99</v>
      </c>
      <c r="N97" t="s">
        <v>1946</v>
      </c>
      <c r="O97" t="s">
        <v>1948</v>
      </c>
      <c r="P97">
        <v>2.99</v>
      </c>
    </row>
    <row r="98" spans="1:16" x14ac:dyDescent="0.2">
      <c r="C98" t="s">
        <v>859</v>
      </c>
    </row>
    <row r="99" spans="1:16" x14ac:dyDescent="0.2">
      <c r="B99" t="s">
        <v>1949</v>
      </c>
      <c r="C99" t="s">
        <v>860</v>
      </c>
      <c r="D99">
        <v>3.73</v>
      </c>
      <c r="E99" t="s">
        <v>1950</v>
      </c>
      <c r="F99" t="s">
        <v>1951</v>
      </c>
      <c r="G99">
        <v>3.73</v>
      </c>
      <c r="H99" t="s">
        <v>854</v>
      </c>
      <c r="I99" t="s">
        <v>855</v>
      </c>
      <c r="J99">
        <v>3.73</v>
      </c>
      <c r="K99" t="s">
        <v>1950</v>
      </c>
      <c r="L99" t="s">
        <v>1951</v>
      </c>
      <c r="M99">
        <v>3.73</v>
      </c>
      <c r="N99" t="s">
        <v>1950</v>
      </c>
      <c r="O99" t="s">
        <v>1951</v>
      </c>
      <c r="P99">
        <v>3.73</v>
      </c>
    </row>
    <row r="100" spans="1:16" x14ac:dyDescent="0.2">
      <c r="B100" t="s">
        <v>1952</v>
      </c>
      <c r="C100" t="s">
        <v>861</v>
      </c>
      <c r="D100">
        <v>3.91</v>
      </c>
      <c r="E100" t="s">
        <v>1953</v>
      </c>
      <c r="F100" t="s">
        <v>1954</v>
      </c>
      <c r="G100">
        <v>3.91</v>
      </c>
      <c r="H100" t="s">
        <v>857</v>
      </c>
      <c r="I100" t="s">
        <v>858</v>
      </c>
      <c r="J100">
        <v>3.91</v>
      </c>
      <c r="K100" t="s">
        <v>1953</v>
      </c>
      <c r="L100" t="s">
        <v>1954</v>
      </c>
      <c r="M100">
        <v>3.91</v>
      </c>
      <c r="N100" t="s">
        <v>1953</v>
      </c>
      <c r="O100" t="s">
        <v>1954</v>
      </c>
      <c r="P100">
        <v>3.91</v>
      </c>
    </row>
    <row r="101" spans="1:16" x14ac:dyDescent="0.2">
      <c r="C101" t="s">
        <v>862</v>
      </c>
    </row>
    <row r="102" spans="1:16" x14ac:dyDescent="0.2">
      <c r="B102" t="s">
        <v>1955</v>
      </c>
      <c r="C102" t="s">
        <v>863</v>
      </c>
      <c r="D102">
        <v>4.1399999999999997</v>
      </c>
      <c r="E102" t="s">
        <v>1956</v>
      </c>
      <c r="F102" t="s">
        <v>1957</v>
      </c>
      <c r="G102">
        <v>4.1399999999999997</v>
      </c>
      <c r="H102" t="s">
        <v>864</v>
      </c>
      <c r="I102" t="s">
        <v>865</v>
      </c>
      <c r="J102">
        <v>4.1399999999999997</v>
      </c>
      <c r="K102" t="s">
        <v>1956</v>
      </c>
      <c r="L102" t="s">
        <v>1957</v>
      </c>
      <c r="M102">
        <v>4.1399999999999997</v>
      </c>
      <c r="N102" t="s">
        <v>1956</v>
      </c>
      <c r="O102" t="s">
        <v>1957</v>
      </c>
      <c r="P102">
        <v>4.1399999999999997</v>
      </c>
    </row>
    <row r="103" spans="1:16" x14ac:dyDescent="0.2">
      <c r="B103" t="s">
        <v>1958</v>
      </c>
      <c r="C103" t="s">
        <v>866</v>
      </c>
      <c r="D103">
        <v>4.3600000000000003</v>
      </c>
      <c r="E103" t="s">
        <v>1959</v>
      </c>
      <c r="F103" t="s">
        <v>1960</v>
      </c>
      <c r="G103">
        <v>4.3600000000000003</v>
      </c>
      <c r="H103" t="s">
        <v>867</v>
      </c>
      <c r="I103" t="s">
        <v>868</v>
      </c>
      <c r="J103">
        <v>4.3600000000000003</v>
      </c>
      <c r="K103" t="s">
        <v>1959</v>
      </c>
      <c r="L103" t="s">
        <v>1960</v>
      </c>
      <c r="M103">
        <v>4.3600000000000003</v>
      </c>
      <c r="N103" t="s">
        <v>1959</v>
      </c>
      <c r="O103" t="s">
        <v>1960</v>
      </c>
      <c r="P103">
        <v>4.3600000000000003</v>
      </c>
    </row>
    <row r="104" spans="1:16" x14ac:dyDescent="0.2">
      <c r="C104" t="s">
        <v>869</v>
      </c>
    </row>
    <row r="105" spans="1:16" x14ac:dyDescent="0.2">
      <c r="B105" t="s">
        <v>1961</v>
      </c>
      <c r="C105" t="s">
        <v>870</v>
      </c>
      <c r="D105">
        <v>4.68</v>
      </c>
      <c r="E105" t="s">
        <v>1962</v>
      </c>
      <c r="F105" t="s">
        <v>1963</v>
      </c>
      <c r="G105">
        <v>4.68</v>
      </c>
      <c r="H105" t="s">
        <v>864</v>
      </c>
      <c r="I105" t="s">
        <v>865</v>
      </c>
      <c r="J105">
        <v>4.1399999999999997</v>
      </c>
      <c r="K105" t="s">
        <v>1962</v>
      </c>
      <c r="L105" t="s">
        <v>1963</v>
      </c>
      <c r="M105">
        <v>4.68</v>
      </c>
      <c r="N105" t="s">
        <v>1962</v>
      </c>
      <c r="O105" t="s">
        <v>1963</v>
      </c>
      <c r="P105">
        <v>4.68</v>
      </c>
    </row>
    <row r="106" spans="1:16" x14ac:dyDescent="0.2">
      <c r="B106" t="s">
        <v>1964</v>
      </c>
      <c r="C106" t="s">
        <v>871</v>
      </c>
      <c r="D106">
        <v>4.92</v>
      </c>
      <c r="E106" t="s">
        <v>1965</v>
      </c>
      <c r="F106" t="s">
        <v>1966</v>
      </c>
      <c r="G106">
        <v>4.92</v>
      </c>
      <c r="H106" t="s">
        <v>867</v>
      </c>
      <c r="I106" t="s">
        <v>868</v>
      </c>
      <c r="J106">
        <v>4.3600000000000003</v>
      </c>
      <c r="K106" t="s">
        <v>1965</v>
      </c>
      <c r="L106" t="s">
        <v>1966</v>
      </c>
      <c r="M106">
        <v>4.92</v>
      </c>
      <c r="N106" t="s">
        <v>1965</v>
      </c>
      <c r="O106" t="s">
        <v>1966</v>
      </c>
      <c r="P106">
        <v>4.92</v>
      </c>
    </row>
    <row r="107" spans="1:16" x14ac:dyDescent="0.2">
      <c r="A107" t="s">
        <v>395</v>
      </c>
      <c r="C107" t="s">
        <v>396</v>
      </c>
    </row>
    <row r="108" spans="1:16" x14ac:dyDescent="0.2">
      <c r="C108" t="s">
        <v>387</v>
      </c>
    </row>
    <row r="109" spans="1:16" x14ac:dyDescent="0.2">
      <c r="B109" t="s">
        <v>1967</v>
      </c>
      <c r="C109" t="s">
        <v>872</v>
      </c>
      <c r="D109">
        <v>2.5099999999999998</v>
      </c>
      <c r="E109" t="s">
        <v>1968</v>
      </c>
      <c r="F109" t="s">
        <v>1969</v>
      </c>
      <c r="G109">
        <v>2.5099999999999998</v>
      </c>
      <c r="H109" t="s">
        <v>873</v>
      </c>
      <c r="I109" t="s">
        <v>874</v>
      </c>
      <c r="J109">
        <v>3.17</v>
      </c>
      <c r="K109" t="s">
        <v>1968</v>
      </c>
      <c r="L109" t="s">
        <v>1969</v>
      </c>
      <c r="M109">
        <v>2.5099999999999998</v>
      </c>
      <c r="N109" t="s">
        <v>1968</v>
      </c>
      <c r="O109" t="s">
        <v>1969</v>
      </c>
      <c r="P109">
        <v>2.5099999999999998</v>
      </c>
    </row>
    <row r="110" spans="1:16" x14ac:dyDescent="0.2">
      <c r="B110" t="s">
        <v>1970</v>
      </c>
      <c r="C110" t="s">
        <v>875</v>
      </c>
      <c r="D110">
        <v>2.66</v>
      </c>
      <c r="E110" t="s">
        <v>1971</v>
      </c>
      <c r="F110" t="s">
        <v>1972</v>
      </c>
      <c r="G110">
        <v>2.66</v>
      </c>
      <c r="H110" t="s">
        <v>876</v>
      </c>
      <c r="I110" t="s">
        <v>877</v>
      </c>
      <c r="J110">
        <v>3.3</v>
      </c>
      <c r="K110" t="s">
        <v>1971</v>
      </c>
      <c r="L110" t="s">
        <v>1972</v>
      </c>
      <c r="M110">
        <v>2.66</v>
      </c>
      <c r="N110" t="s">
        <v>1971</v>
      </c>
      <c r="O110" t="s">
        <v>1972</v>
      </c>
      <c r="P110">
        <v>2.66</v>
      </c>
    </row>
    <row r="111" spans="1:16" x14ac:dyDescent="0.2">
      <c r="C111" t="s">
        <v>388</v>
      </c>
    </row>
    <row r="112" spans="1:16" x14ac:dyDescent="0.2">
      <c r="B112" t="s">
        <v>1973</v>
      </c>
      <c r="C112" t="s">
        <v>878</v>
      </c>
      <c r="D112">
        <v>3.17</v>
      </c>
      <c r="E112" t="s">
        <v>1974</v>
      </c>
      <c r="F112" t="s">
        <v>1975</v>
      </c>
      <c r="G112">
        <v>3.17</v>
      </c>
      <c r="H112" t="s">
        <v>873</v>
      </c>
      <c r="I112" t="s">
        <v>874</v>
      </c>
      <c r="J112">
        <v>3.17</v>
      </c>
      <c r="K112" t="s">
        <v>1974</v>
      </c>
      <c r="L112" t="s">
        <v>1975</v>
      </c>
      <c r="M112">
        <v>3.17</v>
      </c>
      <c r="N112" t="s">
        <v>1974</v>
      </c>
      <c r="O112" t="s">
        <v>1975</v>
      </c>
      <c r="P112">
        <v>3.17</v>
      </c>
    </row>
    <row r="113" spans="1:16" x14ac:dyDescent="0.2">
      <c r="B113" t="s">
        <v>1976</v>
      </c>
      <c r="C113" t="s">
        <v>879</v>
      </c>
      <c r="D113">
        <v>3.3</v>
      </c>
      <c r="E113" t="s">
        <v>1977</v>
      </c>
      <c r="F113" t="s">
        <v>1978</v>
      </c>
      <c r="G113">
        <v>3.3</v>
      </c>
      <c r="H113" t="s">
        <v>876</v>
      </c>
      <c r="I113" t="s">
        <v>877</v>
      </c>
      <c r="J113">
        <v>3.3</v>
      </c>
      <c r="K113" t="s">
        <v>1977</v>
      </c>
      <c r="L113" t="s">
        <v>1978</v>
      </c>
      <c r="M113">
        <v>3.3</v>
      </c>
      <c r="N113" t="s">
        <v>1977</v>
      </c>
      <c r="O113" t="s">
        <v>1978</v>
      </c>
      <c r="P113">
        <v>3.3</v>
      </c>
    </row>
    <row r="114" spans="1:16" x14ac:dyDescent="0.2">
      <c r="C114" t="s">
        <v>389</v>
      </c>
    </row>
    <row r="115" spans="1:16" x14ac:dyDescent="0.2">
      <c r="B115" t="s">
        <v>1979</v>
      </c>
      <c r="C115" t="s">
        <v>880</v>
      </c>
      <c r="D115">
        <v>3.55</v>
      </c>
      <c r="E115" t="s">
        <v>1980</v>
      </c>
      <c r="F115" t="s">
        <v>1981</v>
      </c>
      <c r="G115">
        <v>3.55</v>
      </c>
      <c r="H115" t="s">
        <v>881</v>
      </c>
      <c r="I115" t="s">
        <v>882</v>
      </c>
      <c r="J115">
        <v>3.55</v>
      </c>
      <c r="K115" t="s">
        <v>1980</v>
      </c>
      <c r="L115" t="s">
        <v>1981</v>
      </c>
      <c r="M115">
        <v>3.55</v>
      </c>
      <c r="N115" t="s">
        <v>1980</v>
      </c>
      <c r="O115" t="s">
        <v>1981</v>
      </c>
      <c r="P115">
        <v>3.55</v>
      </c>
    </row>
    <row r="116" spans="1:16" x14ac:dyDescent="0.2">
      <c r="B116" t="s">
        <v>1982</v>
      </c>
      <c r="C116" t="s">
        <v>883</v>
      </c>
      <c r="D116">
        <v>3.76</v>
      </c>
      <c r="E116" t="s">
        <v>1983</v>
      </c>
      <c r="F116" t="s">
        <v>1984</v>
      </c>
      <c r="G116">
        <v>3.76</v>
      </c>
      <c r="H116" t="s">
        <v>884</v>
      </c>
      <c r="I116" t="s">
        <v>885</v>
      </c>
      <c r="J116">
        <v>3.76</v>
      </c>
      <c r="K116" t="s">
        <v>1983</v>
      </c>
      <c r="L116" t="s">
        <v>1984</v>
      </c>
      <c r="M116">
        <v>3.76</v>
      </c>
      <c r="N116" t="s">
        <v>1983</v>
      </c>
      <c r="O116" t="s">
        <v>1984</v>
      </c>
      <c r="P116">
        <v>3.76</v>
      </c>
    </row>
    <row r="117" spans="1:16" x14ac:dyDescent="0.2">
      <c r="C117" t="s">
        <v>391</v>
      </c>
    </row>
    <row r="118" spans="1:16" x14ac:dyDescent="0.2">
      <c r="B118" t="s">
        <v>1985</v>
      </c>
      <c r="C118" t="s">
        <v>886</v>
      </c>
      <c r="D118">
        <v>4.16</v>
      </c>
      <c r="E118" t="s">
        <v>1986</v>
      </c>
      <c r="F118" t="s">
        <v>1987</v>
      </c>
      <c r="G118">
        <v>4.16</v>
      </c>
      <c r="H118" t="s">
        <v>881</v>
      </c>
      <c r="I118" t="s">
        <v>882</v>
      </c>
      <c r="J118">
        <v>3.55</v>
      </c>
      <c r="K118" t="s">
        <v>1986</v>
      </c>
      <c r="L118" t="s">
        <v>1987</v>
      </c>
      <c r="M118">
        <v>4.16</v>
      </c>
      <c r="N118" t="s">
        <v>1986</v>
      </c>
      <c r="O118" t="s">
        <v>1987</v>
      </c>
      <c r="P118">
        <v>4.16</v>
      </c>
    </row>
    <row r="119" spans="1:16" x14ac:dyDescent="0.2">
      <c r="B119" t="s">
        <v>1988</v>
      </c>
      <c r="C119" t="s">
        <v>887</v>
      </c>
      <c r="D119">
        <v>4.37</v>
      </c>
      <c r="E119" t="s">
        <v>1989</v>
      </c>
      <c r="F119" t="s">
        <v>1990</v>
      </c>
      <c r="G119">
        <v>4.37</v>
      </c>
      <c r="H119" t="s">
        <v>884</v>
      </c>
      <c r="I119" t="s">
        <v>885</v>
      </c>
      <c r="J119">
        <v>3.76</v>
      </c>
      <c r="K119" t="s">
        <v>1989</v>
      </c>
      <c r="L119" t="s">
        <v>1990</v>
      </c>
      <c r="M119">
        <v>4.37</v>
      </c>
      <c r="N119" t="s">
        <v>1989</v>
      </c>
      <c r="O119" t="s">
        <v>1990</v>
      </c>
      <c r="P119">
        <v>4.37</v>
      </c>
    </row>
    <row r="120" spans="1:16" x14ac:dyDescent="0.2">
      <c r="A120" t="s">
        <v>397</v>
      </c>
      <c r="C120" t="s">
        <v>398</v>
      </c>
    </row>
    <row r="121" spans="1:16" x14ac:dyDescent="0.2">
      <c r="C121" t="s">
        <v>388</v>
      </c>
    </row>
    <row r="122" spans="1:16" x14ac:dyDescent="0.2">
      <c r="B122" t="s">
        <v>1991</v>
      </c>
      <c r="C122" t="s">
        <v>888</v>
      </c>
      <c r="D122">
        <v>2.66</v>
      </c>
      <c r="E122" t="s">
        <v>1992</v>
      </c>
      <c r="F122" t="s">
        <v>1993</v>
      </c>
      <c r="G122">
        <v>2.66</v>
      </c>
      <c r="H122" t="s">
        <v>889</v>
      </c>
      <c r="I122" t="s">
        <v>890</v>
      </c>
      <c r="J122">
        <v>2.66</v>
      </c>
      <c r="K122" t="s">
        <v>1992</v>
      </c>
      <c r="L122" t="s">
        <v>1993</v>
      </c>
      <c r="M122">
        <v>2.66</v>
      </c>
      <c r="N122" t="s">
        <v>1992</v>
      </c>
      <c r="O122" t="s">
        <v>1993</v>
      </c>
      <c r="P122">
        <v>2.66</v>
      </c>
    </row>
    <row r="123" spans="1:16" x14ac:dyDescent="0.2">
      <c r="B123" t="s">
        <v>1994</v>
      </c>
      <c r="C123" t="s">
        <v>891</v>
      </c>
      <c r="D123">
        <v>2.81</v>
      </c>
      <c r="E123" t="s">
        <v>1995</v>
      </c>
      <c r="F123" t="s">
        <v>1996</v>
      </c>
      <c r="G123">
        <v>2.81</v>
      </c>
      <c r="H123" t="s">
        <v>892</v>
      </c>
      <c r="I123" t="s">
        <v>893</v>
      </c>
      <c r="J123">
        <v>2.81</v>
      </c>
      <c r="K123" t="s">
        <v>1995</v>
      </c>
      <c r="L123" t="s">
        <v>1996</v>
      </c>
      <c r="M123">
        <v>2.81</v>
      </c>
      <c r="N123" t="s">
        <v>1995</v>
      </c>
      <c r="O123" t="s">
        <v>1996</v>
      </c>
      <c r="P123">
        <v>2.81</v>
      </c>
    </row>
    <row r="124" spans="1:16" x14ac:dyDescent="0.2">
      <c r="C124" t="s">
        <v>389</v>
      </c>
    </row>
    <row r="125" spans="1:16" x14ac:dyDescent="0.2">
      <c r="B125" t="s">
        <v>1997</v>
      </c>
      <c r="C125" t="s">
        <v>894</v>
      </c>
      <c r="D125">
        <v>2.93</v>
      </c>
      <c r="E125" t="s">
        <v>1998</v>
      </c>
      <c r="F125" t="s">
        <v>1999</v>
      </c>
      <c r="G125">
        <v>2.93</v>
      </c>
      <c r="H125" t="s">
        <v>889</v>
      </c>
      <c r="I125" t="s">
        <v>890</v>
      </c>
      <c r="J125">
        <v>2.66</v>
      </c>
      <c r="K125" t="s">
        <v>1998</v>
      </c>
      <c r="L125" t="s">
        <v>1999</v>
      </c>
      <c r="M125">
        <v>2.93</v>
      </c>
      <c r="N125" t="s">
        <v>1998</v>
      </c>
      <c r="O125" t="s">
        <v>1999</v>
      </c>
      <c r="P125">
        <v>2.93</v>
      </c>
    </row>
    <row r="126" spans="1:16" x14ac:dyDescent="0.2">
      <c r="B126" t="s">
        <v>2000</v>
      </c>
      <c r="C126" t="s">
        <v>897</v>
      </c>
      <c r="D126">
        <v>3.1</v>
      </c>
      <c r="E126" t="s">
        <v>2001</v>
      </c>
      <c r="F126" t="s">
        <v>2002</v>
      </c>
      <c r="G126">
        <v>3.1</v>
      </c>
      <c r="H126" t="s">
        <v>892</v>
      </c>
      <c r="I126" t="s">
        <v>893</v>
      </c>
      <c r="J126">
        <v>2.81</v>
      </c>
      <c r="K126" t="s">
        <v>2001</v>
      </c>
      <c r="L126" t="s">
        <v>2002</v>
      </c>
      <c r="M126">
        <v>3.1</v>
      </c>
      <c r="N126" t="s">
        <v>2001</v>
      </c>
      <c r="O126" t="s">
        <v>2002</v>
      </c>
      <c r="P126">
        <v>3.1</v>
      </c>
    </row>
    <row r="127" spans="1:16" x14ac:dyDescent="0.2">
      <c r="C127" t="s">
        <v>391</v>
      </c>
    </row>
    <row r="128" spans="1:16" x14ac:dyDescent="0.2">
      <c r="B128" t="s">
        <v>2003</v>
      </c>
      <c r="C128" t="s">
        <v>900</v>
      </c>
      <c r="D128">
        <v>3.55</v>
      </c>
      <c r="E128" t="s">
        <v>2004</v>
      </c>
      <c r="F128" t="s">
        <v>2005</v>
      </c>
      <c r="G128">
        <v>3.55</v>
      </c>
      <c r="H128" t="s">
        <v>895</v>
      </c>
      <c r="I128" t="s">
        <v>896</v>
      </c>
      <c r="J128">
        <v>2.93</v>
      </c>
      <c r="K128" t="s">
        <v>2004</v>
      </c>
      <c r="L128" t="s">
        <v>2005</v>
      </c>
      <c r="M128">
        <v>3.55</v>
      </c>
      <c r="N128" t="s">
        <v>2004</v>
      </c>
      <c r="O128" t="s">
        <v>2005</v>
      </c>
      <c r="P128">
        <v>3.55</v>
      </c>
    </row>
    <row r="129" spans="1:16" x14ac:dyDescent="0.2">
      <c r="B129" t="s">
        <v>2006</v>
      </c>
      <c r="C129" t="s">
        <v>901</v>
      </c>
      <c r="D129">
        <v>3.76</v>
      </c>
      <c r="E129" t="s">
        <v>2007</v>
      </c>
      <c r="F129" t="s">
        <v>2008</v>
      </c>
      <c r="G129">
        <v>3.76</v>
      </c>
      <c r="H129" t="s">
        <v>898</v>
      </c>
      <c r="I129" t="s">
        <v>899</v>
      </c>
      <c r="J129">
        <v>3.1</v>
      </c>
      <c r="K129" t="s">
        <v>2007</v>
      </c>
      <c r="L129" t="s">
        <v>2008</v>
      </c>
      <c r="M129">
        <v>3.76</v>
      </c>
      <c r="N129" t="s">
        <v>2007</v>
      </c>
      <c r="O129" t="s">
        <v>2008</v>
      </c>
      <c r="P129">
        <v>3.76</v>
      </c>
    </row>
    <row r="130" spans="1:16" x14ac:dyDescent="0.2">
      <c r="A130" t="s">
        <v>399</v>
      </c>
      <c r="C130" t="s">
        <v>400</v>
      </c>
    </row>
    <row r="131" spans="1:16" x14ac:dyDescent="0.2">
      <c r="B131" t="s">
        <v>2009</v>
      </c>
      <c r="C131" t="s">
        <v>902</v>
      </c>
      <c r="D131">
        <v>2.1800000000000002</v>
      </c>
      <c r="E131" t="s">
        <v>2010</v>
      </c>
      <c r="F131" t="s">
        <v>2011</v>
      </c>
      <c r="G131">
        <v>2.1800000000000002</v>
      </c>
      <c r="H131" t="s">
        <v>903</v>
      </c>
      <c r="I131" t="s">
        <v>904</v>
      </c>
      <c r="J131">
        <v>1.93</v>
      </c>
      <c r="K131" t="s">
        <v>2010</v>
      </c>
      <c r="L131" t="s">
        <v>2011</v>
      </c>
      <c r="M131">
        <v>2.1800000000000002</v>
      </c>
      <c r="N131" t="s">
        <v>2010</v>
      </c>
      <c r="O131" t="s">
        <v>2011</v>
      </c>
      <c r="P131">
        <v>2.1800000000000002</v>
      </c>
    </row>
    <row r="132" spans="1:16" x14ac:dyDescent="0.2">
      <c r="B132" t="s">
        <v>2012</v>
      </c>
      <c r="C132" t="s">
        <v>905</v>
      </c>
      <c r="D132">
        <v>2.59</v>
      </c>
      <c r="E132" t="s">
        <v>2013</v>
      </c>
      <c r="F132" t="s">
        <v>2014</v>
      </c>
      <c r="G132">
        <v>2.59</v>
      </c>
      <c r="H132" t="s">
        <v>906</v>
      </c>
      <c r="I132" t="s">
        <v>907</v>
      </c>
      <c r="J132">
        <v>2.1800000000000002</v>
      </c>
      <c r="K132" t="s">
        <v>2013</v>
      </c>
      <c r="L132" t="s">
        <v>2014</v>
      </c>
      <c r="M132">
        <v>2.59</v>
      </c>
      <c r="N132" t="s">
        <v>2013</v>
      </c>
      <c r="O132" t="s">
        <v>2014</v>
      </c>
      <c r="P132">
        <v>2.59</v>
      </c>
    </row>
    <row r="133" spans="1:16" x14ac:dyDescent="0.2">
      <c r="B133" t="s">
        <v>2015</v>
      </c>
      <c r="C133" t="s">
        <v>908</v>
      </c>
      <c r="D133">
        <v>3.08</v>
      </c>
      <c r="E133" t="s">
        <v>2016</v>
      </c>
      <c r="F133" t="s">
        <v>2017</v>
      </c>
      <c r="G133">
        <v>3.08</v>
      </c>
      <c r="H133" t="s">
        <v>909</v>
      </c>
      <c r="I133" t="s">
        <v>910</v>
      </c>
      <c r="J133">
        <v>2.5099999999999998</v>
      </c>
      <c r="K133" t="s">
        <v>2016</v>
      </c>
      <c r="L133" t="s">
        <v>2017</v>
      </c>
      <c r="M133">
        <v>3.08</v>
      </c>
      <c r="N133" t="s">
        <v>2016</v>
      </c>
      <c r="O133" t="s">
        <v>2017</v>
      </c>
      <c r="P133">
        <v>3.08</v>
      </c>
    </row>
    <row r="134" spans="1:16" x14ac:dyDescent="0.2">
      <c r="B134" t="s">
        <v>2018</v>
      </c>
      <c r="C134" t="s">
        <v>911</v>
      </c>
      <c r="D134">
        <v>3.73</v>
      </c>
      <c r="E134" t="s">
        <v>2019</v>
      </c>
      <c r="F134" t="s">
        <v>2020</v>
      </c>
      <c r="G134">
        <v>3.73</v>
      </c>
      <c r="H134" t="s">
        <v>912</v>
      </c>
      <c r="I134" t="s">
        <v>913</v>
      </c>
      <c r="J134">
        <v>2.83</v>
      </c>
      <c r="K134" t="s">
        <v>2019</v>
      </c>
      <c r="L134" t="s">
        <v>2020</v>
      </c>
      <c r="M134">
        <v>3.73</v>
      </c>
      <c r="N134" t="s">
        <v>2019</v>
      </c>
      <c r="O134" t="s">
        <v>2020</v>
      </c>
      <c r="P134">
        <v>3.73</v>
      </c>
    </row>
    <row r="135" spans="1:16" x14ac:dyDescent="0.2">
      <c r="A135" t="s">
        <v>99</v>
      </c>
      <c r="C135" t="s">
        <v>401</v>
      </c>
    </row>
    <row r="136" spans="1:16" x14ac:dyDescent="0.2">
      <c r="B136" t="s">
        <v>2021</v>
      </c>
      <c r="C136" t="s">
        <v>914</v>
      </c>
      <c r="D136">
        <v>2.5099999999999998</v>
      </c>
      <c r="E136" t="s">
        <v>2022</v>
      </c>
      <c r="F136" t="s">
        <v>2023</v>
      </c>
      <c r="G136">
        <v>2.5099999999999998</v>
      </c>
      <c r="H136" t="s">
        <v>915</v>
      </c>
      <c r="I136" t="s">
        <v>916</v>
      </c>
      <c r="J136">
        <v>2.0499999999999998</v>
      </c>
      <c r="K136" t="s">
        <v>2022</v>
      </c>
      <c r="L136" t="s">
        <v>2023</v>
      </c>
      <c r="M136">
        <v>2.5099999999999998</v>
      </c>
      <c r="N136" t="s">
        <v>2022</v>
      </c>
      <c r="O136" t="s">
        <v>2023</v>
      </c>
      <c r="P136">
        <v>2.5099999999999998</v>
      </c>
    </row>
    <row r="137" spans="1:16" x14ac:dyDescent="0.2">
      <c r="B137" t="s">
        <v>2024</v>
      </c>
      <c r="C137" t="s">
        <v>917</v>
      </c>
      <c r="D137">
        <v>2.93</v>
      </c>
      <c r="E137" t="s">
        <v>2025</v>
      </c>
      <c r="F137" t="s">
        <v>2026</v>
      </c>
      <c r="G137">
        <v>2.93</v>
      </c>
      <c r="H137" t="s">
        <v>918</v>
      </c>
      <c r="I137" t="s">
        <v>919</v>
      </c>
      <c r="J137">
        <v>2.35</v>
      </c>
      <c r="K137" t="s">
        <v>2025</v>
      </c>
      <c r="L137" t="s">
        <v>2026</v>
      </c>
      <c r="M137">
        <v>2.93</v>
      </c>
      <c r="N137" t="s">
        <v>2025</v>
      </c>
      <c r="O137" t="s">
        <v>2026</v>
      </c>
      <c r="P137">
        <v>2.93</v>
      </c>
    </row>
    <row r="138" spans="1:16" x14ac:dyDescent="0.2">
      <c r="B138" t="s">
        <v>2027</v>
      </c>
      <c r="C138" t="s">
        <v>920</v>
      </c>
      <c r="D138">
        <v>3.49</v>
      </c>
      <c r="E138" t="s">
        <v>2028</v>
      </c>
      <c r="F138" t="s">
        <v>2029</v>
      </c>
      <c r="G138">
        <v>3.49</v>
      </c>
      <c r="H138" t="s">
        <v>921</v>
      </c>
      <c r="I138" t="s">
        <v>922</v>
      </c>
      <c r="J138">
        <v>2.66</v>
      </c>
      <c r="K138" t="s">
        <v>2028</v>
      </c>
      <c r="L138" t="s">
        <v>2029</v>
      </c>
      <c r="M138">
        <v>3.49</v>
      </c>
      <c r="N138" t="s">
        <v>2028</v>
      </c>
      <c r="O138" t="s">
        <v>2029</v>
      </c>
      <c r="P138">
        <v>3.49</v>
      </c>
    </row>
    <row r="139" spans="1:16" x14ac:dyDescent="0.2">
      <c r="B139" t="s">
        <v>2030</v>
      </c>
      <c r="C139" t="s">
        <v>923</v>
      </c>
      <c r="D139">
        <v>4.16</v>
      </c>
      <c r="E139" t="s">
        <v>2031</v>
      </c>
      <c r="F139" t="s">
        <v>2032</v>
      </c>
      <c r="G139">
        <v>4.16</v>
      </c>
      <c r="H139" t="s">
        <v>924</v>
      </c>
      <c r="I139" t="s">
        <v>925</v>
      </c>
      <c r="J139">
        <v>2.99</v>
      </c>
      <c r="K139" t="s">
        <v>2031</v>
      </c>
      <c r="L139" t="s">
        <v>2032</v>
      </c>
      <c r="M139">
        <v>4.16</v>
      </c>
      <c r="N139" t="s">
        <v>2031</v>
      </c>
      <c r="O139" t="s">
        <v>2032</v>
      </c>
      <c r="P139">
        <v>4.16</v>
      </c>
    </row>
    <row r="140" spans="1:16" x14ac:dyDescent="0.2">
      <c r="A140" t="s">
        <v>402</v>
      </c>
      <c r="C140" t="s">
        <v>403</v>
      </c>
    </row>
    <row r="141" spans="1:16" x14ac:dyDescent="0.2">
      <c r="B141" t="s">
        <v>2033</v>
      </c>
      <c r="C141" t="s">
        <v>926</v>
      </c>
      <c r="D141">
        <v>2.35</v>
      </c>
      <c r="E141" t="s">
        <v>2034</v>
      </c>
      <c r="F141" t="s">
        <v>2035</v>
      </c>
      <c r="G141">
        <v>2.35</v>
      </c>
      <c r="H141" t="s">
        <v>915</v>
      </c>
      <c r="I141" t="s">
        <v>916</v>
      </c>
      <c r="J141">
        <v>2.0499999999999998</v>
      </c>
      <c r="K141" t="s">
        <v>2034</v>
      </c>
      <c r="L141" t="s">
        <v>2035</v>
      </c>
      <c r="M141">
        <v>2.35</v>
      </c>
      <c r="N141" t="s">
        <v>2034</v>
      </c>
      <c r="O141" t="s">
        <v>2035</v>
      </c>
      <c r="P141">
        <v>2.35</v>
      </c>
    </row>
    <row r="142" spans="1:16" x14ac:dyDescent="0.2">
      <c r="B142" t="s">
        <v>2036</v>
      </c>
      <c r="C142" t="s">
        <v>927</v>
      </c>
      <c r="D142">
        <v>2.72</v>
      </c>
      <c r="E142" t="s">
        <v>2037</v>
      </c>
      <c r="F142" t="s">
        <v>2038</v>
      </c>
      <c r="G142">
        <v>2.72</v>
      </c>
      <c r="H142" t="s">
        <v>918</v>
      </c>
      <c r="I142" t="s">
        <v>919</v>
      </c>
      <c r="J142">
        <v>2.35</v>
      </c>
      <c r="K142" t="s">
        <v>2037</v>
      </c>
      <c r="L142" t="s">
        <v>2038</v>
      </c>
      <c r="M142">
        <v>2.72</v>
      </c>
      <c r="N142" t="s">
        <v>2037</v>
      </c>
      <c r="O142" t="s">
        <v>2038</v>
      </c>
      <c r="P142">
        <v>2.72</v>
      </c>
    </row>
    <row r="143" spans="1:16" x14ac:dyDescent="0.2">
      <c r="B143" t="s">
        <v>2039</v>
      </c>
      <c r="C143" t="s">
        <v>928</v>
      </c>
      <c r="D143">
        <v>3.25</v>
      </c>
      <c r="E143" t="s">
        <v>2040</v>
      </c>
      <c r="F143" t="s">
        <v>2041</v>
      </c>
      <c r="G143">
        <v>3.25</v>
      </c>
      <c r="H143" t="s">
        <v>921</v>
      </c>
      <c r="I143" t="s">
        <v>922</v>
      </c>
      <c r="J143">
        <v>2.66</v>
      </c>
      <c r="K143" t="s">
        <v>2040</v>
      </c>
      <c r="L143" t="s">
        <v>2041</v>
      </c>
      <c r="M143">
        <v>3.25</v>
      </c>
      <c r="N143" t="s">
        <v>2040</v>
      </c>
      <c r="O143" t="s">
        <v>2041</v>
      </c>
      <c r="P143">
        <v>3.25</v>
      </c>
    </row>
    <row r="144" spans="1:16" x14ac:dyDescent="0.2">
      <c r="B144" t="s">
        <v>2042</v>
      </c>
      <c r="C144" t="s">
        <v>929</v>
      </c>
      <c r="D144">
        <v>3.91</v>
      </c>
      <c r="E144" t="s">
        <v>2043</v>
      </c>
      <c r="F144" t="s">
        <v>2044</v>
      </c>
      <c r="G144">
        <v>3.91</v>
      </c>
      <c r="H144" t="s">
        <v>924</v>
      </c>
      <c r="I144" t="s">
        <v>925</v>
      </c>
      <c r="J144">
        <v>2.99</v>
      </c>
      <c r="K144" t="s">
        <v>2043</v>
      </c>
      <c r="L144" t="s">
        <v>2044</v>
      </c>
      <c r="M144">
        <v>3.91</v>
      </c>
      <c r="N144" t="s">
        <v>2043</v>
      </c>
      <c r="O144" t="s">
        <v>2044</v>
      </c>
      <c r="P144">
        <v>3.91</v>
      </c>
    </row>
    <row r="145" spans="1:16" x14ac:dyDescent="0.2">
      <c r="A145" t="s">
        <v>59</v>
      </c>
      <c r="C145" t="s">
        <v>404</v>
      </c>
    </row>
    <row r="146" spans="1:16" x14ac:dyDescent="0.2">
      <c r="B146" t="s">
        <v>2045</v>
      </c>
      <c r="C146" t="s">
        <v>930</v>
      </c>
      <c r="D146">
        <v>1.75</v>
      </c>
      <c r="E146" t="s">
        <v>2046</v>
      </c>
      <c r="F146" t="s">
        <v>2047</v>
      </c>
      <c r="G146">
        <v>1.75</v>
      </c>
      <c r="H146" t="s">
        <v>915</v>
      </c>
      <c r="I146" t="s">
        <v>916</v>
      </c>
      <c r="J146">
        <v>2.0499999999999998</v>
      </c>
      <c r="K146" t="s">
        <v>2046</v>
      </c>
      <c r="L146" t="s">
        <v>2047</v>
      </c>
      <c r="M146">
        <v>1.75</v>
      </c>
      <c r="N146" t="s">
        <v>2046</v>
      </c>
      <c r="O146" t="s">
        <v>2047</v>
      </c>
      <c r="P146">
        <v>1.75</v>
      </c>
    </row>
    <row r="147" spans="1:16" x14ac:dyDescent="0.2">
      <c r="B147" t="s">
        <v>2048</v>
      </c>
      <c r="C147" t="s">
        <v>931</v>
      </c>
      <c r="D147">
        <v>1.99</v>
      </c>
      <c r="E147" t="s">
        <v>2049</v>
      </c>
      <c r="F147" t="s">
        <v>2050</v>
      </c>
      <c r="G147">
        <v>1.99</v>
      </c>
      <c r="H147" t="s">
        <v>918</v>
      </c>
      <c r="I147" t="s">
        <v>919</v>
      </c>
      <c r="J147">
        <v>2.35</v>
      </c>
      <c r="K147" t="s">
        <v>2049</v>
      </c>
      <c r="L147" t="s">
        <v>2050</v>
      </c>
      <c r="M147">
        <v>1.99</v>
      </c>
      <c r="N147" t="s">
        <v>2049</v>
      </c>
      <c r="O147" t="s">
        <v>2050</v>
      </c>
      <c r="P147">
        <v>1.99</v>
      </c>
    </row>
    <row r="148" spans="1:16" x14ac:dyDescent="0.2">
      <c r="B148" t="s">
        <v>2051</v>
      </c>
      <c r="C148" t="s">
        <v>932</v>
      </c>
      <c r="D148">
        <v>2.35</v>
      </c>
      <c r="E148" t="s">
        <v>2052</v>
      </c>
      <c r="F148" t="s">
        <v>2053</v>
      </c>
      <c r="G148">
        <v>2.35</v>
      </c>
      <c r="H148" t="s">
        <v>921</v>
      </c>
      <c r="I148" t="s">
        <v>922</v>
      </c>
      <c r="J148">
        <v>2.66</v>
      </c>
      <c r="K148" t="s">
        <v>2052</v>
      </c>
      <c r="L148" t="s">
        <v>2053</v>
      </c>
      <c r="M148">
        <v>2.35</v>
      </c>
      <c r="N148" t="s">
        <v>2052</v>
      </c>
      <c r="O148" t="s">
        <v>2053</v>
      </c>
      <c r="P148">
        <v>2.35</v>
      </c>
    </row>
    <row r="149" spans="1:16" x14ac:dyDescent="0.2">
      <c r="B149" t="s">
        <v>2054</v>
      </c>
      <c r="C149" t="s">
        <v>933</v>
      </c>
      <c r="D149">
        <v>2.66</v>
      </c>
      <c r="E149" t="s">
        <v>2055</v>
      </c>
      <c r="F149" t="s">
        <v>2056</v>
      </c>
      <c r="G149">
        <v>2.66</v>
      </c>
      <c r="H149" t="s">
        <v>924</v>
      </c>
      <c r="I149" t="s">
        <v>925</v>
      </c>
      <c r="J149">
        <v>2.99</v>
      </c>
      <c r="K149" t="s">
        <v>2055</v>
      </c>
      <c r="L149" t="s">
        <v>2056</v>
      </c>
      <c r="M149">
        <v>2.66</v>
      </c>
      <c r="N149" t="s">
        <v>2055</v>
      </c>
      <c r="O149" t="s">
        <v>2056</v>
      </c>
      <c r="P149">
        <v>2.66</v>
      </c>
    </row>
    <row r="150" spans="1:16" x14ac:dyDescent="0.2">
      <c r="A150" t="s">
        <v>405</v>
      </c>
      <c r="C150" t="s">
        <v>406</v>
      </c>
    </row>
    <row r="151" spans="1:16" x14ac:dyDescent="0.2">
      <c r="B151" t="s">
        <v>2057</v>
      </c>
      <c r="C151" t="s">
        <v>934</v>
      </c>
      <c r="D151">
        <v>1.93</v>
      </c>
      <c r="E151" t="s">
        <v>2058</v>
      </c>
      <c r="F151" t="s">
        <v>2059</v>
      </c>
      <c r="G151">
        <v>1.93</v>
      </c>
      <c r="H151" t="s">
        <v>915</v>
      </c>
      <c r="I151" t="s">
        <v>916</v>
      </c>
      <c r="J151">
        <v>2.0499999999999998</v>
      </c>
      <c r="K151" t="s">
        <v>2058</v>
      </c>
      <c r="L151" t="s">
        <v>2059</v>
      </c>
      <c r="M151">
        <v>1.93</v>
      </c>
      <c r="N151" t="s">
        <v>2058</v>
      </c>
      <c r="O151" t="s">
        <v>2059</v>
      </c>
      <c r="P151">
        <v>1.93</v>
      </c>
    </row>
    <row r="152" spans="1:16" x14ac:dyDescent="0.2">
      <c r="B152" t="s">
        <v>2060</v>
      </c>
      <c r="C152" t="s">
        <v>935</v>
      </c>
      <c r="D152">
        <v>2.38</v>
      </c>
      <c r="E152" t="s">
        <v>2061</v>
      </c>
      <c r="F152" t="s">
        <v>2062</v>
      </c>
      <c r="G152">
        <v>2.38</v>
      </c>
      <c r="H152" t="s">
        <v>918</v>
      </c>
      <c r="I152" t="s">
        <v>919</v>
      </c>
      <c r="J152">
        <v>2.35</v>
      </c>
      <c r="K152" t="s">
        <v>2061</v>
      </c>
      <c r="L152" t="s">
        <v>2062</v>
      </c>
      <c r="M152">
        <v>2.38</v>
      </c>
      <c r="N152" t="s">
        <v>2061</v>
      </c>
      <c r="O152" t="s">
        <v>2062</v>
      </c>
      <c r="P152">
        <v>2.38</v>
      </c>
    </row>
    <row r="153" spans="1:16" x14ac:dyDescent="0.2">
      <c r="B153" t="s">
        <v>2063</v>
      </c>
      <c r="C153" t="s">
        <v>936</v>
      </c>
      <c r="D153">
        <v>2.74</v>
      </c>
      <c r="E153" t="s">
        <v>2064</v>
      </c>
      <c r="F153" t="s">
        <v>2065</v>
      </c>
      <c r="G153">
        <v>2.74</v>
      </c>
      <c r="H153" t="s">
        <v>921</v>
      </c>
      <c r="I153" t="s">
        <v>922</v>
      </c>
      <c r="J153">
        <v>2.66</v>
      </c>
      <c r="K153" t="s">
        <v>2064</v>
      </c>
      <c r="L153" t="s">
        <v>2065</v>
      </c>
      <c r="M153">
        <v>2.74</v>
      </c>
      <c r="N153" t="s">
        <v>2064</v>
      </c>
      <c r="O153" t="s">
        <v>2065</v>
      </c>
      <c r="P153">
        <v>2.74</v>
      </c>
    </row>
    <row r="154" spans="1:16" x14ac:dyDescent="0.2">
      <c r="B154" t="s">
        <v>2066</v>
      </c>
      <c r="C154" t="s">
        <v>937</v>
      </c>
      <c r="D154">
        <v>3.15</v>
      </c>
      <c r="E154" t="s">
        <v>2067</v>
      </c>
      <c r="F154" t="s">
        <v>2068</v>
      </c>
      <c r="G154">
        <v>3.15</v>
      </c>
      <c r="H154" t="s">
        <v>924</v>
      </c>
      <c r="I154" t="s">
        <v>925</v>
      </c>
      <c r="J154">
        <v>2.99</v>
      </c>
      <c r="K154" t="s">
        <v>2067</v>
      </c>
      <c r="L154" t="s">
        <v>2068</v>
      </c>
      <c r="M154">
        <v>3.15</v>
      </c>
      <c r="N154" t="s">
        <v>2067</v>
      </c>
      <c r="O154" t="s">
        <v>2068</v>
      </c>
      <c r="P154">
        <v>3.15</v>
      </c>
    </row>
    <row r="155" spans="1:16" x14ac:dyDescent="0.2">
      <c r="A155" t="s">
        <v>407</v>
      </c>
      <c r="C155" t="s">
        <v>408</v>
      </c>
    </row>
    <row r="156" spans="1:16" x14ac:dyDescent="0.2">
      <c r="C156" t="s">
        <v>387</v>
      </c>
    </row>
    <row r="157" spans="1:16" x14ac:dyDescent="0.2">
      <c r="B157" t="s">
        <v>2069</v>
      </c>
      <c r="C157" t="s">
        <v>938</v>
      </c>
      <c r="D157">
        <v>1.93</v>
      </c>
      <c r="E157" t="s">
        <v>2070</v>
      </c>
      <c r="F157" t="s">
        <v>2071</v>
      </c>
      <c r="G157">
        <v>1.93</v>
      </c>
      <c r="H157" t="s">
        <v>903</v>
      </c>
      <c r="I157" t="s">
        <v>904</v>
      </c>
      <c r="J157">
        <v>1.93</v>
      </c>
      <c r="K157" t="s">
        <v>2070</v>
      </c>
      <c r="L157" t="s">
        <v>2071</v>
      </c>
      <c r="M157">
        <v>1.93</v>
      </c>
      <c r="N157" t="s">
        <v>2070</v>
      </c>
      <c r="O157" t="s">
        <v>2071</v>
      </c>
      <c r="P157">
        <v>1.93</v>
      </c>
    </row>
    <row r="158" spans="1:16" x14ac:dyDescent="0.2">
      <c r="B158" t="s">
        <v>2072</v>
      </c>
      <c r="C158" t="s">
        <v>939</v>
      </c>
      <c r="D158">
        <v>2.1800000000000002</v>
      </c>
      <c r="E158" t="s">
        <v>2073</v>
      </c>
      <c r="F158" t="s">
        <v>2074</v>
      </c>
      <c r="G158">
        <v>2.1800000000000002</v>
      </c>
      <c r="H158" t="s">
        <v>906</v>
      </c>
      <c r="I158" t="s">
        <v>907</v>
      </c>
      <c r="J158">
        <v>2.1800000000000002</v>
      </c>
      <c r="K158" t="s">
        <v>2073</v>
      </c>
      <c r="L158" t="s">
        <v>2074</v>
      </c>
      <c r="M158">
        <v>2.1800000000000002</v>
      </c>
      <c r="N158" t="s">
        <v>2073</v>
      </c>
      <c r="O158" t="s">
        <v>2074</v>
      </c>
      <c r="P158">
        <v>2.1800000000000002</v>
      </c>
    </row>
    <row r="159" spans="1:16" x14ac:dyDescent="0.2">
      <c r="B159" t="s">
        <v>2075</v>
      </c>
      <c r="C159" t="s">
        <v>940</v>
      </c>
      <c r="D159">
        <v>2.5099999999999998</v>
      </c>
      <c r="E159" t="s">
        <v>2076</v>
      </c>
      <c r="F159" t="s">
        <v>2077</v>
      </c>
      <c r="G159">
        <v>2.5099999999999998</v>
      </c>
      <c r="H159" t="s">
        <v>909</v>
      </c>
      <c r="I159" t="s">
        <v>910</v>
      </c>
      <c r="J159">
        <v>2.5099999999999998</v>
      </c>
      <c r="K159" t="s">
        <v>2076</v>
      </c>
      <c r="L159" t="s">
        <v>2077</v>
      </c>
      <c r="M159">
        <v>2.5099999999999998</v>
      </c>
      <c r="N159" t="s">
        <v>2076</v>
      </c>
      <c r="O159" t="s">
        <v>2077</v>
      </c>
      <c r="P159">
        <v>2.5099999999999998</v>
      </c>
    </row>
    <row r="160" spans="1:16" x14ac:dyDescent="0.2">
      <c r="B160" t="s">
        <v>2078</v>
      </c>
      <c r="C160" t="s">
        <v>941</v>
      </c>
      <c r="D160">
        <v>2.83</v>
      </c>
      <c r="E160" t="s">
        <v>2079</v>
      </c>
      <c r="F160" t="s">
        <v>2080</v>
      </c>
      <c r="G160">
        <v>2.83</v>
      </c>
      <c r="H160" t="s">
        <v>912</v>
      </c>
      <c r="I160" t="s">
        <v>913</v>
      </c>
      <c r="J160">
        <v>2.83</v>
      </c>
      <c r="K160" t="s">
        <v>2079</v>
      </c>
      <c r="L160" t="s">
        <v>2080</v>
      </c>
      <c r="M160">
        <v>2.83</v>
      </c>
      <c r="N160" t="s">
        <v>2079</v>
      </c>
      <c r="O160" t="s">
        <v>2080</v>
      </c>
      <c r="P160">
        <v>2.83</v>
      </c>
    </row>
    <row r="161" spans="1:16" x14ac:dyDescent="0.2">
      <c r="C161" t="s">
        <v>388</v>
      </c>
    </row>
    <row r="162" spans="1:16" x14ac:dyDescent="0.2">
      <c r="B162" t="s">
        <v>2081</v>
      </c>
      <c r="C162" t="s">
        <v>942</v>
      </c>
      <c r="D162">
        <v>2.12</v>
      </c>
      <c r="E162" t="s">
        <v>2082</v>
      </c>
      <c r="F162" t="s">
        <v>2083</v>
      </c>
      <c r="G162">
        <v>2.12</v>
      </c>
      <c r="H162" t="s">
        <v>903</v>
      </c>
      <c r="I162" t="s">
        <v>904</v>
      </c>
      <c r="J162">
        <v>1.93</v>
      </c>
      <c r="K162" t="s">
        <v>2082</v>
      </c>
      <c r="L162" t="s">
        <v>2083</v>
      </c>
      <c r="M162">
        <v>2.12</v>
      </c>
      <c r="N162" t="s">
        <v>2082</v>
      </c>
      <c r="O162" t="s">
        <v>2083</v>
      </c>
      <c r="P162">
        <v>2.12</v>
      </c>
    </row>
    <row r="163" spans="1:16" x14ac:dyDescent="0.2">
      <c r="B163" t="s">
        <v>2084</v>
      </c>
      <c r="C163" t="s">
        <v>943</v>
      </c>
      <c r="D163">
        <v>2.39</v>
      </c>
      <c r="E163" t="s">
        <v>2085</v>
      </c>
      <c r="F163" t="s">
        <v>2086</v>
      </c>
      <c r="G163">
        <v>2.39</v>
      </c>
      <c r="H163" t="s">
        <v>906</v>
      </c>
      <c r="I163" t="s">
        <v>907</v>
      </c>
      <c r="J163">
        <v>2.1800000000000002</v>
      </c>
      <c r="K163" t="s">
        <v>2085</v>
      </c>
      <c r="L163" t="s">
        <v>2086</v>
      </c>
      <c r="M163">
        <v>2.39</v>
      </c>
      <c r="N163" t="s">
        <v>2085</v>
      </c>
      <c r="O163" t="s">
        <v>2086</v>
      </c>
      <c r="P163">
        <v>2.39</v>
      </c>
    </row>
    <row r="164" spans="1:16" x14ac:dyDescent="0.2">
      <c r="B164" t="s">
        <v>2087</v>
      </c>
      <c r="C164" t="s">
        <v>944</v>
      </c>
      <c r="D164">
        <v>2.76</v>
      </c>
      <c r="E164" t="s">
        <v>2088</v>
      </c>
      <c r="F164" t="s">
        <v>2089</v>
      </c>
      <c r="G164">
        <v>2.76</v>
      </c>
      <c r="H164" t="s">
        <v>909</v>
      </c>
      <c r="I164" t="s">
        <v>910</v>
      </c>
      <c r="J164">
        <v>2.5099999999999998</v>
      </c>
      <c r="K164" t="s">
        <v>2088</v>
      </c>
      <c r="L164" t="s">
        <v>2089</v>
      </c>
      <c r="M164">
        <v>2.76</v>
      </c>
      <c r="N164" t="s">
        <v>2088</v>
      </c>
      <c r="O164" t="s">
        <v>2089</v>
      </c>
      <c r="P164">
        <v>2.76</v>
      </c>
    </row>
    <row r="165" spans="1:16" x14ac:dyDescent="0.2">
      <c r="B165" t="s">
        <v>2090</v>
      </c>
      <c r="C165" t="s">
        <v>945</v>
      </c>
      <c r="D165">
        <v>3.11</v>
      </c>
      <c r="E165" t="s">
        <v>2091</v>
      </c>
      <c r="F165" t="s">
        <v>2092</v>
      </c>
      <c r="G165">
        <v>3.11</v>
      </c>
      <c r="H165" t="s">
        <v>912</v>
      </c>
      <c r="I165" t="s">
        <v>913</v>
      </c>
      <c r="J165">
        <v>2.83</v>
      </c>
      <c r="K165" t="s">
        <v>2091</v>
      </c>
      <c r="L165" t="s">
        <v>2092</v>
      </c>
      <c r="M165">
        <v>3.11</v>
      </c>
      <c r="N165" t="s">
        <v>2091</v>
      </c>
      <c r="O165" t="s">
        <v>2092</v>
      </c>
      <c r="P165">
        <v>3.11</v>
      </c>
    </row>
    <row r="166" spans="1:16" x14ac:dyDescent="0.2">
      <c r="A166" t="s">
        <v>409</v>
      </c>
      <c r="C166" t="s">
        <v>410</v>
      </c>
    </row>
    <row r="167" spans="1:16" x14ac:dyDescent="0.2">
      <c r="C167" t="s">
        <v>387</v>
      </c>
    </row>
    <row r="168" spans="1:16" x14ac:dyDescent="0.2">
      <c r="B168" t="s">
        <v>2093</v>
      </c>
      <c r="C168" t="s">
        <v>946</v>
      </c>
      <c r="D168">
        <v>2.0499999999999998</v>
      </c>
      <c r="E168" t="s">
        <v>2094</v>
      </c>
      <c r="F168" t="s">
        <v>2095</v>
      </c>
      <c r="G168">
        <v>2.0499999999999998</v>
      </c>
      <c r="H168" t="s">
        <v>915</v>
      </c>
      <c r="I168" t="s">
        <v>916</v>
      </c>
      <c r="J168">
        <v>2.0499999999999998</v>
      </c>
      <c r="K168" t="s">
        <v>2094</v>
      </c>
      <c r="L168" t="s">
        <v>2095</v>
      </c>
      <c r="M168">
        <v>2.0499999999999998</v>
      </c>
      <c r="N168" t="s">
        <v>2094</v>
      </c>
      <c r="O168" t="s">
        <v>2095</v>
      </c>
      <c r="P168">
        <v>2.0499999999999998</v>
      </c>
    </row>
    <row r="169" spans="1:16" x14ac:dyDescent="0.2">
      <c r="B169" t="s">
        <v>2096</v>
      </c>
      <c r="C169" t="s">
        <v>947</v>
      </c>
      <c r="D169">
        <v>2.35</v>
      </c>
      <c r="E169" t="s">
        <v>2097</v>
      </c>
      <c r="F169" t="s">
        <v>2098</v>
      </c>
      <c r="G169">
        <v>2.35</v>
      </c>
      <c r="H169" t="s">
        <v>918</v>
      </c>
      <c r="I169" t="s">
        <v>919</v>
      </c>
      <c r="J169">
        <v>2.35</v>
      </c>
      <c r="K169" t="s">
        <v>2097</v>
      </c>
      <c r="L169" t="s">
        <v>2098</v>
      </c>
      <c r="M169">
        <v>2.35</v>
      </c>
      <c r="N169" t="s">
        <v>2097</v>
      </c>
      <c r="O169" t="s">
        <v>2098</v>
      </c>
      <c r="P169">
        <v>2.35</v>
      </c>
    </row>
    <row r="170" spans="1:16" x14ac:dyDescent="0.2">
      <c r="B170" t="s">
        <v>2099</v>
      </c>
      <c r="C170" t="s">
        <v>948</v>
      </c>
      <c r="D170">
        <v>2.66</v>
      </c>
      <c r="E170" t="s">
        <v>2100</v>
      </c>
      <c r="F170" t="s">
        <v>2101</v>
      </c>
      <c r="G170">
        <v>2.66</v>
      </c>
      <c r="H170" t="s">
        <v>921</v>
      </c>
      <c r="I170" t="s">
        <v>922</v>
      </c>
      <c r="J170">
        <v>2.66</v>
      </c>
      <c r="K170" t="s">
        <v>2100</v>
      </c>
      <c r="L170" t="s">
        <v>2101</v>
      </c>
      <c r="M170">
        <v>2.66</v>
      </c>
      <c r="N170" t="s">
        <v>2100</v>
      </c>
      <c r="O170" t="s">
        <v>2101</v>
      </c>
      <c r="P170">
        <v>2.66</v>
      </c>
    </row>
    <row r="171" spans="1:16" x14ac:dyDescent="0.2">
      <c r="B171" t="s">
        <v>2102</v>
      </c>
      <c r="C171" t="s">
        <v>949</v>
      </c>
      <c r="D171">
        <v>2.99</v>
      </c>
      <c r="E171" t="s">
        <v>2103</v>
      </c>
      <c r="F171" t="s">
        <v>2104</v>
      </c>
      <c r="G171">
        <v>2.99</v>
      </c>
      <c r="H171" t="s">
        <v>924</v>
      </c>
      <c r="I171" t="s">
        <v>925</v>
      </c>
      <c r="J171">
        <v>2.99</v>
      </c>
      <c r="K171" t="s">
        <v>2103</v>
      </c>
      <c r="L171" t="s">
        <v>2104</v>
      </c>
      <c r="M171">
        <v>2.99</v>
      </c>
      <c r="N171" t="s">
        <v>2103</v>
      </c>
      <c r="O171" t="s">
        <v>2104</v>
      </c>
      <c r="P171">
        <v>2.99</v>
      </c>
    </row>
    <row r="172" spans="1:16" x14ac:dyDescent="0.2">
      <c r="C172" t="s">
        <v>388</v>
      </c>
    </row>
    <row r="173" spans="1:16" x14ac:dyDescent="0.2">
      <c r="B173" t="s">
        <v>2105</v>
      </c>
      <c r="C173" t="s">
        <v>950</v>
      </c>
      <c r="D173">
        <v>2.25</v>
      </c>
      <c r="E173" t="s">
        <v>2106</v>
      </c>
      <c r="F173" t="s">
        <v>2107</v>
      </c>
      <c r="G173">
        <v>2.25</v>
      </c>
      <c r="H173" t="s">
        <v>915</v>
      </c>
      <c r="I173" t="s">
        <v>916</v>
      </c>
      <c r="J173">
        <v>2.0499999999999998</v>
      </c>
      <c r="K173" t="s">
        <v>2106</v>
      </c>
      <c r="L173" t="s">
        <v>2107</v>
      </c>
      <c r="M173">
        <v>2.25</v>
      </c>
      <c r="N173" t="s">
        <v>2106</v>
      </c>
      <c r="O173" t="s">
        <v>2107</v>
      </c>
      <c r="P173">
        <v>2.25</v>
      </c>
    </row>
    <row r="174" spans="1:16" x14ac:dyDescent="0.2">
      <c r="B174" t="s">
        <v>2108</v>
      </c>
      <c r="C174" t="s">
        <v>951</v>
      </c>
      <c r="D174">
        <v>2.58</v>
      </c>
      <c r="E174" t="s">
        <v>2109</v>
      </c>
      <c r="F174" t="s">
        <v>2110</v>
      </c>
      <c r="G174">
        <v>2.58</v>
      </c>
      <c r="H174" t="s">
        <v>918</v>
      </c>
      <c r="I174" t="s">
        <v>919</v>
      </c>
      <c r="J174">
        <v>2.35</v>
      </c>
      <c r="K174" t="s">
        <v>2109</v>
      </c>
      <c r="L174" t="s">
        <v>2110</v>
      </c>
      <c r="M174">
        <v>2.58</v>
      </c>
      <c r="N174" t="s">
        <v>2109</v>
      </c>
      <c r="O174" t="s">
        <v>2110</v>
      </c>
      <c r="P174">
        <v>2.58</v>
      </c>
    </row>
    <row r="175" spans="1:16" x14ac:dyDescent="0.2">
      <c r="B175" t="s">
        <v>2111</v>
      </c>
      <c r="C175" t="s">
        <v>952</v>
      </c>
      <c r="D175">
        <v>2.92</v>
      </c>
      <c r="E175" t="s">
        <v>2112</v>
      </c>
      <c r="F175" t="s">
        <v>2113</v>
      </c>
      <c r="G175">
        <v>2.92</v>
      </c>
      <c r="H175" t="s">
        <v>921</v>
      </c>
      <c r="I175" t="s">
        <v>922</v>
      </c>
      <c r="J175">
        <v>2.66</v>
      </c>
      <c r="K175" t="s">
        <v>2112</v>
      </c>
      <c r="L175" t="s">
        <v>2113</v>
      </c>
      <c r="M175">
        <v>2.92</v>
      </c>
      <c r="N175" t="s">
        <v>2112</v>
      </c>
      <c r="O175" t="s">
        <v>2113</v>
      </c>
      <c r="P175">
        <v>2.92</v>
      </c>
    </row>
    <row r="176" spans="1:16" x14ac:dyDescent="0.2">
      <c r="B176" t="s">
        <v>2114</v>
      </c>
      <c r="C176" t="s">
        <v>953</v>
      </c>
      <c r="D176">
        <v>3.28</v>
      </c>
      <c r="E176" t="s">
        <v>2115</v>
      </c>
      <c r="F176" t="s">
        <v>2116</v>
      </c>
      <c r="G176">
        <v>3.28</v>
      </c>
      <c r="H176" t="s">
        <v>924</v>
      </c>
      <c r="I176" t="s">
        <v>925</v>
      </c>
      <c r="J176">
        <v>2.99</v>
      </c>
      <c r="K176" t="s">
        <v>2115</v>
      </c>
      <c r="L176" t="s">
        <v>2116</v>
      </c>
      <c r="M176">
        <v>3.28</v>
      </c>
      <c r="N176" t="s">
        <v>2115</v>
      </c>
      <c r="O176" t="s">
        <v>2116</v>
      </c>
      <c r="P176">
        <v>3.28</v>
      </c>
    </row>
    <row r="177" spans="1:16" x14ac:dyDescent="0.2">
      <c r="A177" t="s">
        <v>303</v>
      </c>
      <c r="C177" t="s">
        <v>411</v>
      </c>
    </row>
    <row r="178" spans="1:16" x14ac:dyDescent="0.2">
      <c r="B178" t="s">
        <v>2117</v>
      </c>
      <c r="C178" t="s">
        <v>954</v>
      </c>
      <c r="D178">
        <v>1.55</v>
      </c>
      <c r="E178" t="s">
        <v>2118</v>
      </c>
      <c r="F178" t="s">
        <v>2119</v>
      </c>
      <c r="G178">
        <v>1.55</v>
      </c>
      <c r="H178" t="s">
        <v>915</v>
      </c>
      <c r="I178" t="s">
        <v>916</v>
      </c>
      <c r="J178">
        <v>2.0499999999999998</v>
      </c>
      <c r="K178" t="s">
        <v>2118</v>
      </c>
      <c r="L178" t="s">
        <v>2119</v>
      </c>
      <c r="M178">
        <v>1.55</v>
      </c>
      <c r="N178" t="s">
        <v>2118</v>
      </c>
      <c r="O178" t="s">
        <v>2119</v>
      </c>
      <c r="P178">
        <v>1.55</v>
      </c>
    </row>
    <row r="179" spans="1:16" x14ac:dyDescent="0.2">
      <c r="B179" t="s">
        <v>2120</v>
      </c>
      <c r="C179" t="s">
        <v>955</v>
      </c>
      <c r="D179">
        <v>1.75</v>
      </c>
      <c r="E179" t="s">
        <v>2121</v>
      </c>
      <c r="F179" t="s">
        <v>2122</v>
      </c>
      <c r="G179">
        <v>1.75</v>
      </c>
      <c r="H179" t="s">
        <v>918</v>
      </c>
      <c r="I179" t="s">
        <v>919</v>
      </c>
      <c r="J179">
        <v>2.35</v>
      </c>
      <c r="K179" t="s">
        <v>2121</v>
      </c>
      <c r="L179" t="s">
        <v>2122</v>
      </c>
      <c r="M179">
        <v>1.75</v>
      </c>
      <c r="N179" t="s">
        <v>2121</v>
      </c>
      <c r="O179" t="s">
        <v>2122</v>
      </c>
      <c r="P179">
        <v>1.75</v>
      </c>
    </row>
    <row r="180" spans="1:16" x14ac:dyDescent="0.2">
      <c r="B180" t="s">
        <v>2123</v>
      </c>
      <c r="C180" t="s">
        <v>955</v>
      </c>
      <c r="D180">
        <v>1.96</v>
      </c>
      <c r="E180" t="s">
        <v>2124</v>
      </c>
      <c r="F180" t="s">
        <v>2125</v>
      </c>
      <c r="G180">
        <v>1.96</v>
      </c>
      <c r="H180" t="s">
        <v>2126</v>
      </c>
      <c r="I180" t="s">
        <v>2127</v>
      </c>
      <c r="J180">
        <v>2.5670000000000002</v>
      </c>
      <c r="K180" t="s">
        <v>2124</v>
      </c>
      <c r="L180" t="s">
        <v>2125</v>
      </c>
      <c r="M180">
        <v>1.96</v>
      </c>
      <c r="N180" t="s">
        <v>2124</v>
      </c>
      <c r="O180" t="s">
        <v>2125</v>
      </c>
      <c r="P180">
        <v>1.96</v>
      </c>
    </row>
    <row r="181" spans="1:16" x14ac:dyDescent="0.2">
      <c r="B181" t="s">
        <v>2128</v>
      </c>
      <c r="C181" t="s">
        <v>956</v>
      </c>
      <c r="D181">
        <v>2.0499999999999998</v>
      </c>
      <c r="E181" t="s">
        <v>2129</v>
      </c>
      <c r="F181" t="s">
        <v>2130</v>
      </c>
      <c r="G181">
        <v>2.0499999999999998</v>
      </c>
      <c r="H181" t="s">
        <v>921</v>
      </c>
      <c r="I181" t="s">
        <v>922</v>
      </c>
      <c r="J181">
        <v>2.66</v>
      </c>
      <c r="K181" t="s">
        <v>2129</v>
      </c>
      <c r="L181" t="s">
        <v>2130</v>
      </c>
      <c r="M181">
        <v>2.0499999999999998</v>
      </c>
      <c r="N181" t="s">
        <v>2129</v>
      </c>
      <c r="O181" t="s">
        <v>2130</v>
      </c>
      <c r="P181">
        <v>2.0499999999999998</v>
      </c>
    </row>
    <row r="182" spans="1:16" x14ac:dyDescent="0.2">
      <c r="B182" t="s">
        <v>2102</v>
      </c>
      <c r="C182" t="s">
        <v>957</v>
      </c>
      <c r="D182">
        <v>2.35</v>
      </c>
      <c r="E182" t="s">
        <v>2131</v>
      </c>
      <c r="F182" t="s">
        <v>2132</v>
      </c>
      <c r="G182">
        <v>2.35</v>
      </c>
      <c r="H182" t="s">
        <v>924</v>
      </c>
      <c r="I182" t="s">
        <v>925</v>
      </c>
      <c r="J182">
        <v>2.99</v>
      </c>
      <c r="K182" t="s">
        <v>2131</v>
      </c>
      <c r="L182" t="s">
        <v>2132</v>
      </c>
      <c r="M182">
        <v>2.35</v>
      </c>
      <c r="N182" t="s">
        <v>2131</v>
      </c>
      <c r="O182" t="s">
        <v>2132</v>
      </c>
      <c r="P182">
        <v>2.35</v>
      </c>
    </row>
    <row r="183" spans="1:16" x14ac:dyDescent="0.2">
      <c r="A183" t="s">
        <v>412</v>
      </c>
      <c r="C183" t="s">
        <v>413</v>
      </c>
    </row>
    <row r="184" spans="1:16" x14ac:dyDescent="0.2">
      <c r="B184" t="s">
        <v>2133</v>
      </c>
      <c r="C184" t="s">
        <v>2134</v>
      </c>
      <c r="D184">
        <v>3.28</v>
      </c>
      <c r="E184" t="s">
        <v>2135</v>
      </c>
      <c r="F184" t="s">
        <v>2134</v>
      </c>
      <c r="G184">
        <v>4.67</v>
      </c>
      <c r="H184" t="s">
        <v>958</v>
      </c>
      <c r="I184" t="s">
        <v>2136</v>
      </c>
      <c r="J184">
        <v>4.67</v>
      </c>
      <c r="K184" t="s">
        <v>2135</v>
      </c>
      <c r="L184" t="s">
        <v>2134</v>
      </c>
      <c r="M184">
        <v>4.67</v>
      </c>
      <c r="N184" t="s">
        <v>2135</v>
      </c>
      <c r="O184" t="s">
        <v>2134</v>
      </c>
      <c r="P184">
        <v>4.67</v>
      </c>
    </row>
    <row r="185" spans="1:16" x14ac:dyDescent="0.2">
      <c r="B185" t="s">
        <v>2137</v>
      </c>
      <c r="C185" t="s">
        <v>2138</v>
      </c>
      <c r="D185">
        <v>4.67</v>
      </c>
      <c r="E185" t="s">
        <v>2139</v>
      </c>
      <c r="F185" t="s">
        <v>2138</v>
      </c>
      <c r="G185">
        <v>5.27</v>
      </c>
      <c r="H185" t="s">
        <v>959</v>
      </c>
      <c r="I185" t="s">
        <v>2140</v>
      </c>
      <c r="J185">
        <v>5.27</v>
      </c>
      <c r="K185" t="s">
        <v>2139</v>
      </c>
      <c r="L185" t="s">
        <v>2138</v>
      </c>
      <c r="M185">
        <v>5.27</v>
      </c>
      <c r="N185" t="s">
        <v>2139</v>
      </c>
      <c r="O185" t="s">
        <v>2138</v>
      </c>
      <c r="P185">
        <v>5.27</v>
      </c>
    </row>
    <row r="186" spans="1:16" x14ac:dyDescent="0.2">
      <c r="A186" t="s">
        <v>414</v>
      </c>
      <c r="C186" t="s">
        <v>415</v>
      </c>
    </row>
    <row r="187" spans="1:16" x14ac:dyDescent="0.2">
      <c r="C187" t="s">
        <v>416</v>
      </c>
    </row>
    <row r="188" spans="1:16" x14ac:dyDescent="0.2">
      <c r="B188" t="s">
        <v>2141</v>
      </c>
      <c r="C188" t="s">
        <v>960</v>
      </c>
      <c r="D188">
        <v>5.19</v>
      </c>
      <c r="E188" t="s">
        <v>2142</v>
      </c>
      <c r="F188" t="s">
        <v>2143</v>
      </c>
      <c r="G188">
        <v>5.19</v>
      </c>
      <c r="H188" t="s">
        <v>961</v>
      </c>
      <c r="I188" t="s">
        <v>962</v>
      </c>
      <c r="J188">
        <v>5.19</v>
      </c>
      <c r="K188" t="s">
        <v>2142</v>
      </c>
      <c r="L188" t="s">
        <v>2143</v>
      </c>
      <c r="M188">
        <v>5.19</v>
      </c>
      <c r="N188" t="s">
        <v>2142</v>
      </c>
      <c r="O188" t="s">
        <v>2143</v>
      </c>
      <c r="P188">
        <v>5.19</v>
      </c>
    </row>
    <row r="189" spans="1:16" x14ac:dyDescent="0.2">
      <c r="B189" t="s">
        <v>2144</v>
      </c>
      <c r="C189" t="s">
        <v>963</v>
      </c>
      <c r="D189">
        <v>5.41</v>
      </c>
      <c r="E189" t="s">
        <v>2145</v>
      </c>
      <c r="F189" t="s">
        <v>2146</v>
      </c>
      <c r="G189">
        <v>5.41</v>
      </c>
      <c r="H189" t="s">
        <v>964</v>
      </c>
      <c r="I189" t="s">
        <v>965</v>
      </c>
      <c r="J189">
        <v>5.41</v>
      </c>
      <c r="K189" t="s">
        <v>2145</v>
      </c>
      <c r="L189" t="s">
        <v>2146</v>
      </c>
      <c r="M189">
        <v>5.41</v>
      </c>
      <c r="N189" t="s">
        <v>2145</v>
      </c>
      <c r="O189" t="s">
        <v>2146</v>
      </c>
      <c r="P189">
        <v>5.41</v>
      </c>
    </row>
    <row r="190" spans="1:16" x14ac:dyDescent="0.2">
      <c r="B190" t="s">
        <v>2147</v>
      </c>
      <c r="C190" t="s">
        <v>966</v>
      </c>
      <c r="D190">
        <v>5.41</v>
      </c>
      <c r="E190" t="s">
        <v>2148</v>
      </c>
      <c r="F190" t="s">
        <v>2149</v>
      </c>
      <c r="G190">
        <v>5.41</v>
      </c>
      <c r="H190" t="s">
        <v>967</v>
      </c>
      <c r="I190" t="s">
        <v>968</v>
      </c>
      <c r="J190">
        <v>5.41</v>
      </c>
      <c r="K190" t="s">
        <v>2148</v>
      </c>
      <c r="L190" t="s">
        <v>2149</v>
      </c>
      <c r="M190">
        <v>5.41</v>
      </c>
      <c r="N190" t="s">
        <v>2148</v>
      </c>
      <c r="O190" t="s">
        <v>2149</v>
      </c>
      <c r="P190">
        <v>5.41</v>
      </c>
    </row>
    <row r="191" spans="1:16" x14ac:dyDescent="0.2">
      <c r="B191" t="s">
        <v>2150</v>
      </c>
      <c r="C191" t="s">
        <v>969</v>
      </c>
      <c r="D191">
        <v>5.75</v>
      </c>
      <c r="E191" t="s">
        <v>2151</v>
      </c>
      <c r="F191" t="s">
        <v>2152</v>
      </c>
      <c r="G191">
        <v>5.75</v>
      </c>
      <c r="H191" t="s">
        <v>970</v>
      </c>
      <c r="I191" t="s">
        <v>971</v>
      </c>
      <c r="J191">
        <v>5.75</v>
      </c>
      <c r="K191" t="s">
        <v>2151</v>
      </c>
      <c r="L191" t="s">
        <v>2152</v>
      </c>
      <c r="M191">
        <v>5.75</v>
      </c>
      <c r="N191" t="s">
        <v>2151</v>
      </c>
      <c r="O191" t="s">
        <v>2152</v>
      </c>
      <c r="P191">
        <v>5.75</v>
      </c>
    </row>
    <row r="192" spans="1:16" x14ac:dyDescent="0.2">
      <c r="C192" t="s">
        <v>417</v>
      </c>
    </row>
    <row r="193" spans="2:16" x14ac:dyDescent="0.2">
      <c r="B193" t="s">
        <v>2153</v>
      </c>
      <c r="C193" t="s">
        <v>972</v>
      </c>
      <c r="D193">
        <v>4.92</v>
      </c>
      <c r="E193" t="s">
        <v>2154</v>
      </c>
      <c r="F193" t="s">
        <v>2155</v>
      </c>
      <c r="G193">
        <v>4.92</v>
      </c>
      <c r="H193" t="s">
        <v>973</v>
      </c>
      <c r="I193" t="s">
        <v>974</v>
      </c>
      <c r="J193">
        <v>4.92</v>
      </c>
      <c r="K193" t="s">
        <v>2154</v>
      </c>
      <c r="L193" t="s">
        <v>2155</v>
      </c>
      <c r="M193">
        <v>4.92</v>
      </c>
      <c r="N193" t="s">
        <v>2154</v>
      </c>
      <c r="O193" t="s">
        <v>2155</v>
      </c>
      <c r="P193">
        <v>4.92</v>
      </c>
    </row>
    <row r="194" spans="2:16" x14ac:dyDescent="0.2">
      <c r="B194" t="s">
        <v>2156</v>
      </c>
      <c r="C194" t="s">
        <v>975</v>
      </c>
      <c r="D194">
        <v>5.19</v>
      </c>
      <c r="E194" t="s">
        <v>2157</v>
      </c>
      <c r="F194" t="s">
        <v>2158</v>
      </c>
      <c r="G194">
        <v>5.19</v>
      </c>
      <c r="H194" t="s">
        <v>976</v>
      </c>
      <c r="I194" t="s">
        <v>977</v>
      </c>
      <c r="J194">
        <v>5.19</v>
      </c>
      <c r="K194" t="s">
        <v>2157</v>
      </c>
      <c r="L194" t="s">
        <v>2158</v>
      </c>
      <c r="M194">
        <v>5.19</v>
      </c>
      <c r="N194" t="s">
        <v>2157</v>
      </c>
      <c r="O194" t="s">
        <v>2158</v>
      </c>
      <c r="P194">
        <v>5.19</v>
      </c>
    </row>
    <row r="195" spans="2:16" x14ac:dyDescent="0.2">
      <c r="B195" t="s">
        <v>2159</v>
      </c>
      <c r="C195" t="s">
        <v>978</v>
      </c>
      <c r="D195">
        <v>5.19</v>
      </c>
      <c r="E195" t="s">
        <v>2160</v>
      </c>
      <c r="F195" t="s">
        <v>2161</v>
      </c>
      <c r="G195">
        <v>5.19</v>
      </c>
      <c r="H195" t="s">
        <v>979</v>
      </c>
      <c r="I195" t="s">
        <v>974</v>
      </c>
      <c r="J195">
        <v>5.19</v>
      </c>
      <c r="K195" t="s">
        <v>2160</v>
      </c>
      <c r="L195" t="s">
        <v>2161</v>
      </c>
      <c r="M195">
        <v>5.19</v>
      </c>
      <c r="N195" t="s">
        <v>2160</v>
      </c>
      <c r="O195" t="s">
        <v>2161</v>
      </c>
      <c r="P195">
        <v>5.19</v>
      </c>
    </row>
    <row r="196" spans="2:16" x14ac:dyDescent="0.2">
      <c r="B196" t="s">
        <v>2162</v>
      </c>
      <c r="C196" t="s">
        <v>980</v>
      </c>
      <c r="D196">
        <v>5.41</v>
      </c>
      <c r="E196" t="s">
        <v>2163</v>
      </c>
      <c r="F196" t="s">
        <v>2164</v>
      </c>
      <c r="G196">
        <v>5.41</v>
      </c>
      <c r="H196" t="s">
        <v>981</v>
      </c>
      <c r="I196" t="s">
        <v>977</v>
      </c>
      <c r="J196">
        <v>5.41</v>
      </c>
      <c r="K196" t="s">
        <v>2163</v>
      </c>
      <c r="L196" t="s">
        <v>2164</v>
      </c>
      <c r="M196">
        <v>5.41</v>
      </c>
      <c r="N196" t="s">
        <v>2163</v>
      </c>
      <c r="O196" t="s">
        <v>2164</v>
      </c>
      <c r="P196">
        <v>5.41</v>
      </c>
    </row>
    <row r="197" spans="2:16" x14ac:dyDescent="0.2">
      <c r="C197" t="s">
        <v>418</v>
      </c>
    </row>
    <row r="198" spans="2:16" x14ac:dyDescent="0.2">
      <c r="B198" t="s">
        <v>2165</v>
      </c>
      <c r="C198" t="s">
        <v>982</v>
      </c>
      <c r="D198">
        <v>4.37</v>
      </c>
      <c r="E198" t="s">
        <v>2166</v>
      </c>
      <c r="F198" t="s">
        <v>2167</v>
      </c>
      <c r="G198">
        <v>4.37</v>
      </c>
      <c r="H198" t="s">
        <v>994</v>
      </c>
      <c r="I198" t="s">
        <v>995</v>
      </c>
      <c r="J198">
        <v>4.37</v>
      </c>
      <c r="K198" t="s">
        <v>2166</v>
      </c>
      <c r="L198" t="s">
        <v>2167</v>
      </c>
      <c r="M198">
        <v>4.37</v>
      </c>
      <c r="N198" t="s">
        <v>2166</v>
      </c>
      <c r="O198" t="s">
        <v>2167</v>
      </c>
      <c r="P198">
        <v>4.37</v>
      </c>
    </row>
    <row r="199" spans="2:16" x14ac:dyDescent="0.2">
      <c r="B199" t="s">
        <v>2168</v>
      </c>
      <c r="C199" t="s">
        <v>985</v>
      </c>
      <c r="D199">
        <v>4.68</v>
      </c>
      <c r="E199" t="s">
        <v>2169</v>
      </c>
      <c r="F199" t="s">
        <v>2170</v>
      </c>
      <c r="G199">
        <v>4.68</v>
      </c>
      <c r="H199" t="s">
        <v>997</v>
      </c>
      <c r="I199" t="s">
        <v>998</v>
      </c>
      <c r="J199">
        <v>4.68</v>
      </c>
      <c r="K199" t="s">
        <v>2169</v>
      </c>
      <c r="L199" t="s">
        <v>2170</v>
      </c>
      <c r="M199">
        <v>4.68</v>
      </c>
      <c r="N199" t="s">
        <v>2169</v>
      </c>
      <c r="O199" t="s">
        <v>2170</v>
      </c>
      <c r="P199">
        <v>4.68</v>
      </c>
    </row>
    <row r="200" spans="2:16" x14ac:dyDescent="0.2">
      <c r="B200" t="s">
        <v>2171</v>
      </c>
      <c r="C200" t="s">
        <v>988</v>
      </c>
      <c r="D200">
        <v>4.68</v>
      </c>
      <c r="E200" t="s">
        <v>2172</v>
      </c>
      <c r="F200" t="s">
        <v>2173</v>
      </c>
      <c r="G200">
        <v>4.68</v>
      </c>
      <c r="H200" t="s">
        <v>1000</v>
      </c>
      <c r="I200" t="s">
        <v>1001</v>
      </c>
      <c r="J200">
        <v>4.68</v>
      </c>
      <c r="K200" t="s">
        <v>2172</v>
      </c>
      <c r="L200" t="s">
        <v>2173</v>
      </c>
      <c r="M200">
        <v>4.68</v>
      </c>
      <c r="N200" t="s">
        <v>2172</v>
      </c>
      <c r="O200" t="s">
        <v>2173</v>
      </c>
      <c r="P200">
        <v>4.68</v>
      </c>
    </row>
    <row r="201" spans="2:16" x14ac:dyDescent="0.2">
      <c r="B201" t="s">
        <v>2174</v>
      </c>
      <c r="C201" t="s">
        <v>991</v>
      </c>
      <c r="D201">
        <v>4.92</v>
      </c>
      <c r="E201" t="s">
        <v>2175</v>
      </c>
      <c r="F201" t="s">
        <v>2176</v>
      </c>
      <c r="G201">
        <v>4.92</v>
      </c>
      <c r="H201" t="s">
        <v>1003</v>
      </c>
      <c r="I201" t="s">
        <v>1004</v>
      </c>
      <c r="J201">
        <v>4.92</v>
      </c>
      <c r="K201" t="s">
        <v>2175</v>
      </c>
      <c r="L201" t="s">
        <v>2176</v>
      </c>
      <c r="M201">
        <v>4.92</v>
      </c>
      <c r="N201" t="s">
        <v>2175</v>
      </c>
      <c r="O201" t="s">
        <v>2176</v>
      </c>
      <c r="P201">
        <v>4.92</v>
      </c>
    </row>
    <row r="202" spans="2:16" x14ac:dyDescent="0.2">
      <c r="C202" t="s">
        <v>419</v>
      </c>
    </row>
    <row r="203" spans="2:16" x14ac:dyDescent="0.2">
      <c r="B203" t="s">
        <v>2177</v>
      </c>
      <c r="C203" t="s">
        <v>993</v>
      </c>
      <c r="D203">
        <v>4.16</v>
      </c>
      <c r="E203" t="s">
        <v>2178</v>
      </c>
      <c r="F203" t="s">
        <v>2179</v>
      </c>
      <c r="G203">
        <v>4.16</v>
      </c>
      <c r="H203" t="s">
        <v>1006</v>
      </c>
      <c r="I203" t="s">
        <v>1007</v>
      </c>
      <c r="J203">
        <v>4.16</v>
      </c>
      <c r="K203" t="s">
        <v>2178</v>
      </c>
      <c r="L203" t="s">
        <v>2179</v>
      </c>
      <c r="M203">
        <v>4.16</v>
      </c>
      <c r="N203" t="s">
        <v>2178</v>
      </c>
      <c r="O203" t="s">
        <v>2179</v>
      </c>
      <c r="P203">
        <v>4.16</v>
      </c>
    </row>
    <row r="204" spans="2:16" x14ac:dyDescent="0.2">
      <c r="B204" t="s">
        <v>2180</v>
      </c>
      <c r="C204" t="s">
        <v>996</v>
      </c>
      <c r="D204">
        <v>4.37</v>
      </c>
      <c r="E204" t="s">
        <v>2181</v>
      </c>
      <c r="F204" t="s">
        <v>2182</v>
      </c>
      <c r="G204">
        <v>4.37</v>
      </c>
      <c r="H204" t="s">
        <v>1009</v>
      </c>
      <c r="I204" t="s">
        <v>1007</v>
      </c>
      <c r="J204">
        <v>4.37</v>
      </c>
      <c r="K204" t="s">
        <v>2181</v>
      </c>
      <c r="L204" t="s">
        <v>2182</v>
      </c>
      <c r="M204">
        <v>4.37</v>
      </c>
      <c r="N204" t="s">
        <v>2181</v>
      </c>
      <c r="O204" t="s">
        <v>2182</v>
      </c>
      <c r="P204">
        <v>4.37</v>
      </c>
    </row>
    <row r="205" spans="2:16" x14ac:dyDescent="0.2">
      <c r="B205" t="s">
        <v>2183</v>
      </c>
      <c r="C205" t="s">
        <v>999</v>
      </c>
      <c r="D205">
        <v>4.37</v>
      </c>
      <c r="E205" t="s">
        <v>2184</v>
      </c>
      <c r="F205" t="s">
        <v>2185</v>
      </c>
      <c r="G205">
        <v>4.37</v>
      </c>
      <c r="H205" t="s">
        <v>2186</v>
      </c>
      <c r="I205" t="s">
        <v>2187</v>
      </c>
      <c r="J205">
        <v>4.37</v>
      </c>
      <c r="K205" t="s">
        <v>2184</v>
      </c>
      <c r="L205" t="s">
        <v>2185</v>
      </c>
      <c r="M205">
        <v>4.37</v>
      </c>
      <c r="N205" t="s">
        <v>2184</v>
      </c>
      <c r="O205" t="s">
        <v>2185</v>
      </c>
      <c r="P205">
        <v>4.37</v>
      </c>
    </row>
    <row r="206" spans="2:16" x14ac:dyDescent="0.2">
      <c r="B206" t="s">
        <v>2188</v>
      </c>
      <c r="C206" t="s">
        <v>1002</v>
      </c>
      <c r="D206">
        <v>4.68</v>
      </c>
      <c r="E206" t="s">
        <v>2189</v>
      </c>
      <c r="F206" t="s">
        <v>2190</v>
      </c>
      <c r="G206">
        <v>4.68</v>
      </c>
      <c r="H206" t="s">
        <v>2191</v>
      </c>
      <c r="I206" t="s">
        <v>2192</v>
      </c>
      <c r="J206">
        <v>4.68</v>
      </c>
      <c r="K206" t="s">
        <v>2189</v>
      </c>
      <c r="L206" t="s">
        <v>2190</v>
      </c>
      <c r="M206">
        <v>4.68</v>
      </c>
      <c r="N206" t="s">
        <v>2189</v>
      </c>
      <c r="O206" t="s">
        <v>2190</v>
      </c>
      <c r="P206">
        <v>4.68</v>
      </c>
    </row>
    <row r="207" spans="2:16" x14ac:dyDescent="0.2">
      <c r="C207" t="s">
        <v>420</v>
      </c>
    </row>
    <row r="208" spans="2:16" x14ac:dyDescent="0.2">
      <c r="B208" t="s">
        <v>2193</v>
      </c>
      <c r="C208" t="s">
        <v>1005</v>
      </c>
      <c r="D208">
        <v>3.91</v>
      </c>
      <c r="E208" t="s">
        <v>2194</v>
      </c>
      <c r="F208" t="s">
        <v>2195</v>
      </c>
      <c r="G208">
        <v>3.91</v>
      </c>
      <c r="H208" t="s">
        <v>1006</v>
      </c>
      <c r="I208" t="s">
        <v>1007</v>
      </c>
      <c r="J208">
        <v>4.16</v>
      </c>
      <c r="K208" t="s">
        <v>2194</v>
      </c>
      <c r="L208" t="s">
        <v>2195</v>
      </c>
      <c r="M208">
        <v>3.91</v>
      </c>
      <c r="N208" t="s">
        <v>2194</v>
      </c>
      <c r="O208" t="s">
        <v>2195</v>
      </c>
      <c r="P208">
        <v>3.91</v>
      </c>
    </row>
    <row r="209" spans="1:16" x14ac:dyDescent="0.2">
      <c r="B209" t="s">
        <v>2196</v>
      </c>
      <c r="C209" t="s">
        <v>1008</v>
      </c>
      <c r="D209">
        <v>4.16</v>
      </c>
      <c r="E209" t="s">
        <v>2197</v>
      </c>
      <c r="F209" t="s">
        <v>2198</v>
      </c>
      <c r="G209">
        <v>4.16</v>
      </c>
      <c r="H209" t="s">
        <v>1009</v>
      </c>
      <c r="I209" t="s">
        <v>1007</v>
      </c>
      <c r="J209">
        <v>4.37</v>
      </c>
      <c r="K209" t="s">
        <v>2197</v>
      </c>
      <c r="L209" t="s">
        <v>2198</v>
      </c>
      <c r="M209">
        <v>4.16</v>
      </c>
      <c r="N209" t="s">
        <v>2197</v>
      </c>
      <c r="O209" t="s">
        <v>2198</v>
      </c>
      <c r="P209">
        <v>4.16</v>
      </c>
    </row>
    <row r="210" spans="1:16" x14ac:dyDescent="0.2">
      <c r="B210" t="s">
        <v>2199</v>
      </c>
      <c r="C210" t="s">
        <v>2200</v>
      </c>
      <c r="D210">
        <v>4.16</v>
      </c>
      <c r="E210" t="s">
        <v>2201</v>
      </c>
      <c r="F210" t="s">
        <v>2202</v>
      </c>
      <c r="G210">
        <v>4.16</v>
      </c>
      <c r="H210" t="s">
        <v>2186</v>
      </c>
      <c r="I210" t="s">
        <v>2187</v>
      </c>
      <c r="J210">
        <v>4.37</v>
      </c>
      <c r="K210" t="s">
        <v>2201</v>
      </c>
      <c r="L210" t="s">
        <v>2202</v>
      </c>
      <c r="M210">
        <v>4.16</v>
      </c>
      <c r="N210" t="s">
        <v>2201</v>
      </c>
      <c r="O210" t="s">
        <v>2202</v>
      </c>
      <c r="P210">
        <v>4.16</v>
      </c>
    </row>
    <row r="211" spans="1:16" x14ac:dyDescent="0.2">
      <c r="B211" t="s">
        <v>2203</v>
      </c>
      <c r="C211" t="s">
        <v>2204</v>
      </c>
      <c r="D211">
        <v>4.37</v>
      </c>
      <c r="E211" t="s">
        <v>2205</v>
      </c>
      <c r="F211" t="s">
        <v>2206</v>
      </c>
      <c r="G211">
        <v>4.37</v>
      </c>
      <c r="H211" t="s">
        <v>2191</v>
      </c>
      <c r="I211" t="s">
        <v>2192</v>
      </c>
      <c r="J211">
        <v>4.68</v>
      </c>
      <c r="K211" t="s">
        <v>2205</v>
      </c>
      <c r="L211" t="s">
        <v>2206</v>
      </c>
      <c r="M211">
        <v>4.37</v>
      </c>
      <c r="N211" t="s">
        <v>2205</v>
      </c>
      <c r="O211" t="s">
        <v>2206</v>
      </c>
      <c r="P211">
        <v>4.37</v>
      </c>
    </row>
    <row r="212" spans="1:16" x14ac:dyDescent="0.2">
      <c r="A212" t="s">
        <v>421</v>
      </c>
      <c r="C212" t="s">
        <v>422</v>
      </c>
    </row>
    <row r="213" spans="1:16" x14ac:dyDescent="0.2">
      <c r="C213" t="s">
        <v>416</v>
      </c>
    </row>
    <row r="214" spans="1:16" x14ac:dyDescent="0.2">
      <c r="B214" t="s">
        <v>2207</v>
      </c>
      <c r="C214" t="s">
        <v>1010</v>
      </c>
      <c r="D214">
        <v>3.91</v>
      </c>
      <c r="E214" t="s">
        <v>2208</v>
      </c>
      <c r="F214" t="s">
        <v>2209</v>
      </c>
      <c r="G214">
        <v>3.91</v>
      </c>
      <c r="H214" t="s">
        <v>1011</v>
      </c>
      <c r="I214" t="s">
        <v>1012</v>
      </c>
      <c r="J214">
        <v>3.91</v>
      </c>
      <c r="K214" t="s">
        <v>2208</v>
      </c>
      <c r="L214" t="s">
        <v>2209</v>
      </c>
      <c r="M214">
        <v>3.91</v>
      </c>
      <c r="N214" t="s">
        <v>2208</v>
      </c>
      <c r="O214" t="s">
        <v>2209</v>
      </c>
      <c r="P214">
        <v>3.91</v>
      </c>
    </row>
    <row r="215" spans="1:16" x14ac:dyDescent="0.2">
      <c r="B215" t="s">
        <v>2210</v>
      </c>
      <c r="C215" t="s">
        <v>1013</v>
      </c>
      <c r="D215">
        <v>4.16</v>
      </c>
      <c r="E215" t="s">
        <v>2211</v>
      </c>
      <c r="F215" t="s">
        <v>2212</v>
      </c>
      <c r="G215">
        <v>4.16</v>
      </c>
      <c r="H215" t="s">
        <v>1014</v>
      </c>
      <c r="I215" t="s">
        <v>1015</v>
      </c>
      <c r="J215">
        <v>4.16</v>
      </c>
      <c r="K215" t="s">
        <v>2211</v>
      </c>
      <c r="L215" t="s">
        <v>2212</v>
      </c>
      <c r="M215">
        <v>4.16</v>
      </c>
      <c r="N215" t="s">
        <v>2211</v>
      </c>
      <c r="O215" t="s">
        <v>2212</v>
      </c>
      <c r="P215">
        <v>4.16</v>
      </c>
    </row>
    <row r="216" spans="1:16" x14ac:dyDescent="0.2">
      <c r="B216" t="s">
        <v>2213</v>
      </c>
      <c r="C216" t="s">
        <v>1016</v>
      </c>
      <c r="D216">
        <v>4.37</v>
      </c>
      <c r="E216" t="s">
        <v>2214</v>
      </c>
      <c r="F216" t="s">
        <v>2215</v>
      </c>
      <c r="G216">
        <v>4.37</v>
      </c>
      <c r="H216" t="s">
        <v>1017</v>
      </c>
      <c r="I216" t="s">
        <v>1018</v>
      </c>
      <c r="J216">
        <v>4.37</v>
      </c>
      <c r="K216" t="s">
        <v>2214</v>
      </c>
      <c r="L216" t="s">
        <v>2215</v>
      </c>
      <c r="M216">
        <v>4.37</v>
      </c>
      <c r="N216" t="s">
        <v>2214</v>
      </c>
      <c r="O216" t="s">
        <v>2215</v>
      </c>
      <c r="P216">
        <v>4.37</v>
      </c>
    </row>
    <row r="217" spans="1:16" x14ac:dyDescent="0.2">
      <c r="B217" t="s">
        <v>2216</v>
      </c>
      <c r="C217" t="s">
        <v>1019</v>
      </c>
      <c r="D217">
        <v>4.68</v>
      </c>
      <c r="E217" t="s">
        <v>2217</v>
      </c>
      <c r="F217" t="s">
        <v>2218</v>
      </c>
      <c r="G217">
        <v>4.68</v>
      </c>
      <c r="H217" t="s">
        <v>1020</v>
      </c>
      <c r="I217" t="s">
        <v>1021</v>
      </c>
      <c r="J217">
        <v>4.68</v>
      </c>
      <c r="K217" t="s">
        <v>2217</v>
      </c>
      <c r="L217" t="s">
        <v>2218</v>
      </c>
      <c r="M217">
        <v>4.68</v>
      </c>
      <c r="N217" t="s">
        <v>2217</v>
      </c>
      <c r="O217" t="s">
        <v>2218</v>
      </c>
      <c r="P217">
        <v>4.68</v>
      </c>
    </row>
    <row r="218" spans="1:16" x14ac:dyDescent="0.2">
      <c r="B218" t="s">
        <v>2219</v>
      </c>
      <c r="C218" t="s">
        <v>1022</v>
      </c>
      <c r="D218">
        <v>4.88</v>
      </c>
      <c r="E218" t="s">
        <v>2220</v>
      </c>
      <c r="F218" t="s">
        <v>2221</v>
      </c>
      <c r="G218">
        <v>4.88</v>
      </c>
      <c r="H218" t="s">
        <v>1023</v>
      </c>
      <c r="I218" t="s">
        <v>1024</v>
      </c>
      <c r="J218">
        <v>4.88</v>
      </c>
      <c r="K218" t="s">
        <v>2220</v>
      </c>
      <c r="L218" t="s">
        <v>2221</v>
      </c>
      <c r="M218">
        <v>4.88</v>
      </c>
      <c r="N218" t="s">
        <v>2220</v>
      </c>
      <c r="O218" t="s">
        <v>2221</v>
      </c>
      <c r="P218">
        <v>4.88</v>
      </c>
    </row>
    <row r="219" spans="1:16" x14ac:dyDescent="0.2">
      <c r="B219" t="s">
        <v>2222</v>
      </c>
      <c r="C219" t="s">
        <v>1025</v>
      </c>
      <c r="D219">
        <v>5.19</v>
      </c>
      <c r="E219" t="s">
        <v>2223</v>
      </c>
      <c r="F219" t="s">
        <v>2224</v>
      </c>
      <c r="G219">
        <v>5.19</v>
      </c>
      <c r="H219" t="s">
        <v>1026</v>
      </c>
      <c r="I219" t="s">
        <v>1027</v>
      </c>
      <c r="J219">
        <v>5.19</v>
      </c>
      <c r="K219" t="s">
        <v>2223</v>
      </c>
      <c r="L219" t="s">
        <v>2224</v>
      </c>
      <c r="M219">
        <v>5.19</v>
      </c>
      <c r="N219" t="s">
        <v>2223</v>
      </c>
      <c r="O219" t="s">
        <v>2224</v>
      </c>
      <c r="P219">
        <v>5.19</v>
      </c>
    </row>
    <row r="220" spans="1:16" x14ac:dyDescent="0.2">
      <c r="C220" t="s">
        <v>417</v>
      </c>
    </row>
    <row r="221" spans="1:16" x14ac:dyDescent="0.2">
      <c r="B221" t="s">
        <v>2225</v>
      </c>
      <c r="C221" t="s">
        <v>1028</v>
      </c>
      <c r="D221">
        <v>3.5</v>
      </c>
      <c r="E221" t="s">
        <v>2226</v>
      </c>
      <c r="F221" t="s">
        <v>2227</v>
      </c>
      <c r="G221">
        <v>3.5</v>
      </c>
      <c r="H221" t="s">
        <v>1029</v>
      </c>
      <c r="I221" t="s">
        <v>1030</v>
      </c>
      <c r="J221">
        <v>3.5</v>
      </c>
      <c r="K221" t="s">
        <v>2226</v>
      </c>
      <c r="L221" t="s">
        <v>2227</v>
      </c>
      <c r="M221">
        <v>3.5</v>
      </c>
      <c r="N221" t="s">
        <v>2226</v>
      </c>
      <c r="O221" t="s">
        <v>2227</v>
      </c>
      <c r="P221">
        <v>3.5</v>
      </c>
    </row>
    <row r="222" spans="1:16" x14ac:dyDescent="0.2">
      <c r="B222" t="s">
        <v>2228</v>
      </c>
      <c r="C222" t="s">
        <v>1031</v>
      </c>
      <c r="D222">
        <v>3.73</v>
      </c>
      <c r="E222" t="s">
        <v>2229</v>
      </c>
      <c r="F222" t="s">
        <v>2230</v>
      </c>
      <c r="G222">
        <v>3.73</v>
      </c>
      <c r="H222" t="s">
        <v>1032</v>
      </c>
      <c r="I222" t="s">
        <v>1033</v>
      </c>
      <c r="J222">
        <v>3.73</v>
      </c>
      <c r="K222" t="s">
        <v>2229</v>
      </c>
      <c r="L222" t="s">
        <v>2230</v>
      </c>
      <c r="M222">
        <v>3.73</v>
      </c>
      <c r="N222" t="s">
        <v>2229</v>
      </c>
      <c r="O222" t="s">
        <v>2230</v>
      </c>
      <c r="P222">
        <v>3.73</v>
      </c>
    </row>
    <row r="223" spans="1:16" x14ac:dyDescent="0.2">
      <c r="B223" t="s">
        <v>2231</v>
      </c>
      <c r="C223" t="s">
        <v>1034</v>
      </c>
      <c r="D223">
        <v>4.16</v>
      </c>
      <c r="E223" t="s">
        <v>2232</v>
      </c>
      <c r="F223" t="s">
        <v>2233</v>
      </c>
      <c r="G223">
        <v>4.16</v>
      </c>
      <c r="H223" t="s">
        <v>1035</v>
      </c>
      <c r="I223" t="s">
        <v>1036</v>
      </c>
      <c r="J223">
        <v>4.16</v>
      </c>
      <c r="K223" t="s">
        <v>2232</v>
      </c>
      <c r="L223" t="s">
        <v>2233</v>
      </c>
      <c r="M223">
        <v>4.16</v>
      </c>
      <c r="N223" t="s">
        <v>2232</v>
      </c>
      <c r="O223" t="s">
        <v>2233</v>
      </c>
      <c r="P223">
        <v>4.16</v>
      </c>
    </row>
    <row r="224" spans="1:16" x14ac:dyDescent="0.2">
      <c r="B224" t="s">
        <v>2234</v>
      </c>
      <c r="C224" t="s">
        <v>1037</v>
      </c>
      <c r="D224">
        <v>4.37</v>
      </c>
      <c r="E224" t="s">
        <v>2235</v>
      </c>
      <c r="F224" t="s">
        <v>2236</v>
      </c>
      <c r="G224">
        <v>4.37</v>
      </c>
      <c r="H224" t="s">
        <v>1038</v>
      </c>
      <c r="I224" t="s">
        <v>1039</v>
      </c>
      <c r="J224">
        <v>4.37</v>
      </c>
      <c r="K224" t="s">
        <v>2235</v>
      </c>
      <c r="L224" t="s">
        <v>2236</v>
      </c>
      <c r="M224">
        <v>4.37</v>
      </c>
      <c r="N224" t="s">
        <v>2235</v>
      </c>
      <c r="O224" t="s">
        <v>2236</v>
      </c>
      <c r="P224">
        <v>4.37</v>
      </c>
    </row>
    <row r="225" spans="1:16" x14ac:dyDescent="0.2">
      <c r="B225" t="s">
        <v>2237</v>
      </c>
      <c r="C225" t="s">
        <v>1040</v>
      </c>
      <c r="D225">
        <v>4.71</v>
      </c>
      <c r="E225" t="s">
        <v>2238</v>
      </c>
      <c r="F225" t="s">
        <v>2239</v>
      </c>
      <c r="G225">
        <v>4.71</v>
      </c>
      <c r="H225" t="s">
        <v>1041</v>
      </c>
      <c r="I225" t="s">
        <v>1042</v>
      </c>
      <c r="J225">
        <v>4.71</v>
      </c>
      <c r="K225" t="s">
        <v>2238</v>
      </c>
      <c r="L225" t="s">
        <v>2239</v>
      </c>
      <c r="M225">
        <v>4.71</v>
      </c>
      <c r="N225" t="s">
        <v>2238</v>
      </c>
      <c r="O225" t="s">
        <v>2239</v>
      </c>
      <c r="P225">
        <v>4.71</v>
      </c>
    </row>
    <row r="226" spans="1:16" x14ac:dyDescent="0.2">
      <c r="B226" t="s">
        <v>2240</v>
      </c>
      <c r="C226" t="s">
        <v>1043</v>
      </c>
      <c r="D226">
        <v>5.07</v>
      </c>
      <c r="E226" t="s">
        <v>2241</v>
      </c>
      <c r="F226" t="s">
        <v>2242</v>
      </c>
      <c r="G226">
        <v>5.07</v>
      </c>
      <c r="H226" t="s">
        <v>1044</v>
      </c>
      <c r="I226" t="s">
        <v>1045</v>
      </c>
      <c r="J226">
        <v>5.07</v>
      </c>
      <c r="K226" t="s">
        <v>2241</v>
      </c>
      <c r="L226" t="s">
        <v>2242</v>
      </c>
      <c r="M226">
        <v>5.07</v>
      </c>
      <c r="N226" t="s">
        <v>2241</v>
      </c>
      <c r="O226" t="s">
        <v>2242</v>
      </c>
      <c r="P226">
        <v>5.07</v>
      </c>
    </row>
    <row r="227" spans="1:16" x14ac:dyDescent="0.2">
      <c r="C227" t="s">
        <v>423</v>
      </c>
    </row>
    <row r="228" spans="1:16" x14ac:dyDescent="0.2">
      <c r="B228" t="s">
        <v>2243</v>
      </c>
      <c r="C228" t="s">
        <v>1046</v>
      </c>
      <c r="D228">
        <v>4.16</v>
      </c>
      <c r="E228" t="s">
        <v>2244</v>
      </c>
      <c r="F228" t="s">
        <v>2245</v>
      </c>
      <c r="G228">
        <v>4.16</v>
      </c>
      <c r="H228" t="s">
        <v>1047</v>
      </c>
      <c r="I228" t="s">
        <v>1042</v>
      </c>
      <c r="J228">
        <v>4.16</v>
      </c>
      <c r="K228" t="s">
        <v>2244</v>
      </c>
      <c r="L228" t="s">
        <v>2245</v>
      </c>
      <c r="M228">
        <v>4.16</v>
      </c>
      <c r="N228" t="s">
        <v>2244</v>
      </c>
      <c r="O228" t="s">
        <v>2245</v>
      </c>
      <c r="P228">
        <v>4.16</v>
      </c>
    </row>
    <row r="229" spans="1:16" x14ac:dyDescent="0.2">
      <c r="B229" t="s">
        <v>2246</v>
      </c>
      <c r="C229" t="s">
        <v>1048</v>
      </c>
      <c r="D229">
        <v>4.3600000000000003</v>
      </c>
      <c r="E229" t="s">
        <v>2247</v>
      </c>
      <c r="F229" t="s">
        <v>2248</v>
      </c>
      <c r="G229">
        <v>4.3600000000000003</v>
      </c>
      <c r="H229" t="s">
        <v>1049</v>
      </c>
      <c r="I229" t="s">
        <v>1045</v>
      </c>
      <c r="J229">
        <v>4.3600000000000003</v>
      </c>
      <c r="K229" t="s">
        <v>2247</v>
      </c>
      <c r="L229" t="s">
        <v>2248</v>
      </c>
      <c r="M229">
        <v>4.3600000000000003</v>
      </c>
      <c r="N229" t="s">
        <v>2247</v>
      </c>
      <c r="O229" t="s">
        <v>2248</v>
      </c>
      <c r="P229">
        <v>4.3600000000000003</v>
      </c>
    </row>
    <row r="230" spans="1:16" x14ac:dyDescent="0.2">
      <c r="A230" t="s">
        <v>421</v>
      </c>
      <c r="C230" t="s">
        <v>424</v>
      </c>
    </row>
    <row r="231" spans="1:16" x14ac:dyDescent="0.2">
      <c r="B231" t="s">
        <v>503</v>
      </c>
      <c r="C231" t="s">
        <v>425</v>
      </c>
      <c r="D231">
        <v>2.35</v>
      </c>
      <c r="E231" t="s">
        <v>2249</v>
      </c>
      <c r="F231" t="s">
        <v>2250</v>
      </c>
      <c r="G231">
        <v>2.35</v>
      </c>
      <c r="H231" t="s">
        <v>918</v>
      </c>
      <c r="I231" t="s">
        <v>919</v>
      </c>
      <c r="J231">
        <v>2.35</v>
      </c>
      <c r="K231" t="s">
        <v>2249</v>
      </c>
      <c r="L231" t="s">
        <v>2250</v>
      </c>
      <c r="M231">
        <v>2.35</v>
      </c>
      <c r="N231" t="s">
        <v>2249</v>
      </c>
      <c r="O231" t="s">
        <v>2250</v>
      </c>
      <c r="P231">
        <v>2.35</v>
      </c>
    </row>
    <row r="232" spans="1:16" x14ac:dyDescent="0.2">
      <c r="B232" t="s">
        <v>504</v>
      </c>
      <c r="C232" t="s">
        <v>426</v>
      </c>
      <c r="D232">
        <v>2.0499999999999998</v>
      </c>
      <c r="E232" t="s">
        <v>2251</v>
      </c>
      <c r="F232" t="s">
        <v>2252</v>
      </c>
      <c r="G232">
        <v>2.0499999999999998</v>
      </c>
      <c r="H232" t="s">
        <v>918</v>
      </c>
      <c r="I232" t="s">
        <v>919</v>
      </c>
      <c r="J232">
        <v>2.35</v>
      </c>
      <c r="K232" t="s">
        <v>2251</v>
      </c>
      <c r="L232" t="s">
        <v>2252</v>
      </c>
      <c r="M232">
        <v>2.0499999999999998</v>
      </c>
      <c r="N232" t="s">
        <v>2251</v>
      </c>
      <c r="O232" t="s">
        <v>2252</v>
      </c>
      <c r="P232">
        <v>2.0499999999999998</v>
      </c>
    </row>
    <row r="233" spans="1:16" x14ac:dyDescent="0.2">
      <c r="B233" t="s">
        <v>505</v>
      </c>
      <c r="C233" t="s">
        <v>427</v>
      </c>
      <c r="D233">
        <v>2.242</v>
      </c>
      <c r="E233" t="s">
        <v>2253</v>
      </c>
      <c r="F233" t="s">
        <v>2254</v>
      </c>
      <c r="G233">
        <v>2.2400000000000002</v>
      </c>
      <c r="H233" t="s">
        <v>2126</v>
      </c>
      <c r="I233" t="s">
        <v>2127</v>
      </c>
      <c r="J233">
        <v>2.5670000000000002</v>
      </c>
      <c r="K233" t="s">
        <v>2253</v>
      </c>
      <c r="L233" t="s">
        <v>2254</v>
      </c>
      <c r="M233">
        <v>2.2400000000000002</v>
      </c>
      <c r="N233" t="s">
        <v>2253</v>
      </c>
      <c r="O233" t="s">
        <v>2254</v>
      </c>
      <c r="P233">
        <v>2.2400000000000002</v>
      </c>
    </row>
    <row r="234" spans="1:16" x14ac:dyDescent="0.2">
      <c r="B234" t="s">
        <v>506</v>
      </c>
      <c r="C234" t="s">
        <v>428</v>
      </c>
      <c r="D234">
        <v>1.96</v>
      </c>
      <c r="E234" t="s">
        <v>2255</v>
      </c>
      <c r="F234" t="s">
        <v>2256</v>
      </c>
      <c r="G234">
        <v>1.96</v>
      </c>
      <c r="H234" t="s">
        <v>2126</v>
      </c>
      <c r="I234" t="s">
        <v>2127</v>
      </c>
      <c r="J234">
        <v>2.5670000000000002</v>
      </c>
      <c r="K234" t="s">
        <v>2255</v>
      </c>
      <c r="L234" t="s">
        <v>2256</v>
      </c>
      <c r="M234">
        <v>1.96</v>
      </c>
      <c r="N234" t="s">
        <v>2255</v>
      </c>
      <c r="O234" t="s">
        <v>2256</v>
      </c>
      <c r="P234">
        <v>1.96</v>
      </c>
    </row>
    <row r="237" spans="1:16" x14ac:dyDescent="0.2">
      <c r="A237" t="s">
        <v>2257</v>
      </c>
    </row>
    <row r="238" spans="1:16" x14ac:dyDescent="0.2">
      <c r="A238" t="s">
        <v>2258</v>
      </c>
    </row>
    <row r="239" spans="1:16" x14ac:dyDescent="0.2">
      <c r="A239" t="s">
        <v>15</v>
      </c>
      <c r="B239" t="s">
        <v>335</v>
      </c>
      <c r="C239" t="s">
        <v>1531</v>
      </c>
      <c r="D239" t="s">
        <v>68</v>
      </c>
      <c r="E239" t="s">
        <v>350</v>
      </c>
    </row>
    <row r="240" spans="1:16" x14ac:dyDescent="0.2">
      <c r="A240">
        <v>1</v>
      </c>
      <c r="B240" t="s">
        <v>1537</v>
      </c>
      <c r="C240" t="s">
        <v>1538</v>
      </c>
      <c r="D240" t="s">
        <v>2259</v>
      </c>
      <c r="E240">
        <v>1.55</v>
      </c>
      <c r="F240" s="607" t="s">
        <v>2925</v>
      </c>
    </row>
    <row r="241" spans="1:6" x14ac:dyDescent="0.2">
      <c r="A241">
        <v>2</v>
      </c>
      <c r="B241" t="s">
        <v>1546</v>
      </c>
      <c r="C241" t="s">
        <v>1547</v>
      </c>
      <c r="D241" t="s">
        <v>2259</v>
      </c>
      <c r="E241">
        <v>1.83</v>
      </c>
      <c r="F241" s="607" t="s">
        <v>2926</v>
      </c>
    </row>
    <row r="242" spans="1:6" x14ac:dyDescent="0.2">
      <c r="A242">
        <v>3</v>
      </c>
      <c r="B242" t="s">
        <v>1555</v>
      </c>
      <c r="C242" t="s">
        <v>1556</v>
      </c>
      <c r="D242" t="s">
        <v>2259</v>
      </c>
      <c r="E242">
        <v>1.9950000000000001</v>
      </c>
      <c r="F242" s="607" t="s">
        <v>2927</v>
      </c>
    </row>
    <row r="243" spans="1:6" x14ac:dyDescent="0.2">
      <c r="A243">
        <v>4</v>
      </c>
      <c r="B243" t="s">
        <v>1563</v>
      </c>
      <c r="C243" t="s">
        <v>1564</v>
      </c>
      <c r="D243" t="s">
        <v>2259</v>
      </c>
      <c r="E243">
        <v>2.0609999999999999</v>
      </c>
      <c r="F243" s="607" t="s">
        <v>2928</v>
      </c>
    </row>
    <row r="244" spans="1:6" x14ac:dyDescent="0.2">
      <c r="A244">
        <v>5</v>
      </c>
      <c r="B244" t="s">
        <v>1571</v>
      </c>
      <c r="C244" t="s">
        <v>1572</v>
      </c>
      <c r="D244" t="s">
        <v>2259</v>
      </c>
      <c r="E244">
        <v>2.16</v>
      </c>
      <c r="F244" s="607" t="s">
        <v>2929</v>
      </c>
    </row>
    <row r="245" spans="1:6" x14ac:dyDescent="0.2">
      <c r="A245">
        <v>6</v>
      </c>
      <c r="B245" t="s">
        <v>1580</v>
      </c>
      <c r="C245" t="s">
        <v>1581</v>
      </c>
      <c r="D245" t="s">
        <v>2259</v>
      </c>
      <c r="E245">
        <v>2.238</v>
      </c>
      <c r="F245" s="607" t="s">
        <v>2930</v>
      </c>
    </row>
    <row r="246" spans="1:6" x14ac:dyDescent="0.2">
      <c r="A246">
        <v>7</v>
      </c>
      <c r="B246" t="s">
        <v>1588</v>
      </c>
      <c r="C246" t="s">
        <v>1589</v>
      </c>
      <c r="D246" t="s">
        <v>2259</v>
      </c>
      <c r="E246">
        <v>2.2770000000000001</v>
      </c>
      <c r="F246" s="607" t="s">
        <v>2931</v>
      </c>
    </row>
    <row r="247" spans="1:6" x14ac:dyDescent="0.2">
      <c r="A247">
        <v>8</v>
      </c>
      <c r="B247" t="s">
        <v>1596</v>
      </c>
      <c r="C247" t="s">
        <v>1597</v>
      </c>
      <c r="D247" t="s">
        <v>2259</v>
      </c>
      <c r="E247">
        <v>2.355</v>
      </c>
      <c r="F247" s="607" t="s">
        <v>2932</v>
      </c>
    </row>
    <row r="248" spans="1:6" x14ac:dyDescent="0.2">
      <c r="A248">
        <v>9</v>
      </c>
      <c r="B248" t="s">
        <v>1604</v>
      </c>
      <c r="C248" t="s">
        <v>1605</v>
      </c>
      <c r="D248" t="s">
        <v>2259</v>
      </c>
      <c r="E248">
        <v>2.4329999999999998</v>
      </c>
      <c r="F248" s="607" t="s">
        <v>2933</v>
      </c>
    </row>
    <row r="249" spans="1:6" x14ac:dyDescent="0.2">
      <c r="A249">
        <v>10</v>
      </c>
      <c r="B249" t="s">
        <v>1612</v>
      </c>
      <c r="C249" t="s">
        <v>1613</v>
      </c>
      <c r="D249" t="s">
        <v>2259</v>
      </c>
      <c r="E249">
        <v>2.5499999999999998</v>
      </c>
      <c r="F249" s="607" t="s">
        <v>2934</v>
      </c>
    </row>
    <row r="250" spans="1:6" x14ac:dyDescent="0.2">
      <c r="A250">
        <v>11</v>
      </c>
      <c r="B250" t="s">
        <v>1621</v>
      </c>
      <c r="C250" t="s">
        <v>1622</v>
      </c>
      <c r="D250" t="s">
        <v>2259</v>
      </c>
      <c r="E250">
        <v>2.6419999999999999</v>
      </c>
      <c r="F250" s="607" t="s">
        <v>2935</v>
      </c>
    </row>
    <row r="251" spans="1:6" x14ac:dyDescent="0.2">
      <c r="A251">
        <v>12</v>
      </c>
      <c r="B251" t="s">
        <v>1629</v>
      </c>
      <c r="C251" t="s">
        <v>1630</v>
      </c>
      <c r="D251" t="s">
        <v>2259</v>
      </c>
      <c r="E251">
        <v>2.6880000000000002</v>
      </c>
      <c r="F251" s="607" t="s">
        <v>2936</v>
      </c>
    </row>
    <row r="252" spans="1:6" x14ac:dyDescent="0.2">
      <c r="A252">
        <v>13</v>
      </c>
      <c r="B252" t="s">
        <v>1637</v>
      </c>
      <c r="C252" t="s">
        <v>1638</v>
      </c>
      <c r="D252" t="s">
        <v>2259</v>
      </c>
      <c r="E252">
        <v>2.78</v>
      </c>
      <c r="F252" s="607" t="s">
        <v>2937</v>
      </c>
    </row>
    <row r="253" spans="1:6" x14ac:dyDescent="0.2">
      <c r="A253">
        <v>14</v>
      </c>
      <c r="B253" t="s">
        <v>1645</v>
      </c>
      <c r="C253" t="s">
        <v>1646</v>
      </c>
      <c r="D253" t="s">
        <v>2259</v>
      </c>
      <c r="E253">
        <v>2.8719999999999999</v>
      </c>
      <c r="F253" s="607" t="s">
        <v>2938</v>
      </c>
    </row>
    <row r="254" spans="1:6" x14ac:dyDescent="0.2">
      <c r="A254">
        <v>15</v>
      </c>
      <c r="B254" t="s">
        <v>1653</v>
      </c>
      <c r="C254" t="s">
        <v>1654</v>
      </c>
      <c r="D254" t="s">
        <v>2259</v>
      </c>
      <c r="E254">
        <v>3.01</v>
      </c>
      <c r="F254" s="607" t="s">
        <v>2939</v>
      </c>
    </row>
    <row r="255" spans="1:6" x14ac:dyDescent="0.2">
      <c r="A255">
        <v>16</v>
      </c>
      <c r="B255" t="s">
        <v>1662</v>
      </c>
      <c r="C255" t="s">
        <v>1663</v>
      </c>
      <c r="D255" t="s">
        <v>2259</v>
      </c>
      <c r="E255">
        <v>3.1199999999999997</v>
      </c>
      <c r="F255" s="607" t="s">
        <v>2940</v>
      </c>
    </row>
    <row r="256" spans="1:6" x14ac:dyDescent="0.2">
      <c r="A256">
        <v>17</v>
      </c>
      <c r="B256" t="s">
        <v>1670</v>
      </c>
      <c r="C256" t="s">
        <v>1671</v>
      </c>
      <c r="D256" t="s">
        <v>2259</v>
      </c>
      <c r="E256">
        <v>3.2850000000000001</v>
      </c>
      <c r="F256" s="607" t="s">
        <v>2941</v>
      </c>
    </row>
    <row r="257" spans="1:6" x14ac:dyDescent="0.2">
      <c r="A257">
        <v>18</v>
      </c>
      <c r="B257" t="s">
        <v>1678</v>
      </c>
      <c r="C257" t="s">
        <v>1679</v>
      </c>
      <c r="D257" t="s">
        <v>2259</v>
      </c>
      <c r="E257">
        <v>3.56</v>
      </c>
      <c r="F257" s="607" t="s">
        <v>2942</v>
      </c>
    </row>
    <row r="258" spans="1:6" x14ac:dyDescent="0.2">
      <c r="A258">
        <v>19</v>
      </c>
      <c r="B258" t="s">
        <v>1687</v>
      </c>
      <c r="C258" t="s">
        <v>1688</v>
      </c>
      <c r="D258" t="s">
        <v>2259</v>
      </c>
      <c r="E258">
        <v>4.2</v>
      </c>
      <c r="F258" s="607" t="s">
        <v>2943</v>
      </c>
    </row>
    <row r="259" spans="1:6" x14ac:dyDescent="0.2">
      <c r="A259">
        <v>20</v>
      </c>
      <c r="B259" t="s">
        <v>1696</v>
      </c>
      <c r="C259" t="s">
        <v>1697</v>
      </c>
      <c r="D259" t="s">
        <v>2259</v>
      </c>
      <c r="E259">
        <v>1.67</v>
      </c>
      <c r="F259" s="607" t="s">
        <v>2925</v>
      </c>
    </row>
    <row r="260" spans="1:6" x14ac:dyDescent="0.2">
      <c r="A260">
        <v>21</v>
      </c>
      <c r="B260" t="s">
        <v>1699</v>
      </c>
      <c r="C260" t="s">
        <v>1700</v>
      </c>
      <c r="D260" t="s">
        <v>2259</v>
      </c>
      <c r="E260">
        <v>1.96</v>
      </c>
      <c r="F260" s="607" t="s">
        <v>2926</v>
      </c>
    </row>
    <row r="261" spans="1:6" x14ac:dyDescent="0.2">
      <c r="A261">
        <v>22</v>
      </c>
      <c r="B261" t="s">
        <v>1702</v>
      </c>
      <c r="C261" t="s">
        <v>1703</v>
      </c>
      <c r="D261" t="s">
        <v>2259</v>
      </c>
      <c r="E261">
        <v>2.1349999999999998</v>
      </c>
      <c r="F261" s="607" t="s">
        <v>2927</v>
      </c>
    </row>
    <row r="262" spans="1:6" x14ac:dyDescent="0.2">
      <c r="A262">
        <v>23</v>
      </c>
      <c r="B262" t="s">
        <v>1705</v>
      </c>
      <c r="C262" t="s">
        <v>1706</v>
      </c>
      <c r="D262" t="s">
        <v>2259</v>
      </c>
      <c r="E262">
        <v>2.2050000000000001</v>
      </c>
      <c r="F262" s="607" t="s">
        <v>2928</v>
      </c>
    </row>
    <row r="263" spans="1:6" x14ac:dyDescent="0.2">
      <c r="A263">
        <v>24</v>
      </c>
      <c r="B263" t="s">
        <v>1708</v>
      </c>
      <c r="C263" t="s">
        <v>1709</v>
      </c>
      <c r="D263" t="s">
        <v>2259</v>
      </c>
      <c r="E263">
        <v>2.31</v>
      </c>
      <c r="F263" s="607" t="s">
        <v>2929</v>
      </c>
    </row>
    <row r="264" spans="1:6" x14ac:dyDescent="0.2">
      <c r="A264">
        <v>25</v>
      </c>
      <c r="B264" t="s">
        <v>1711</v>
      </c>
      <c r="C264" t="s">
        <v>1712</v>
      </c>
      <c r="D264" t="s">
        <v>2259</v>
      </c>
      <c r="E264">
        <v>2.39</v>
      </c>
      <c r="F264" s="607" t="s">
        <v>2930</v>
      </c>
    </row>
    <row r="265" spans="1:6" x14ac:dyDescent="0.2">
      <c r="A265">
        <v>26</v>
      </c>
      <c r="B265" t="s">
        <v>1715</v>
      </c>
      <c r="C265" t="s">
        <v>1716</v>
      </c>
      <c r="D265" t="s">
        <v>2259</v>
      </c>
      <c r="E265">
        <v>2.5099999999999998</v>
      </c>
      <c r="F265" s="607" t="s">
        <v>2932</v>
      </c>
    </row>
    <row r="266" spans="1:6" x14ac:dyDescent="0.2">
      <c r="A266">
        <v>27</v>
      </c>
      <c r="B266" t="s">
        <v>1718</v>
      </c>
      <c r="C266" t="s">
        <v>1719</v>
      </c>
      <c r="D266" t="s">
        <v>2259</v>
      </c>
      <c r="E266">
        <v>2.5830000000000002</v>
      </c>
      <c r="F266" s="607" t="s">
        <v>2933</v>
      </c>
    </row>
    <row r="267" spans="1:6" x14ac:dyDescent="0.2">
      <c r="A267">
        <v>28</v>
      </c>
      <c r="B267" t="s">
        <v>1721</v>
      </c>
      <c r="C267" t="s">
        <v>1722</v>
      </c>
      <c r="D267" t="s">
        <v>2259</v>
      </c>
      <c r="E267">
        <v>2.71</v>
      </c>
      <c r="F267" s="607" t="s">
        <v>2934</v>
      </c>
    </row>
    <row r="268" spans="1:6" x14ac:dyDescent="0.2">
      <c r="A268">
        <v>29</v>
      </c>
      <c r="B268" t="s">
        <v>1724</v>
      </c>
      <c r="C268" t="s">
        <v>1725</v>
      </c>
      <c r="D268" t="s">
        <v>2259</v>
      </c>
      <c r="E268">
        <v>2.806</v>
      </c>
      <c r="F268" s="607" t="s">
        <v>2935</v>
      </c>
    </row>
    <row r="269" spans="1:6" x14ac:dyDescent="0.2">
      <c r="A269">
        <v>30</v>
      </c>
      <c r="B269" t="s">
        <v>1728</v>
      </c>
      <c r="C269" t="s">
        <v>1729</v>
      </c>
      <c r="D269" t="s">
        <v>2259</v>
      </c>
      <c r="E269">
        <v>2.8540000000000001</v>
      </c>
      <c r="F269" s="607" t="s">
        <v>2936</v>
      </c>
    </row>
    <row r="270" spans="1:6" x14ac:dyDescent="0.2">
      <c r="A270">
        <v>31</v>
      </c>
      <c r="B270" t="s">
        <v>1731</v>
      </c>
      <c r="C270" t="s">
        <v>1732</v>
      </c>
      <c r="D270" t="s">
        <v>2259</v>
      </c>
      <c r="E270">
        <v>2.95</v>
      </c>
      <c r="F270" s="607" t="s">
        <v>2937</v>
      </c>
    </row>
    <row r="271" spans="1:6" x14ac:dyDescent="0.2">
      <c r="A271">
        <v>32</v>
      </c>
      <c r="B271" t="s">
        <v>1734</v>
      </c>
      <c r="C271" t="s">
        <v>1735</v>
      </c>
      <c r="D271" t="s">
        <v>2259</v>
      </c>
      <c r="E271">
        <v>3.0459999999999998</v>
      </c>
      <c r="F271" s="607" t="s">
        <v>2938</v>
      </c>
    </row>
    <row r="272" spans="1:6" x14ac:dyDescent="0.2">
      <c r="A272">
        <v>33</v>
      </c>
      <c r="B272" t="s">
        <v>1737</v>
      </c>
      <c r="C272" t="s">
        <v>1738</v>
      </c>
      <c r="D272" t="s">
        <v>2259</v>
      </c>
      <c r="E272">
        <v>3.19</v>
      </c>
      <c r="F272" s="607" t="s">
        <v>2939</v>
      </c>
    </row>
    <row r="273" spans="1:6" x14ac:dyDescent="0.2">
      <c r="A273">
        <v>34</v>
      </c>
      <c r="B273" t="s">
        <v>1740</v>
      </c>
      <c r="C273" t="s">
        <v>1741</v>
      </c>
      <c r="D273" t="s">
        <v>2259</v>
      </c>
      <c r="E273">
        <v>3.3</v>
      </c>
      <c r="F273" s="607" t="s">
        <v>2940</v>
      </c>
    </row>
    <row r="274" spans="1:6" x14ac:dyDescent="0.2">
      <c r="A274">
        <v>35</v>
      </c>
      <c r="B274" t="s">
        <v>1743</v>
      </c>
      <c r="C274" t="s">
        <v>1744</v>
      </c>
      <c r="D274" t="s">
        <v>2259</v>
      </c>
      <c r="E274">
        <v>3.4649999999999999</v>
      </c>
      <c r="F274" s="607" t="s">
        <v>2941</v>
      </c>
    </row>
    <row r="275" spans="1:6" x14ac:dyDescent="0.2">
      <c r="A275">
        <v>36</v>
      </c>
      <c r="B275" t="s">
        <v>1746</v>
      </c>
      <c r="C275" t="s">
        <v>1747</v>
      </c>
      <c r="D275" t="s">
        <v>2259</v>
      </c>
      <c r="E275">
        <v>3.74</v>
      </c>
      <c r="F275" s="607" t="s">
        <v>2942</v>
      </c>
    </row>
    <row r="276" spans="1:6" x14ac:dyDescent="0.2">
      <c r="A276">
        <v>37</v>
      </c>
      <c r="B276" t="s">
        <v>1749</v>
      </c>
      <c r="C276" t="s">
        <v>1750</v>
      </c>
      <c r="D276" t="s">
        <v>2259</v>
      </c>
      <c r="E276">
        <v>4.4000000000000004</v>
      </c>
      <c r="F276" s="607" t="s">
        <v>2943</v>
      </c>
    </row>
    <row r="277" spans="1:6" x14ac:dyDescent="0.2">
      <c r="A277">
        <v>38</v>
      </c>
      <c r="B277" t="s">
        <v>1752</v>
      </c>
      <c r="C277" t="s">
        <v>1753</v>
      </c>
      <c r="D277" t="s">
        <v>2259</v>
      </c>
      <c r="E277">
        <v>1.85</v>
      </c>
      <c r="F277" s="607" t="s">
        <v>2925</v>
      </c>
    </row>
    <row r="278" spans="1:6" x14ac:dyDescent="0.2">
      <c r="A278">
        <v>39</v>
      </c>
      <c r="B278" t="s">
        <v>1755</v>
      </c>
      <c r="C278" t="s">
        <v>1756</v>
      </c>
      <c r="D278" t="s">
        <v>2259</v>
      </c>
      <c r="E278">
        <v>2.1800000000000002</v>
      </c>
      <c r="F278" s="607" t="s">
        <v>2926</v>
      </c>
    </row>
    <row r="279" spans="1:6" x14ac:dyDescent="0.2">
      <c r="A279">
        <v>40</v>
      </c>
      <c r="B279" t="s">
        <v>1758</v>
      </c>
      <c r="C279" t="s">
        <v>1759</v>
      </c>
      <c r="D279" t="s">
        <v>2259</v>
      </c>
      <c r="E279">
        <v>2.37</v>
      </c>
      <c r="F279" s="607" t="s">
        <v>2927</v>
      </c>
    </row>
    <row r="280" spans="1:6" x14ac:dyDescent="0.2">
      <c r="A280">
        <v>41</v>
      </c>
      <c r="B280" t="s">
        <v>1761</v>
      </c>
      <c r="C280" t="s">
        <v>1762</v>
      </c>
      <c r="D280" t="s">
        <v>2259</v>
      </c>
      <c r="E280">
        <v>2.4460000000000002</v>
      </c>
      <c r="F280" s="607" t="s">
        <v>2928</v>
      </c>
    </row>
    <row r="281" spans="1:6" x14ac:dyDescent="0.2">
      <c r="A281">
        <v>42</v>
      </c>
      <c r="B281" t="s">
        <v>1764</v>
      </c>
      <c r="C281" t="s">
        <v>1765</v>
      </c>
      <c r="D281" t="s">
        <v>2259</v>
      </c>
      <c r="E281">
        <v>2.56</v>
      </c>
      <c r="F281" s="607" t="s">
        <v>2944</v>
      </c>
    </row>
    <row r="282" spans="1:6" x14ac:dyDescent="0.2">
      <c r="A282">
        <v>43</v>
      </c>
      <c r="B282" t="s">
        <v>1767</v>
      </c>
      <c r="C282" t="s">
        <v>1768</v>
      </c>
      <c r="D282" t="s">
        <v>2259</v>
      </c>
      <c r="E282">
        <v>2.65</v>
      </c>
      <c r="F282" s="607" t="s">
        <v>2930</v>
      </c>
    </row>
    <row r="283" spans="1:6" x14ac:dyDescent="0.2">
      <c r="A283">
        <v>44</v>
      </c>
      <c r="B283" t="s">
        <v>1774</v>
      </c>
      <c r="C283" t="s">
        <v>1775</v>
      </c>
      <c r="D283" t="s">
        <v>2259</v>
      </c>
      <c r="E283">
        <v>2.7850000000000001</v>
      </c>
      <c r="F283" s="607" t="s">
        <v>2932</v>
      </c>
    </row>
    <row r="284" spans="1:6" x14ac:dyDescent="0.2">
      <c r="A284">
        <v>45</v>
      </c>
      <c r="B284" t="s">
        <v>1777</v>
      </c>
      <c r="C284" t="s">
        <v>1778</v>
      </c>
      <c r="D284" t="s">
        <v>2259</v>
      </c>
      <c r="E284">
        <v>2.875</v>
      </c>
      <c r="F284" s="607" t="s">
        <v>2933</v>
      </c>
    </row>
    <row r="285" spans="1:6" x14ac:dyDescent="0.2">
      <c r="A285">
        <v>46</v>
      </c>
      <c r="B285" t="s">
        <v>1780</v>
      </c>
      <c r="C285" t="s">
        <v>1781</v>
      </c>
      <c r="D285" t="s">
        <v>2259</v>
      </c>
      <c r="E285">
        <v>3.01</v>
      </c>
      <c r="F285" s="607" t="s">
        <v>2934</v>
      </c>
    </row>
    <row r="286" spans="1:6" x14ac:dyDescent="0.2">
      <c r="A286">
        <v>47</v>
      </c>
      <c r="B286" t="s">
        <v>1783</v>
      </c>
      <c r="C286" t="s">
        <v>1784</v>
      </c>
      <c r="D286" t="s">
        <v>2259</v>
      </c>
      <c r="E286">
        <v>3.1159999999999997</v>
      </c>
      <c r="F286" s="607" t="s">
        <v>2935</v>
      </c>
    </row>
    <row r="287" spans="1:6" x14ac:dyDescent="0.2">
      <c r="A287">
        <v>48</v>
      </c>
      <c r="B287" t="s">
        <v>1786</v>
      </c>
      <c r="C287" t="s">
        <v>1787</v>
      </c>
      <c r="D287" t="s">
        <v>2259</v>
      </c>
      <c r="E287">
        <v>3.169</v>
      </c>
      <c r="F287" s="607" t="s">
        <v>2936</v>
      </c>
    </row>
    <row r="288" spans="1:6" x14ac:dyDescent="0.2">
      <c r="A288">
        <v>49</v>
      </c>
      <c r="B288" t="s">
        <v>1789</v>
      </c>
      <c r="C288" t="s">
        <v>1790</v>
      </c>
      <c r="D288" t="s">
        <v>2259</v>
      </c>
      <c r="E288">
        <v>3.2749999999999999</v>
      </c>
      <c r="F288" s="607" t="s">
        <v>2937</v>
      </c>
    </row>
    <row r="289" spans="1:6" x14ac:dyDescent="0.2">
      <c r="A289">
        <v>50</v>
      </c>
      <c r="B289" t="s">
        <v>1792</v>
      </c>
      <c r="C289" t="s">
        <v>1793</v>
      </c>
      <c r="D289" t="s">
        <v>2259</v>
      </c>
      <c r="E289">
        <v>3.3809999999999998</v>
      </c>
      <c r="F289" s="607" t="s">
        <v>2938</v>
      </c>
    </row>
    <row r="290" spans="1:6" x14ac:dyDescent="0.2">
      <c r="A290">
        <v>51</v>
      </c>
      <c r="B290" t="s">
        <v>1795</v>
      </c>
      <c r="C290" t="s">
        <v>1796</v>
      </c>
      <c r="D290" t="s">
        <v>2259</v>
      </c>
      <c r="E290">
        <v>3.54</v>
      </c>
      <c r="F290" s="607" t="s">
        <v>2939</v>
      </c>
    </row>
    <row r="291" spans="1:6" x14ac:dyDescent="0.2">
      <c r="A291">
        <v>52</v>
      </c>
      <c r="B291" t="s">
        <v>1798</v>
      </c>
      <c r="C291" t="s">
        <v>1799</v>
      </c>
      <c r="D291" t="s">
        <v>2259</v>
      </c>
      <c r="E291">
        <v>3.6659999999999999</v>
      </c>
      <c r="F291" s="607" t="s">
        <v>2940</v>
      </c>
    </row>
    <row r="292" spans="1:6" x14ac:dyDescent="0.2">
      <c r="A292">
        <v>53</v>
      </c>
      <c r="B292" t="s">
        <v>1801</v>
      </c>
      <c r="C292" t="s">
        <v>1802</v>
      </c>
      <c r="D292" t="s">
        <v>2259</v>
      </c>
      <c r="E292">
        <v>3.855</v>
      </c>
      <c r="F292" s="607" t="s">
        <v>2941</v>
      </c>
    </row>
    <row r="293" spans="1:6" x14ac:dyDescent="0.2">
      <c r="A293">
        <v>54</v>
      </c>
      <c r="B293" t="s">
        <v>1804</v>
      </c>
      <c r="C293" t="s">
        <v>1805</v>
      </c>
      <c r="D293" t="s">
        <v>2259</v>
      </c>
      <c r="E293">
        <v>4.17</v>
      </c>
      <c r="F293" s="607" t="s">
        <v>2942</v>
      </c>
    </row>
    <row r="294" spans="1:6" x14ac:dyDescent="0.2">
      <c r="A294">
        <v>55</v>
      </c>
      <c r="B294" t="s">
        <v>1807</v>
      </c>
      <c r="C294" t="s">
        <v>1808</v>
      </c>
      <c r="D294" t="s">
        <v>2259</v>
      </c>
      <c r="E294">
        <v>4.9000000000000004</v>
      </c>
      <c r="F294" s="607" t="s">
        <v>2943</v>
      </c>
    </row>
    <row r="295" spans="1:6" x14ac:dyDescent="0.2">
      <c r="A295">
        <v>56</v>
      </c>
      <c r="B295" t="s">
        <v>1810</v>
      </c>
      <c r="C295" t="s">
        <v>1811</v>
      </c>
      <c r="D295" t="s">
        <v>2259</v>
      </c>
      <c r="E295">
        <v>2.1800000000000002</v>
      </c>
      <c r="F295" s="347" t="s">
        <v>2945</v>
      </c>
    </row>
    <row r="296" spans="1:6" x14ac:dyDescent="0.2">
      <c r="A296">
        <v>57</v>
      </c>
      <c r="B296" t="s">
        <v>1816</v>
      </c>
      <c r="C296" t="s">
        <v>1817</v>
      </c>
      <c r="D296" t="s">
        <v>2259</v>
      </c>
      <c r="E296">
        <v>2.57</v>
      </c>
      <c r="F296" s="347" t="s">
        <v>2946</v>
      </c>
    </row>
    <row r="297" spans="1:6" x14ac:dyDescent="0.2">
      <c r="A297">
        <v>58</v>
      </c>
      <c r="B297" t="s">
        <v>1822</v>
      </c>
      <c r="C297" t="s">
        <v>1823</v>
      </c>
      <c r="D297" t="s">
        <v>2259</v>
      </c>
      <c r="E297">
        <v>3.05</v>
      </c>
      <c r="F297" s="347" t="s">
        <v>2947</v>
      </c>
    </row>
    <row r="298" spans="1:6" x14ac:dyDescent="0.2">
      <c r="A298">
        <v>59</v>
      </c>
      <c r="B298" t="s">
        <v>1828</v>
      </c>
      <c r="C298" t="s">
        <v>1829</v>
      </c>
      <c r="D298" t="s">
        <v>2259</v>
      </c>
      <c r="E298">
        <v>3.6</v>
      </c>
      <c r="F298" s="347" t="s">
        <v>2948</v>
      </c>
    </row>
    <row r="299" spans="1:6" x14ac:dyDescent="0.2">
      <c r="A299">
        <v>60</v>
      </c>
      <c r="B299" t="s">
        <v>1834</v>
      </c>
      <c r="C299" t="s">
        <v>1835</v>
      </c>
      <c r="D299" t="s">
        <v>2259</v>
      </c>
      <c r="E299">
        <v>2.35</v>
      </c>
      <c r="F299" s="347" t="s">
        <v>2949</v>
      </c>
    </row>
    <row r="300" spans="1:6" x14ac:dyDescent="0.2">
      <c r="A300">
        <v>61</v>
      </c>
      <c r="B300" t="s">
        <v>1839</v>
      </c>
      <c r="C300" t="s">
        <v>1840</v>
      </c>
      <c r="D300" t="s">
        <v>2259</v>
      </c>
      <c r="E300">
        <v>2.76</v>
      </c>
      <c r="F300" s="347" t="s">
        <v>2950</v>
      </c>
    </row>
    <row r="301" spans="1:6" x14ac:dyDescent="0.2">
      <c r="A301">
        <v>62</v>
      </c>
      <c r="B301" t="s">
        <v>1844</v>
      </c>
      <c r="C301" t="s">
        <v>1845</v>
      </c>
      <c r="D301" t="s">
        <v>2259</v>
      </c>
      <c r="E301">
        <v>3.25</v>
      </c>
      <c r="F301" s="347" t="s">
        <v>2951</v>
      </c>
    </row>
    <row r="302" spans="1:6" x14ac:dyDescent="0.2">
      <c r="A302">
        <v>63</v>
      </c>
      <c r="B302" t="s">
        <v>1849</v>
      </c>
      <c r="C302" t="s">
        <v>1850</v>
      </c>
      <c r="D302" t="s">
        <v>2259</v>
      </c>
      <c r="E302">
        <v>3.82</v>
      </c>
      <c r="F302" s="347" t="s">
        <v>2952</v>
      </c>
    </row>
    <row r="303" spans="1:6" x14ac:dyDescent="0.2">
      <c r="A303">
        <v>64</v>
      </c>
      <c r="B303" t="s">
        <v>1854</v>
      </c>
      <c r="C303" t="s">
        <v>1855</v>
      </c>
      <c r="D303" t="s">
        <v>2259</v>
      </c>
      <c r="E303">
        <v>2.5099999999999998</v>
      </c>
      <c r="F303" s="347" t="s">
        <v>2953</v>
      </c>
    </row>
    <row r="304" spans="1:6" x14ac:dyDescent="0.2">
      <c r="A304">
        <v>65</v>
      </c>
      <c r="B304" t="s">
        <v>1860</v>
      </c>
      <c r="C304" t="s">
        <v>1861</v>
      </c>
      <c r="D304" t="s">
        <v>2259</v>
      </c>
      <c r="E304">
        <v>2.94</v>
      </c>
      <c r="F304" s="347" t="s">
        <v>2954</v>
      </c>
    </row>
    <row r="305" spans="1:6" x14ac:dyDescent="0.2">
      <c r="A305">
        <v>66</v>
      </c>
      <c r="B305" t="s">
        <v>1866</v>
      </c>
      <c r="C305" t="s">
        <v>1867</v>
      </c>
      <c r="D305" t="s">
        <v>2259</v>
      </c>
      <c r="E305">
        <v>3.44</v>
      </c>
      <c r="F305" s="347" t="s">
        <v>2955</v>
      </c>
    </row>
    <row r="306" spans="1:6" x14ac:dyDescent="0.2">
      <c r="A306">
        <v>67</v>
      </c>
      <c r="B306" t="s">
        <v>1872</v>
      </c>
      <c r="C306" t="s">
        <v>1873</v>
      </c>
      <c r="D306" t="s">
        <v>2259</v>
      </c>
      <c r="E306">
        <v>4.05</v>
      </c>
      <c r="F306" s="347" t="s">
        <v>2956</v>
      </c>
    </row>
    <row r="307" spans="1:6" x14ac:dyDescent="0.2">
      <c r="A307">
        <v>68</v>
      </c>
      <c r="B307" t="s">
        <v>1878</v>
      </c>
      <c r="C307" t="s">
        <v>1879</v>
      </c>
      <c r="D307" t="s">
        <v>2259</v>
      </c>
      <c r="E307">
        <v>2.66</v>
      </c>
      <c r="F307" s="347" t="s">
        <v>2957</v>
      </c>
    </row>
    <row r="308" spans="1:6" x14ac:dyDescent="0.2">
      <c r="A308">
        <v>69</v>
      </c>
      <c r="B308" t="s">
        <v>1883</v>
      </c>
      <c r="C308" t="s">
        <v>1884</v>
      </c>
      <c r="D308" t="s">
        <v>2259</v>
      </c>
      <c r="E308">
        <v>3.11</v>
      </c>
      <c r="F308" s="347" t="s">
        <v>2958</v>
      </c>
    </row>
    <row r="309" spans="1:6" x14ac:dyDescent="0.2">
      <c r="A309">
        <v>70</v>
      </c>
      <c r="B309" t="s">
        <v>1888</v>
      </c>
      <c r="C309" t="s">
        <v>1889</v>
      </c>
      <c r="D309" t="s">
        <v>2259</v>
      </c>
      <c r="E309">
        <v>3.64</v>
      </c>
      <c r="F309" s="347" t="s">
        <v>2959</v>
      </c>
    </row>
    <row r="310" spans="1:6" x14ac:dyDescent="0.2">
      <c r="A310">
        <v>71</v>
      </c>
      <c r="B310" t="s">
        <v>1893</v>
      </c>
      <c r="C310" t="s">
        <v>1894</v>
      </c>
      <c r="D310" t="s">
        <v>2259</v>
      </c>
      <c r="E310">
        <v>4.2</v>
      </c>
      <c r="F310" s="347" t="s">
        <v>2960</v>
      </c>
    </row>
    <row r="311" spans="1:6" x14ac:dyDescent="0.2">
      <c r="A311">
        <v>72</v>
      </c>
      <c r="B311" t="s">
        <v>1898</v>
      </c>
      <c r="C311" t="s">
        <v>1899</v>
      </c>
      <c r="D311" t="s">
        <v>2259</v>
      </c>
      <c r="E311">
        <v>2.99</v>
      </c>
      <c r="F311" s="347" t="s">
        <v>2961</v>
      </c>
    </row>
    <row r="312" spans="1:6" x14ac:dyDescent="0.2">
      <c r="A312">
        <v>73</v>
      </c>
      <c r="B312" t="s">
        <v>1904</v>
      </c>
      <c r="C312" t="s">
        <v>1905</v>
      </c>
      <c r="D312" t="s">
        <v>2259</v>
      </c>
      <c r="E312">
        <v>3.5</v>
      </c>
      <c r="F312" s="347" t="s">
        <v>2962</v>
      </c>
    </row>
    <row r="313" spans="1:6" x14ac:dyDescent="0.2">
      <c r="A313">
        <v>74</v>
      </c>
      <c r="B313" t="s">
        <v>1910</v>
      </c>
      <c r="C313" t="s">
        <v>1911</v>
      </c>
      <c r="D313" t="s">
        <v>2259</v>
      </c>
      <c r="E313">
        <v>4.1100000000000003</v>
      </c>
      <c r="F313" s="347" t="s">
        <v>2963</v>
      </c>
    </row>
    <row r="314" spans="1:6" x14ac:dyDescent="0.2">
      <c r="A314">
        <v>75</v>
      </c>
      <c r="B314" t="s">
        <v>1916</v>
      </c>
      <c r="C314" t="s">
        <v>1917</v>
      </c>
      <c r="D314" t="s">
        <v>2259</v>
      </c>
      <c r="E314">
        <v>4.82</v>
      </c>
      <c r="F314" s="347" t="s">
        <v>2964</v>
      </c>
    </row>
    <row r="315" spans="1:6" x14ac:dyDescent="0.2">
      <c r="A315">
        <v>76</v>
      </c>
      <c r="B315" t="s">
        <v>1922</v>
      </c>
      <c r="C315" t="s">
        <v>1923</v>
      </c>
      <c r="D315" t="s">
        <v>2259</v>
      </c>
      <c r="E315">
        <v>3.2</v>
      </c>
      <c r="F315" s="347" t="s">
        <v>2965</v>
      </c>
    </row>
    <row r="316" spans="1:6" x14ac:dyDescent="0.2">
      <c r="A316">
        <v>77</v>
      </c>
      <c r="B316" t="s">
        <v>1927</v>
      </c>
      <c r="C316" t="s">
        <v>1928</v>
      </c>
      <c r="D316" t="s">
        <v>2259</v>
      </c>
      <c r="E316">
        <v>3.75</v>
      </c>
      <c r="F316" s="347" t="s">
        <v>2966</v>
      </c>
    </row>
    <row r="317" spans="1:6" x14ac:dyDescent="0.2">
      <c r="A317">
        <v>78</v>
      </c>
      <c r="B317" t="s">
        <v>1932</v>
      </c>
      <c r="C317" t="s">
        <v>1933</v>
      </c>
      <c r="D317" t="s">
        <v>2259</v>
      </c>
      <c r="E317">
        <v>4.3899999999999997</v>
      </c>
      <c r="F317" t="s">
        <v>2967</v>
      </c>
    </row>
    <row r="318" spans="1:6" x14ac:dyDescent="0.2">
      <c r="A318">
        <v>79</v>
      </c>
      <c r="B318" t="s">
        <v>1937</v>
      </c>
      <c r="C318" t="s">
        <v>1938</v>
      </c>
      <c r="D318" t="s">
        <v>2259</v>
      </c>
      <c r="E318">
        <v>5.15</v>
      </c>
      <c r="F318" s="347" t="s">
        <v>2968</v>
      </c>
    </row>
    <row r="319" spans="1:6" x14ac:dyDescent="0.2">
      <c r="A319">
        <v>80</v>
      </c>
      <c r="B319" t="s">
        <v>2010</v>
      </c>
      <c r="C319" t="s">
        <v>2011</v>
      </c>
      <c r="D319" t="s">
        <v>2259</v>
      </c>
      <c r="E319">
        <v>2.1800000000000002</v>
      </c>
      <c r="F319" s="347" t="s">
        <v>2969</v>
      </c>
    </row>
    <row r="320" spans="1:6" x14ac:dyDescent="0.2">
      <c r="A320">
        <v>81</v>
      </c>
      <c r="B320" t="s">
        <v>2013</v>
      </c>
      <c r="C320" t="s">
        <v>2014</v>
      </c>
      <c r="D320" t="s">
        <v>2259</v>
      </c>
      <c r="E320">
        <v>2.59</v>
      </c>
      <c r="F320" t="s">
        <v>2970</v>
      </c>
    </row>
    <row r="321" spans="1:6" x14ac:dyDescent="0.2">
      <c r="A321">
        <v>82</v>
      </c>
      <c r="B321" t="s">
        <v>2016</v>
      </c>
      <c r="C321" t="s">
        <v>2017</v>
      </c>
      <c r="D321" t="s">
        <v>2259</v>
      </c>
      <c r="E321">
        <v>3.08</v>
      </c>
      <c r="F321" s="347" t="s">
        <v>2971</v>
      </c>
    </row>
    <row r="322" spans="1:6" x14ac:dyDescent="0.2">
      <c r="A322">
        <v>83</v>
      </c>
      <c r="B322" t="s">
        <v>2019</v>
      </c>
      <c r="C322" t="s">
        <v>2020</v>
      </c>
      <c r="D322" t="s">
        <v>2259</v>
      </c>
      <c r="E322">
        <v>3.73</v>
      </c>
      <c r="F322" s="347" t="s">
        <v>2972</v>
      </c>
    </row>
    <row r="323" spans="1:6" x14ac:dyDescent="0.2">
      <c r="A323">
        <v>84</v>
      </c>
      <c r="B323" t="s">
        <v>2022</v>
      </c>
      <c r="C323" t="s">
        <v>2023</v>
      </c>
      <c r="D323" t="s">
        <v>2259</v>
      </c>
      <c r="E323">
        <v>2.5099999999999998</v>
      </c>
      <c r="F323" t="s">
        <v>2973</v>
      </c>
    </row>
    <row r="324" spans="1:6" x14ac:dyDescent="0.2">
      <c r="A324">
        <v>85</v>
      </c>
      <c r="B324" t="s">
        <v>2025</v>
      </c>
      <c r="C324" t="s">
        <v>2026</v>
      </c>
      <c r="D324" t="s">
        <v>2259</v>
      </c>
      <c r="E324">
        <v>2.93</v>
      </c>
      <c r="F324" t="s">
        <v>2974</v>
      </c>
    </row>
    <row r="325" spans="1:6" x14ac:dyDescent="0.2">
      <c r="A325">
        <v>86</v>
      </c>
      <c r="B325" t="s">
        <v>2028</v>
      </c>
      <c r="C325" t="s">
        <v>2029</v>
      </c>
      <c r="D325" t="s">
        <v>2259</v>
      </c>
      <c r="E325">
        <v>3.49</v>
      </c>
      <c r="F325" t="s">
        <v>2975</v>
      </c>
    </row>
    <row r="326" spans="1:6" x14ac:dyDescent="0.2">
      <c r="A326">
        <v>87</v>
      </c>
      <c r="B326" t="s">
        <v>2031</v>
      </c>
      <c r="C326" t="s">
        <v>2032</v>
      </c>
      <c r="D326" t="s">
        <v>2259</v>
      </c>
      <c r="E326">
        <v>4.16</v>
      </c>
      <c r="F326" t="s">
        <v>2976</v>
      </c>
    </row>
    <row r="327" spans="1:6" x14ac:dyDescent="0.2">
      <c r="A327">
        <v>88</v>
      </c>
      <c r="B327" t="s">
        <v>2034</v>
      </c>
      <c r="C327" t="s">
        <v>2035</v>
      </c>
      <c r="D327" t="s">
        <v>2259</v>
      </c>
      <c r="E327">
        <v>2.35</v>
      </c>
      <c r="F327" t="s">
        <v>2977</v>
      </c>
    </row>
    <row r="328" spans="1:6" x14ac:dyDescent="0.2">
      <c r="A328">
        <v>89</v>
      </c>
      <c r="B328" t="s">
        <v>2037</v>
      </c>
      <c r="C328" t="s">
        <v>2038</v>
      </c>
      <c r="D328" t="s">
        <v>2259</v>
      </c>
      <c r="E328">
        <v>2.72</v>
      </c>
      <c r="F328" t="s">
        <v>2978</v>
      </c>
    </row>
    <row r="329" spans="1:6" x14ac:dyDescent="0.2">
      <c r="A329">
        <v>90</v>
      </c>
      <c r="B329" t="s">
        <v>2040</v>
      </c>
      <c r="C329" t="s">
        <v>2041</v>
      </c>
      <c r="D329" t="s">
        <v>2259</v>
      </c>
      <c r="E329">
        <v>3.25</v>
      </c>
      <c r="F329" t="s">
        <v>2979</v>
      </c>
    </row>
    <row r="330" spans="1:6" x14ac:dyDescent="0.2">
      <c r="A330">
        <v>91</v>
      </c>
      <c r="B330" t="s">
        <v>2043</v>
      </c>
      <c r="C330" t="s">
        <v>2044</v>
      </c>
      <c r="D330" t="s">
        <v>2259</v>
      </c>
      <c r="E330">
        <v>3.91</v>
      </c>
      <c r="F330" t="s">
        <v>2980</v>
      </c>
    </row>
    <row r="331" spans="1:6" x14ac:dyDescent="0.2">
      <c r="A331">
        <v>92</v>
      </c>
      <c r="B331" t="s">
        <v>2046</v>
      </c>
      <c r="C331" t="s">
        <v>2047</v>
      </c>
      <c r="D331" t="s">
        <v>2259</v>
      </c>
      <c r="E331">
        <v>1.75</v>
      </c>
      <c r="F331" t="s">
        <v>2981</v>
      </c>
    </row>
    <row r="332" spans="1:6" x14ac:dyDescent="0.2">
      <c r="A332">
        <v>93</v>
      </c>
      <c r="B332" t="s">
        <v>2049</v>
      </c>
      <c r="C332" t="s">
        <v>2050</v>
      </c>
      <c r="D332" t="s">
        <v>2259</v>
      </c>
      <c r="E332">
        <v>1.99</v>
      </c>
      <c r="F332" t="s">
        <v>2982</v>
      </c>
    </row>
    <row r="333" spans="1:6" x14ac:dyDescent="0.2">
      <c r="A333">
        <v>94</v>
      </c>
      <c r="B333" t="s">
        <v>2052</v>
      </c>
      <c r="C333" t="s">
        <v>2053</v>
      </c>
      <c r="D333" t="s">
        <v>2259</v>
      </c>
      <c r="E333">
        <v>2.35</v>
      </c>
      <c r="F333" t="s">
        <v>2983</v>
      </c>
    </row>
    <row r="334" spans="1:6" x14ac:dyDescent="0.2">
      <c r="A334">
        <v>95</v>
      </c>
      <c r="B334" t="s">
        <v>2055</v>
      </c>
      <c r="C334" t="s">
        <v>2056</v>
      </c>
      <c r="D334" t="s">
        <v>2259</v>
      </c>
      <c r="E334">
        <v>2.66</v>
      </c>
      <c r="F334" t="s">
        <v>2984</v>
      </c>
    </row>
    <row r="335" spans="1:6" x14ac:dyDescent="0.2">
      <c r="A335">
        <v>96</v>
      </c>
      <c r="B335" t="s">
        <v>2058</v>
      </c>
      <c r="C335" t="s">
        <v>2059</v>
      </c>
      <c r="D335" t="s">
        <v>2259</v>
      </c>
      <c r="E335">
        <v>1.93</v>
      </c>
      <c r="F335" t="s">
        <v>2985</v>
      </c>
    </row>
    <row r="336" spans="1:6" x14ac:dyDescent="0.2">
      <c r="A336">
        <v>97</v>
      </c>
      <c r="B336" t="s">
        <v>2061</v>
      </c>
      <c r="C336" t="s">
        <v>2062</v>
      </c>
      <c r="D336" t="s">
        <v>2259</v>
      </c>
      <c r="E336">
        <v>2.38</v>
      </c>
      <c r="F336" t="s">
        <v>2986</v>
      </c>
    </row>
    <row r="337" spans="1:6" x14ac:dyDescent="0.2">
      <c r="A337">
        <v>98</v>
      </c>
      <c r="B337" t="s">
        <v>2064</v>
      </c>
      <c r="C337" t="s">
        <v>2065</v>
      </c>
      <c r="D337" t="s">
        <v>2259</v>
      </c>
      <c r="E337">
        <v>2.74</v>
      </c>
      <c r="F337" t="s">
        <v>2987</v>
      </c>
    </row>
    <row r="338" spans="1:6" x14ac:dyDescent="0.2">
      <c r="A338">
        <v>99</v>
      </c>
      <c r="B338" t="s">
        <v>2067</v>
      </c>
      <c r="C338" t="s">
        <v>2068</v>
      </c>
      <c r="D338" t="s">
        <v>2259</v>
      </c>
      <c r="E338">
        <v>3.15</v>
      </c>
      <c r="F338" t="s">
        <v>2988</v>
      </c>
    </row>
    <row r="339" spans="1:6" x14ac:dyDescent="0.2">
      <c r="A339">
        <v>100</v>
      </c>
      <c r="B339" t="s">
        <v>2070</v>
      </c>
      <c r="C339" t="s">
        <v>2071</v>
      </c>
      <c r="D339" t="s">
        <v>2259</v>
      </c>
      <c r="E339">
        <v>1.93</v>
      </c>
      <c r="F339" t="s">
        <v>2989</v>
      </c>
    </row>
    <row r="340" spans="1:6" x14ac:dyDescent="0.2">
      <c r="A340">
        <v>101</v>
      </c>
      <c r="B340" t="s">
        <v>2073</v>
      </c>
      <c r="C340" t="s">
        <v>2074</v>
      </c>
      <c r="D340" t="s">
        <v>2259</v>
      </c>
      <c r="E340">
        <v>2.1800000000000002</v>
      </c>
      <c r="F340" t="s">
        <v>2990</v>
      </c>
    </row>
    <row r="341" spans="1:6" x14ac:dyDescent="0.2">
      <c r="A341">
        <v>102</v>
      </c>
      <c r="B341" t="s">
        <v>2076</v>
      </c>
      <c r="C341" t="s">
        <v>2077</v>
      </c>
      <c r="D341" t="s">
        <v>2259</v>
      </c>
      <c r="E341">
        <v>2.5099999999999998</v>
      </c>
      <c r="F341" t="s">
        <v>2991</v>
      </c>
    </row>
    <row r="342" spans="1:6" x14ac:dyDescent="0.2">
      <c r="A342">
        <v>103</v>
      </c>
      <c r="B342" t="s">
        <v>2079</v>
      </c>
      <c r="C342" t="s">
        <v>2080</v>
      </c>
      <c r="D342" t="s">
        <v>2259</v>
      </c>
      <c r="E342">
        <v>2.83</v>
      </c>
      <c r="F342" t="s">
        <v>2992</v>
      </c>
    </row>
    <row r="343" spans="1:6" x14ac:dyDescent="0.2">
      <c r="A343">
        <v>104</v>
      </c>
      <c r="B343" t="s">
        <v>2082</v>
      </c>
      <c r="C343" t="s">
        <v>2083</v>
      </c>
      <c r="D343" t="s">
        <v>2259</v>
      </c>
      <c r="E343">
        <v>2.12</v>
      </c>
      <c r="F343" t="s">
        <v>2993</v>
      </c>
    </row>
    <row r="344" spans="1:6" x14ac:dyDescent="0.2">
      <c r="A344">
        <v>105</v>
      </c>
      <c r="B344" t="s">
        <v>2085</v>
      </c>
      <c r="C344" t="s">
        <v>2086</v>
      </c>
      <c r="D344" t="s">
        <v>2259</v>
      </c>
      <c r="E344">
        <v>2.39</v>
      </c>
      <c r="F344" t="s">
        <v>2994</v>
      </c>
    </row>
    <row r="345" spans="1:6" x14ac:dyDescent="0.2">
      <c r="A345">
        <v>106</v>
      </c>
      <c r="B345" t="s">
        <v>2088</v>
      </c>
      <c r="C345" t="s">
        <v>2089</v>
      </c>
      <c r="D345" t="s">
        <v>2259</v>
      </c>
      <c r="E345">
        <v>2.76</v>
      </c>
      <c r="F345" t="s">
        <v>2995</v>
      </c>
    </row>
    <row r="346" spans="1:6" x14ac:dyDescent="0.2">
      <c r="A346">
        <v>107</v>
      </c>
      <c r="B346" t="s">
        <v>2091</v>
      </c>
      <c r="C346" t="s">
        <v>2092</v>
      </c>
      <c r="D346" t="s">
        <v>2259</v>
      </c>
      <c r="E346">
        <v>3.11</v>
      </c>
      <c r="F346" t="s">
        <v>2996</v>
      </c>
    </row>
    <row r="347" spans="1:6" x14ac:dyDescent="0.2">
      <c r="A347">
        <v>108</v>
      </c>
      <c r="B347" t="s">
        <v>2094</v>
      </c>
      <c r="C347" t="s">
        <v>2095</v>
      </c>
      <c r="D347" t="s">
        <v>2259</v>
      </c>
      <c r="E347">
        <v>2.0499999999999998</v>
      </c>
      <c r="F347" t="s">
        <v>2997</v>
      </c>
    </row>
    <row r="348" spans="1:6" x14ac:dyDescent="0.2">
      <c r="A348">
        <v>109</v>
      </c>
      <c r="B348" t="s">
        <v>2097</v>
      </c>
      <c r="C348" t="s">
        <v>2098</v>
      </c>
      <c r="D348" t="s">
        <v>2259</v>
      </c>
      <c r="E348">
        <v>2.35</v>
      </c>
      <c r="F348" t="s">
        <v>2998</v>
      </c>
    </row>
    <row r="349" spans="1:6" x14ac:dyDescent="0.2">
      <c r="A349">
        <v>110</v>
      </c>
      <c r="B349" t="s">
        <v>2100</v>
      </c>
      <c r="C349" t="s">
        <v>2101</v>
      </c>
      <c r="D349" t="s">
        <v>2259</v>
      </c>
      <c r="E349">
        <v>2.66</v>
      </c>
      <c r="F349" t="s">
        <v>2999</v>
      </c>
    </row>
    <row r="350" spans="1:6" x14ac:dyDescent="0.2">
      <c r="A350">
        <v>111</v>
      </c>
      <c r="B350" t="s">
        <v>2103</v>
      </c>
      <c r="C350" t="s">
        <v>2104</v>
      </c>
      <c r="D350" t="s">
        <v>2259</v>
      </c>
      <c r="E350">
        <v>2.99</v>
      </c>
      <c r="F350" t="s">
        <v>3000</v>
      </c>
    </row>
    <row r="351" spans="1:6" x14ac:dyDescent="0.2">
      <c r="A351">
        <v>112</v>
      </c>
      <c r="B351" t="s">
        <v>2106</v>
      </c>
      <c r="C351" t="s">
        <v>2107</v>
      </c>
      <c r="D351" t="s">
        <v>2259</v>
      </c>
      <c r="E351">
        <v>2.25</v>
      </c>
      <c r="F351" t="s">
        <v>3001</v>
      </c>
    </row>
    <row r="352" spans="1:6" x14ac:dyDescent="0.2">
      <c r="A352">
        <v>113</v>
      </c>
      <c r="B352" t="s">
        <v>2109</v>
      </c>
      <c r="C352" t="s">
        <v>2110</v>
      </c>
      <c r="D352" t="s">
        <v>2259</v>
      </c>
      <c r="E352">
        <v>2.58</v>
      </c>
      <c r="F352" t="s">
        <v>3002</v>
      </c>
    </row>
    <row r="353" spans="1:6" x14ac:dyDescent="0.2">
      <c r="A353">
        <v>114</v>
      </c>
      <c r="B353" t="s">
        <v>2112</v>
      </c>
      <c r="C353" t="s">
        <v>2113</v>
      </c>
      <c r="D353" t="s">
        <v>2259</v>
      </c>
      <c r="E353">
        <v>2.92</v>
      </c>
      <c r="F353" t="s">
        <v>3003</v>
      </c>
    </row>
    <row r="354" spans="1:6" x14ac:dyDescent="0.2">
      <c r="A354">
        <v>115</v>
      </c>
      <c r="B354" t="s">
        <v>2115</v>
      </c>
      <c r="C354" t="s">
        <v>2116</v>
      </c>
      <c r="D354" t="s">
        <v>2259</v>
      </c>
      <c r="E354">
        <v>3.28</v>
      </c>
      <c r="F354" t="s">
        <v>3004</v>
      </c>
    </row>
    <row r="355" spans="1:6" x14ac:dyDescent="0.2">
      <c r="A355">
        <v>116</v>
      </c>
      <c r="B355" t="s">
        <v>2118</v>
      </c>
      <c r="C355" t="s">
        <v>2119</v>
      </c>
      <c r="D355" t="s">
        <v>2259</v>
      </c>
      <c r="E355">
        <v>1.55</v>
      </c>
      <c r="F355" t="s">
        <v>2119</v>
      </c>
    </row>
    <row r="356" spans="1:6" x14ac:dyDescent="0.2">
      <c r="A356">
        <v>117</v>
      </c>
      <c r="B356" t="s">
        <v>2121</v>
      </c>
      <c r="C356" t="s">
        <v>2122</v>
      </c>
      <c r="D356" t="s">
        <v>2259</v>
      </c>
      <c r="E356">
        <v>1.75</v>
      </c>
      <c r="F356" t="s">
        <v>2122</v>
      </c>
    </row>
    <row r="357" spans="1:6" x14ac:dyDescent="0.2">
      <c r="A357">
        <v>118</v>
      </c>
      <c r="B357" t="s">
        <v>2124</v>
      </c>
      <c r="C357" t="s">
        <v>2125</v>
      </c>
      <c r="D357" t="s">
        <v>2259</v>
      </c>
      <c r="E357">
        <v>1.96</v>
      </c>
      <c r="F357" t="s">
        <v>2125</v>
      </c>
    </row>
    <row r="358" spans="1:6" x14ac:dyDescent="0.2">
      <c r="A358">
        <v>119</v>
      </c>
      <c r="B358" t="s">
        <v>2129</v>
      </c>
      <c r="C358" t="s">
        <v>2130</v>
      </c>
      <c r="D358" t="s">
        <v>2259</v>
      </c>
      <c r="E358">
        <v>2.0499999999999998</v>
      </c>
      <c r="F358" t="s">
        <v>2130</v>
      </c>
    </row>
    <row r="359" spans="1:6" x14ac:dyDescent="0.2">
      <c r="A359">
        <v>120</v>
      </c>
      <c r="B359" t="s">
        <v>2131</v>
      </c>
      <c r="C359" t="s">
        <v>2132</v>
      </c>
      <c r="D359" t="s">
        <v>2259</v>
      </c>
      <c r="E359">
        <v>2.35</v>
      </c>
      <c r="F359" t="s">
        <v>2132</v>
      </c>
    </row>
    <row r="360" spans="1:6" x14ac:dyDescent="0.2">
      <c r="A360">
        <v>121</v>
      </c>
      <c r="B360" t="s">
        <v>1942</v>
      </c>
      <c r="C360" t="s">
        <v>1943</v>
      </c>
      <c r="D360" t="s">
        <v>2259</v>
      </c>
      <c r="E360">
        <v>2.81</v>
      </c>
    </row>
    <row r="361" spans="1:6" x14ac:dyDescent="0.2">
      <c r="A361">
        <v>122</v>
      </c>
      <c r="B361" t="s">
        <v>1946</v>
      </c>
      <c r="C361" t="s">
        <v>1947</v>
      </c>
      <c r="D361" t="s">
        <v>2259</v>
      </c>
      <c r="E361">
        <v>2.99</v>
      </c>
    </row>
    <row r="362" spans="1:6" x14ac:dyDescent="0.2">
      <c r="A362">
        <v>123</v>
      </c>
      <c r="B362" t="s">
        <v>1968</v>
      </c>
      <c r="C362" t="s">
        <v>1969</v>
      </c>
      <c r="D362" t="s">
        <v>2259</v>
      </c>
      <c r="E362">
        <v>2.5099999999999998</v>
      </c>
    </row>
    <row r="363" spans="1:6" x14ac:dyDescent="0.2">
      <c r="A363">
        <v>124</v>
      </c>
      <c r="B363" t="s">
        <v>1971</v>
      </c>
      <c r="C363" t="s">
        <v>1972</v>
      </c>
      <c r="D363" t="s">
        <v>2259</v>
      </c>
      <c r="E363">
        <v>2.66</v>
      </c>
    </row>
    <row r="364" spans="1:6" x14ac:dyDescent="0.2">
      <c r="A364">
        <v>125</v>
      </c>
      <c r="B364" t="s">
        <v>1950</v>
      </c>
      <c r="C364" t="s">
        <v>1951</v>
      </c>
      <c r="D364" t="s">
        <v>2259</v>
      </c>
      <c r="E364">
        <v>3.73</v>
      </c>
    </row>
    <row r="365" spans="1:6" x14ac:dyDescent="0.2">
      <c r="A365">
        <v>126</v>
      </c>
      <c r="B365" t="s">
        <v>1953</v>
      </c>
      <c r="C365" t="s">
        <v>1954</v>
      </c>
      <c r="D365" t="s">
        <v>2259</v>
      </c>
      <c r="E365">
        <v>3.91</v>
      </c>
    </row>
    <row r="366" spans="1:6" x14ac:dyDescent="0.2">
      <c r="A366">
        <v>127</v>
      </c>
      <c r="B366" t="s">
        <v>1974</v>
      </c>
      <c r="C366" t="s">
        <v>1975</v>
      </c>
      <c r="D366" t="s">
        <v>2259</v>
      </c>
      <c r="E366">
        <v>3.17</v>
      </c>
    </row>
    <row r="367" spans="1:6" x14ac:dyDescent="0.2">
      <c r="A367">
        <v>128</v>
      </c>
      <c r="B367" t="s">
        <v>1977</v>
      </c>
      <c r="C367" t="s">
        <v>1978</v>
      </c>
      <c r="D367" t="s">
        <v>2259</v>
      </c>
      <c r="E367">
        <v>3.3</v>
      </c>
    </row>
    <row r="368" spans="1:6" x14ac:dyDescent="0.2">
      <c r="A368">
        <v>129</v>
      </c>
      <c r="B368" t="s">
        <v>1992</v>
      </c>
      <c r="C368" t="s">
        <v>1993</v>
      </c>
      <c r="D368" t="s">
        <v>2259</v>
      </c>
      <c r="E368">
        <v>2.66</v>
      </c>
    </row>
    <row r="369" spans="1:5" x14ac:dyDescent="0.2">
      <c r="A369">
        <v>130</v>
      </c>
      <c r="B369" t="s">
        <v>1995</v>
      </c>
      <c r="C369" t="s">
        <v>1996</v>
      </c>
      <c r="D369" t="s">
        <v>2259</v>
      </c>
      <c r="E369">
        <v>2.81</v>
      </c>
    </row>
    <row r="370" spans="1:5" x14ac:dyDescent="0.2">
      <c r="A370">
        <v>131</v>
      </c>
      <c r="B370" t="s">
        <v>1956</v>
      </c>
      <c r="C370" t="s">
        <v>1957</v>
      </c>
      <c r="D370" t="s">
        <v>2259</v>
      </c>
      <c r="E370">
        <v>4.1399999999999997</v>
      </c>
    </row>
    <row r="371" spans="1:5" x14ac:dyDescent="0.2">
      <c r="A371">
        <v>132</v>
      </c>
      <c r="B371" t="s">
        <v>1959</v>
      </c>
      <c r="C371" t="s">
        <v>1960</v>
      </c>
      <c r="D371" t="s">
        <v>2259</v>
      </c>
      <c r="E371">
        <v>4.3600000000000003</v>
      </c>
    </row>
    <row r="372" spans="1:5" x14ac:dyDescent="0.2">
      <c r="A372">
        <v>133</v>
      </c>
      <c r="B372" t="s">
        <v>1980</v>
      </c>
      <c r="C372" t="s">
        <v>1981</v>
      </c>
      <c r="D372" t="s">
        <v>2259</v>
      </c>
      <c r="E372">
        <v>3.55</v>
      </c>
    </row>
    <row r="373" spans="1:5" x14ac:dyDescent="0.2">
      <c r="A373">
        <v>134</v>
      </c>
      <c r="B373" t="s">
        <v>1983</v>
      </c>
      <c r="C373" t="s">
        <v>1984</v>
      </c>
      <c r="D373" t="s">
        <v>2259</v>
      </c>
      <c r="E373">
        <v>3.76</v>
      </c>
    </row>
    <row r="374" spans="1:5" x14ac:dyDescent="0.2">
      <c r="A374">
        <v>135</v>
      </c>
      <c r="B374" t="s">
        <v>1998</v>
      </c>
      <c r="C374" t="s">
        <v>1999</v>
      </c>
      <c r="D374" t="s">
        <v>2259</v>
      </c>
      <c r="E374">
        <v>2.93</v>
      </c>
    </row>
    <row r="375" spans="1:5" x14ac:dyDescent="0.2">
      <c r="A375">
        <v>136</v>
      </c>
      <c r="B375" t="s">
        <v>2001</v>
      </c>
      <c r="C375" t="s">
        <v>2002</v>
      </c>
      <c r="D375" t="s">
        <v>2259</v>
      </c>
      <c r="E375">
        <v>3.1</v>
      </c>
    </row>
    <row r="376" spans="1:5" x14ac:dyDescent="0.2">
      <c r="A376">
        <v>137</v>
      </c>
      <c r="B376" t="s">
        <v>1962</v>
      </c>
      <c r="C376" t="s">
        <v>1963</v>
      </c>
      <c r="D376" t="s">
        <v>2259</v>
      </c>
      <c r="E376">
        <v>4.68</v>
      </c>
    </row>
    <row r="377" spans="1:5" x14ac:dyDescent="0.2">
      <c r="A377">
        <v>138</v>
      </c>
      <c r="B377" t="s">
        <v>1965</v>
      </c>
      <c r="C377" t="s">
        <v>1966</v>
      </c>
      <c r="D377" t="s">
        <v>2259</v>
      </c>
      <c r="E377">
        <v>4.92</v>
      </c>
    </row>
    <row r="378" spans="1:5" x14ac:dyDescent="0.2">
      <c r="A378">
        <v>139</v>
      </c>
      <c r="B378" t="s">
        <v>1986</v>
      </c>
      <c r="C378" t="s">
        <v>1987</v>
      </c>
      <c r="D378" t="s">
        <v>2259</v>
      </c>
      <c r="E378">
        <v>4.16</v>
      </c>
    </row>
    <row r="379" spans="1:5" x14ac:dyDescent="0.2">
      <c r="A379">
        <v>140</v>
      </c>
      <c r="B379" t="s">
        <v>1989</v>
      </c>
      <c r="C379" t="s">
        <v>1990</v>
      </c>
      <c r="D379" t="s">
        <v>2259</v>
      </c>
      <c r="E379">
        <v>4.37</v>
      </c>
    </row>
    <row r="380" spans="1:5" x14ac:dyDescent="0.2">
      <c r="A380">
        <v>141</v>
      </c>
      <c r="B380" t="s">
        <v>2004</v>
      </c>
      <c r="C380" t="s">
        <v>2005</v>
      </c>
      <c r="D380" t="s">
        <v>2259</v>
      </c>
      <c r="E380">
        <v>3.55</v>
      </c>
    </row>
    <row r="381" spans="1:5" x14ac:dyDescent="0.2">
      <c r="A381">
        <v>142</v>
      </c>
      <c r="B381" t="s">
        <v>2007</v>
      </c>
      <c r="C381" t="s">
        <v>2008</v>
      </c>
      <c r="D381" t="s">
        <v>2259</v>
      </c>
      <c r="E381">
        <v>3.76</v>
      </c>
    </row>
    <row r="382" spans="1:5" x14ac:dyDescent="0.2">
      <c r="A382">
        <v>143</v>
      </c>
      <c r="B382" t="s">
        <v>2142</v>
      </c>
      <c r="C382" t="s">
        <v>2143</v>
      </c>
      <c r="D382" t="s">
        <v>2259</v>
      </c>
      <c r="E382">
        <v>5.19</v>
      </c>
    </row>
    <row r="383" spans="1:5" x14ac:dyDescent="0.2">
      <c r="A383">
        <v>144</v>
      </c>
      <c r="B383" t="s">
        <v>2145</v>
      </c>
      <c r="C383" t="s">
        <v>2146</v>
      </c>
      <c r="D383" t="s">
        <v>2259</v>
      </c>
      <c r="E383">
        <v>5.41</v>
      </c>
    </row>
    <row r="384" spans="1:5" x14ac:dyDescent="0.2">
      <c r="A384">
        <v>145</v>
      </c>
      <c r="B384" t="s">
        <v>2154</v>
      </c>
      <c r="C384" t="s">
        <v>2155</v>
      </c>
      <c r="D384" t="s">
        <v>2259</v>
      </c>
      <c r="E384">
        <v>4.92</v>
      </c>
    </row>
    <row r="385" spans="1:5" x14ac:dyDescent="0.2">
      <c r="A385">
        <v>146</v>
      </c>
      <c r="B385" t="s">
        <v>2157</v>
      </c>
      <c r="C385" t="s">
        <v>2158</v>
      </c>
      <c r="D385" t="s">
        <v>2259</v>
      </c>
      <c r="E385">
        <v>5.19</v>
      </c>
    </row>
    <row r="386" spans="1:5" x14ac:dyDescent="0.2">
      <c r="A386">
        <v>147</v>
      </c>
      <c r="B386" t="s">
        <v>2166</v>
      </c>
      <c r="C386" t="s">
        <v>2167</v>
      </c>
      <c r="D386" t="s">
        <v>2259</v>
      </c>
      <c r="E386">
        <v>4.37</v>
      </c>
    </row>
    <row r="387" spans="1:5" x14ac:dyDescent="0.2">
      <c r="A387">
        <v>148</v>
      </c>
      <c r="B387" t="s">
        <v>2169</v>
      </c>
      <c r="C387" t="s">
        <v>2170</v>
      </c>
      <c r="D387" t="s">
        <v>2259</v>
      </c>
      <c r="E387">
        <v>4.68</v>
      </c>
    </row>
    <row r="388" spans="1:5" x14ac:dyDescent="0.2">
      <c r="A388">
        <v>149</v>
      </c>
      <c r="B388" t="s">
        <v>2260</v>
      </c>
      <c r="C388" t="s">
        <v>2261</v>
      </c>
      <c r="D388" t="s">
        <v>2259</v>
      </c>
      <c r="E388">
        <v>4.68</v>
      </c>
    </row>
    <row r="389" spans="1:5" x14ac:dyDescent="0.2">
      <c r="A389">
        <v>150</v>
      </c>
      <c r="B389" t="s">
        <v>2262</v>
      </c>
      <c r="C389" t="s">
        <v>2263</v>
      </c>
      <c r="D389" t="s">
        <v>2259</v>
      </c>
      <c r="E389">
        <v>4.92</v>
      </c>
    </row>
    <row r="390" spans="1:5" x14ac:dyDescent="0.2">
      <c r="A390">
        <v>151</v>
      </c>
      <c r="B390" t="s">
        <v>2178</v>
      </c>
      <c r="C390" t="s">
        <v>2179</v>
      </c>
      <c r="D390" t="s">
        <v>2259</v>
      </c>
      <c r="E390">
        <v>4.16</v>
      </c>
    </row>
    <row r="391" spans="1:5" x14ac:dyDescent="0.2">
      <c r="A391">
        <v>152</v>
      </c>
      <c r="B391" t="s">
        <v>2181</v>
      </c>
      <c r="C391" t="s">
        <v>2182</v>
      </c>
      <c r="D391" t="s">
        <v>2259</v>
      </c>
      <c r="E391">
        <v>4.37</v>
      </c>
    </row>
    <row r="392" spans="1:5" x14ac:dyDescent="0.2">
      <c r="A392">
        <v>153</v>
      </c>
      <c r="B392" t="s">
        <v>2194</v>
      </c>
      <c r="C392" t="s">
        <v>2195</v>
      </c>
      <c r="D392" t="s">
        <v>2259</v>
      </c>
      <c r="E392">
        <v>3.91</v>
      </c>
    </row>
    <row r="393" spans="1:5" x14ac:dyDescent="0.2">
      <c r="A393">
        <v>154</v>
      </c>
      <c r="B393" t="s">
        <v>2197</v>
      </c>
      <c r="C393" t="s">
        <v>2198</v>
      </c>
      <c r="D393" t="s">
        <v>2259</v>
      </c>
      <c r="E393">
        <v>4.16</v>
      </c>
    </row>
    <row r="394" spans="1:5" x14ac:dyDescent="0.2">
      <c r="A394">
        <v>155</v>
      </c>
      <c r="B394" t="s">
        <v>2264</v>
      </c>
      <c r="C394" t="s">
        <v>2265</v>
      </c>
      <c r="D394" t="s">
        <v>2259</v>
      </c>
      <c r="E394">
        <v>3.5</v>
      </c>
    </row>
    <row r="395" spans="1:5" x14ac:dyDescent="0.2">
      <c r="A395">
        <v>156</v>
      </c>
      <c r="B395" t="s">
        <v>2266</v>
      </c>
      <c r="C395" t="s">
        <v>2267</v>
      </c>
      <c r="D395" t="s">
        <v>2259</v>
      </c>
      <c r="E395">
        <v>3.73</v>
      </c>
    </row>
    <row r="396" spans="1:5" x14ac:dyDescent="0.2">
      <c r="A396">
        <v>157</v>
      </c>
      <c r="B396" t="s">
        <v>2148</v>
      </c>
      <c r="C396" t="s">
        <v>2149</v>
      </c>
      <c r="D396" t="s">
        <v>2259</v>
      </c>
      <c r="E396">
        <v>5.41</v>
      </c>
    </row>
    <row r="397" spans="1:5" x14ac:dyDescent="0.2">
      <c r="A397">
        <v>158</v>
      </c>
      <c r="B397" t="s">
        <v>2151</v>
      </c>
      <c r="C397" t="s">
        <v>2152</v>
      </c>
      <c r="D397" t="s">
        <v>2259</v>
      </c>
      <c r="E397">
        <v>5.75</v>
      </c>
    </row>
    <row r="398" spans="1:5" x14ac:dyDescent="0.2">
      <c r="A398">
        <v>159</v>
      </c>
      <c r="B398" t="s">
        <v>2160</v>
      </c>
      <c r="C398" t="s">
        <v>2161</v>
      </c>
      <c r="D398" t="s">
        <v>2259</v>
      </c>
      <c r="E398">
        <v>5.19</v>
      </c>
    </row>
    <row r="399" spans="1:5" x14ac:dyDescent="0.2">
      <c r="A399">
        <v>160</v>
      </c>
      <c r="B399" t="s">
        <v>2163</v>
      </c>
      <c r="C399" t="s">
        <v>2164</v>
      </c>
      <c r="D399" t="s">
        <v>2259</v>
      </c>
      <c r="E399">
        <v>5.41</v>
      </c>
    </row>
    <row r="400" spans="1:5" x14ac:dyDescent="0.2">
      <c r="A400">
        <v>161</v>
      </c>
      <c r="B400" t="s">
        <v>2172</v>
      </c>
      <c r="C400" t="s">
        <v>2173</v>
      </c>
      <c r="D400" t="s">
        <v>2259</v>
      </c>
      <c r="E400">
        <v>4.68</v>
      </c>
    </row>
    <row r="401" spans="1:5" x14ac:dyDescent="0.2">
      <c r="A401">
        <v>162</v>
      </c>
      <c r="B401" t="s">
        <v>2175</v>
      </c>
      <c r="C401" t="s">
        <v>2176</v>
      </c>
      <c r="D401" t="s">
        <v>2259</v>
      </c>
      <c r="E401">
        <v>4.92</v>
      </c>
    </row>
    <row r="402" spans="1:5" x14ac:dyDescent="0.2">
      <c r="A402">
        <v>163</v>
      </c>
      <c r="B402" t="s">
        <v>2268</v>
      </c>
      <c r="C402" t="s">
        <v>2269</v>
      </c>
      <c r="D402" t="s">
        <v>2259</v>
      </c>
      <c r="E402">
        <v>4.92</v>
      </c>
    </row>
    <row r="403" spans="1:5" x14ac:dyDescent="0.2">
      <c r="A403">
        <v>164</v>
      </c>
      <c r="B403" t="s">
        <v>2270</v>
      </c>
      <c r="C403" t="s">
        <v>2271</v>
      </c>
      <c r="D403" t="s">
        <v>2259</v>
      </c>
      <c r="E403">
        <v>5.19</v>
      </c>
    </row>
    <row r="404" spans="1:5" x14ac:dyDescent="0.2">
      <c r="A404">
        <v>165</v>
      </c>
      <c r="B404" t="s">
        <v>2184</v>
      </c>
      <c r="C404" t="s">
        <v>2185</v>
      </c>
      <c r="D404" t="s">
        <v>2259</v>
      </c>
      <c r="E404">
        <v>4.37</v>
      </c>
    </row>
    <row r="405" spans="1:5" x14ac:dyDescent="0.2">
      <c r="A405">
        <v>166</v>
      </c>
      <c r="B405" t="s">
        <v>2189</v>
      </c>
      <c r="C405" t="s">
        <v>2190</v>
      </c>
      <c r="D405" t="s">
        <v>2259</v>
      </c>
      <c r="E405">
        <v>4.68</v>
      </c>
    </row>
    <row r="406" spans="1:5" x14ac:dyDescent="0.2">
      <c r="A406">
        <v>167</v>
      </c>
      <c r="B406" t="s">
        <v>2201</v>
      </c>
      <c r="C406" t="s">
        <v>2202</v>
      </c>
      <c r="D406" t="s">
        <v>2259</v>
      </c>
      <c r="E406">
        <v>4.16</v>
      </c>
    </row>
    <row r="407" spans="1:5" x14ac:dyDescent="0.2">
      <c r="A407">
        <v>168</v>
      </c>
      <c r="B407" t="s">
        <v>2205</v>
      </c>
      <c r="C407" t="s">
        <v>2206</v>
      </c>
      <c r="D407" t="s">
        <v>2259</v>
      </c>
      <c r="E407">
        <v>4.37</v>
      </c>
    </row>
    <row r="408" spans="1:5" x14ac:dyDescent="0.2">
      <c r="A408">
        <v>169</v>
      </c>
      <c r="B408" t="s">
        <v>2272</v>
      </c>
      <c r="C408" t="s">
        <v>2273</v>
      </c>
      <c r="D408" t="s">
        <v>2259</v>
      </c>
      <c r="E408">
        <v>3.73</v>
      </c>
    </row>
    <row r="409" spans="1:5" x14ac:dyDescent="0.2">
      <c r="A409">
        <v>170</v>
      </c>
      <c r="B409" t="s">
        <v>2274</v>
      </c>
      <c r="C409" t="s">
        <v>2275</v>
      </c>
      <c r="D409" t="s">
        <v>2259</v>
      </c>
      <c r="E409">
        <v>3.91</v>
      </c>
    </row>
    <row r="410" spans="1:5" x14ac:dyDescent="0.2">
      <c r="A410">
        <v>171</v>
      </c>
      <c r="B410" t="s">
        <v>2276</v>
      </c>
      <c r="C410" t="s">
        <v>2277</v>
      </c>
      <c r="D410" t="s">
        <v>2259</v>
      </c>
      <c r="E410">
        <v>2.5099999999999998</v>
      </c>
    </row>
    <row r="411" spans="1:5" x14ac:dyDescent="0.2">
      <c r="A411">
        <v>172</v>
      </c>
      <c r="B411" t="s">
        <v>2278</v>
      </c>
      <c r="C411" t="s">
        <v>2279</v>
      </c>
      <c r="D411" t="s">
        <v>2259</v>
      </c>
      <c r="E411">
        <v>2.83</v>
      </c>
    </row>
    <row r="412" spans="1:5" x14ac:dyDescent="0.2">
      <c r="A412">
        <v>173</v>
      </c>
      <c r="B412" t="s">
        <v>2280</v>
      </c>
      <c r="C412" t="s">
        <v>2281</v>
      </c>
      <c r="D412" t="s">
        <v>2259</v>
      </c>
      <c r="E412">
        <v>3.28</v>
      </c>
    </row>
    <row r="413" spans="1:5" x14ac:dyDescent="0.2">
      <c r="A413">
        <v>174</v>
      </c>
      <c r="B413" t="s">
        <v>2282</v>
      </c>
      <c r="C413" t="s">
        <v>2283</v>
      </c>
      <c r="D413" t="s">
        <v>2259</v>
      </c>
      <c r="E413">
        <v>3.91</v>
      </c>
    </row>
    <row r="414" spans="1:5" x14ac:dyDescent="0.2">
      <c r="A414">
        <v>175</v>
      </c>
      <c r="B414" t="s">
        <v>2284</v>
      </c>
      <c r="C414" t="s">
        <v>2285</v>
      </c>
      <c r="D414" t="s">
        <v>2259</v>
      </c>
      <c r="E414">
        <v>2.35</v>
      </c>
    </row>
    <row r="415" spans="1:5" x14ac:dyDescent="0.2">
      <c r="A415">
        <v>176</v>
      </c>
      <c r="B415" t="s">
        <v>2286</v>
      </c>
      <c r="C415" t="s">
        <v>2287</v>
      </c>
      <c r="D415" t="s">
        <v>2259</v>
      </c>
      <c r="E415">
        <v>2.66</v>
      </c>
    </row>
    <row r="416" spans="1:5" x14ac:dyDescent="0.2">
      <c r="A416">
        <v>177</v>
      </c>
      <c r="B416" t="s">
        <v>2288</v>
      </c>
      <c r="C416" t="s">
        <v>2289</v>
      </c>
      <c r="D416" t="s">
        <v>2259</v>
      </c>
      <c r="E416">
        <v>3.12</v>
      </c>
    </row>
    <row r="417" spans="1:5" x14ac:dyDescent="0.2">
      <c r="A417">
        <v>178</v>
      </c>
      <c r="B417" t="s">
        <v>2290</v>
      </c>
      <c r="C417" t="s">
        <v>2291</v>
      </c>
      <c r="D417" t="s">
        <v>2259</v>
      </c>
      <c r="E417">
        <v>3.73</v>
      </c>
    </row>
    <row r="418" spans="1:5" x14ac:dyDescent="0.2">
      <c r="A418">
        <v>179</v>
      </c>
      <c r="B418" t="s">
        <v>2292</v>
      </c>
      <c r="C418" t="s">
        <v>2293</v>
      </c>
      <c r="D418" t="s">
        <v>2259</v>
      </c>
      <c r="E418">
        <v>2.1800000000000002</v>
      </c>
    </row>
    <row r="419" spans="1:5" x14ac:dyDescent="0.2">
      <c r="A419">
        <v>180</v>
      </c>
      <c r="B419" t="s">
        <v>2294</v>
      </c>
      <c r="C419" t="s">
        <v>2295</v>
      </c>
      <c r="D419" t="s">
        <v>2259</v>
      </c>
      <c r="E419">
        <v>2.59</v>
      </c>
    </row>
    <row r="420" spans="1:5" x14ac:dyDescent="0.2">
      <c r="A420">
        <v>181</v>
      </c>
      <c r="B420" t="s">
        <v>2296</v>
      </c>
      <c r="C420" t="s">
        <v>2297</v>
      </c>
      <c r="D420" t="s">
        <v>2259</v>
      </c>
      <c r="E420">
        <v>3.08</v>
      </c>
    </row>
    <row r="421" spans="1:5" x14ac:dyDescent="0.2">
      <c r="A421">
        <v>182</v>
      </c>
      <c r="B421" t="s">
        <v>2298</v>
      </c>
      <c r="C421" t="s">
        <v>2299</v>
      </c>
      <c r="D421" t="s">
        <v>2259</v>
      </c>
      <c r="E421">
        <v>3.73</v>
      </c>
    </row>
    <row r="422" spans="1:5" x14ac:dyDescent="0.2">
      <c r="A422">
        <v>183</v>
      </c>
      <c r="B422" t="s">
        <v>2300</v>
      </c>
      <c r="C422" t="s">
        <v>2301</v>
      </c>
      <c r="D422" t="s">
        <v>2259</v>
      </c>
      <c r="E422">
        <v>1.75</v>
      </c>
    </row>
    <row r="423" spans="1:5" x14ac:dyDescent="0.2">
      <c r="A423">
        <v>184</v>
      </c>
      <c r="B423" t="s">
        <v>2302</v>
      </c>
      <c r="C423" t="s">
        <v>2303</v>
      </c>
      <c r="D423" t="s">
        <v>2259</v>
      </c>
      <c r="E423">
        <v>1.99</v>
      </c>
    </row>
    <row r="424" spans="1:5" x14ac:dyDescent="0.2">
      <c r="A424">
        <v>185</v>
      </c>
      <c r="B424" t="s">
        <v>2253</v>
      </c>
      <c r="C424" t="s">
        <v>2254</v>
      </c>
      <c r="D424" t="s">
        <v>2259</v>
      </c>
      <c r="E424">
        <v>2.2400000000000002</v>
      </c>
    </row>
    <row r="425" spans="1:5" x14ac:dyDescent="0.2">
      <c r="A425">
        <v>186</v>
      </c>
      <c r="B425" t="s">
        <v>2249</v>
      </c>
      <c r="C425" t="s">
        <v>2250</v>
      </c>
      <c r="D425" t="s">
        <v>2259</v>
      </c>
      <c r="E425">
        <v>2.35</v>
      </c>
    </row>
    <row r="426" spans="1:5" x14ac:dyDescent="0.2">
      <c r="A426">
        <v>187</v>
      </c>
      <c r="B426" t="s">
        <v>2304</v>
      </c>
      <c r="C426" t="s">
        <v>2305</v>
      </c>
      <c r="D426" t="s">
        <v>2259</v>
      </c>
      <c r="E426">
        <v>2.66</v>
      </c>
    </row>
    <row r="427" spans="1:5" x14ac:dyDescent="0.2">
      <c r="A427">
        <v>188</v>
      </c>
      <c r="B427" t="s">
        <v>2306</v>
      </c>
      <c r="C427" t="s">
        <v>2307</v>
      </c>
      <c r="D427" t="s">
        <v>2259</v>
      </c>
      <c r="E427">
        <v>1.93</v>
      </c>
    </row>
    <row r="428" spans="1:5" x14ac:dyDescent="0.2">
      <c r="A428">
        <v>189</v>
      </c>
      <c r="B428" t="s">
        <v>2308</v>
      </c>
      <c r="C428" t="s">
        <v>2309</v>
      </c>
      <c r="D428" t="s">
        <v>2259</v>
      </c>
      <c r="E428">
        <v>2.38</v>
      </c>
    </row>
    <row r="429" spans="1:5" x14ac:dyDescent="0.2">
      <c r="A429">
        <v>190</v>
      </c>
      <c r="B429" t="s">
        <v>2310</v>
      </c>
      <c r="C429" t="s">
        <v>2311</v>
      </c>
      <c r="D429" t="s">
        <v>2259</v>
      </c>
      <c r="E429">
        <v>2.74</v>
      </c>
    </row>
    <row r="430" spans="1:5" x14ac:dyDescent="0.2">
      <c r="A430">
        <v>191</v>
      </c>
      <c r="B430" t="s">
        <v>2312</v>
      </c>
      <c r="C430" t="s">
        <v>2313</v>
      </c>
      <c r="D430" t="s">
        <v>2259</v>
      </c>
      <c r="E430">
        <v>3.15</v>
      </c>
    </row>
    <row r="431" spans="1:5" x14ac:dyDescent="0.2">
      <c r="A431">
        <v>192</v>
      </c>
      <c r="B431" t="s">
        <v>2208</v>
      </c>
      <c r="C431" t="s">
        <v>2209</v>
      </c>
      <c r="D431" t="s">
        <v>2259</v>
      </c>
      <c r="E431">
        <v>3.91</v>
      </c>
    </row>
    <row r="432" spans="1:5" x14ac:dyDescent="0.2">
      <c r="A432">
        <v>193</v>
      </c>
      <c r="B432" t="s">
        <v>2211</v>
      </c>
      <c r="C432" t="s">
        <v>2212</v>
      </c>
      <c r="D432" t="s">
        <v>2259</v>
      </c>
      <c r="E432">
        <v>4.16</v>
      </c>
    </row>
    <row r="433" spans="1:5" x14ac:dyDescent="0.2">
      <c r="A433">
        <v>194</v>
      </c>
      <c r="B433" t="s">
        <v>2226</v>
      </c>
      <c r="C433" t="s">
        <v>2227</v>
      </c>
      <c r="D433" t="s">
        <v>2259</v>
      </c>
      <c r="E433">
        <v>3.5</v>
      </c>
    </row>
    <row r="434" spans="1:5" x14ac:dyDescent="0.2">
      <c r="A434">
        <v>195</v>
      </c>
      <c r="B434" t="s">
        <v>2229</v>
      </c>
      <c r="C434" t="s">
        <v>2230</v>
      </c>
      <c r="D434" t="s">
        <v>2259</v>
      </c>
      <c r="E434">
        <v>3.73</v>
      </c>
    </row>
    <row r="435" spans="1:5" x14ac:dyDescent="0.2">
      <c r="A435">
        <v>196</v>
      </c>
      <c r="B435" t="s">
        <v>2314</v>
      </c>
      <c r="C435" t="s">
        <v>2315</v>
      </c>
      <c r="D435" t="s">
        <v>2259</v>
      </c>
      <c r="E435">
        <v>3.48</v>
      </c>
    </row>
    <row r="436" spans="1:5" x14ac:dyDescent="0.2">
      <c r="A436">
        <v>197</v>
      </c>
      <c r="B436" t="s">
        <v>2316</v>
      </c>
      <c r="C436" t="s">
        <v>2317</v>
      </c>
      <c r="D436" t="s">
        <v>2259</v>
      </c>
      <c r="E436">
        <v>3.71</v>
      </c>
    </row>
    <row r="437" spans="1:5" x14ac:dyDescent="0.2">
      <c r="A437">
        <v>198</v>
      </c>
      <c r="B437" t="s">
        <v>2318</v>
      </c>
      <c r="C437" t="s">
        <v>2319</v>
      </c>
      <c r="D437" t="s">
        <v>2259</v>
      </c>
      <c r="E437">
        <v>3.17</v>
      </c>
    </row>
    <row r="438" spans="1:5" x14ac:dyDescent="0.2">
      <c r="A438">
        <v>199</v>
      </c>
      <c r="B438" t="s">
        <v>2320</v>
      </c>
      <c r="C438" t="s">
        <v>2321</v>
      </c>
      <c r="D438" t="s">
        <v>2259</v>
      </c>
      <c r="E438">
        <v>3.5</v>
      </c>
    </row>
    <row r="439" spans="1:5" x14ac:dyDescent="0.2">
      <c r="A439">
        <v>200</v>
      </c>
      <c r="B439" t="s">
        <v>2214</v>
      </c>
      <c r="C439" t="s">
        <v>2215</v>
      </c>
      <c r="D439" t="s">
        <v>2259</v>
      </c>
      <c r="E439">
        <v>4.37</v>
      </c>
    </row>
    <row r="440" spans="1:5" x14ac:dyDescent="0.2">
      <c r="A440">
        <v>201</v>
      </c>
      <c r="B440" t="s">
        <v>2217</v>
      </c>
      <c r="C440" t="s">
        <v>2218</v>
      </c>
      <c r="D440" t="s">
        <v>2259</v>
      </c>
      <c r="E440">
        <v>4.68</v>
      </c>
    </row>
    <row r="441" spans="1:5" x14ac:dyDescent="0.2">
      <c r="A441">
        <v>202</v>
      </c>
      <c r="B441" t="s">
        <v>2232</v>
      </c>
      <c r="C441" t="s">
        <v>2233</v>
      </c>
      <c r="D441" t="s">
        <v>2259</v>
      </c>
      <c r="E441">
        <v>4.16</v>
      </c>
    </row>
    <row r="442" spans="1:5" x14ac:dyDescent="0.2">
      <c r="A442">
        <v>203</v>
      </c>
      <c r="B442" t="s">
        <v>2235</v>
      </c>
      <c r="C442" t="s">
        <v>2236</v>
      </c>
      <c r="D442" t="s">
        <v>2259</v>
      </c>
      <c r="E442">
        <v>4.37</v>
      </c>
    </row>
    <row r="443" spans="1:5" x14ac:dyDescent="0.2">
      <c r="A443">
        <v>204</v>
      </c>
      <c r="B443" t="s">
        <v>2322</v>
      </c>
      <c r="C443" t="s">
        <v>2323</v>
      </c>
      <c r="D443" t="s">
        <v>2259</v>
      </c>
      <c r="E443">
        <v>4.09</v>
      </c>
    </row>
    <row r="444" spans="1:5" x14ac:dyDescent="0.2">
      <c r="A444">
        <v>205</v>
      </c>
      <c r="B444" t="s">
        <v>2324</v>
      </c>
      <c r="C444" t="s">
        <v>2325</v>
      </c>
      <c r="D444" t="s">
        <v>2259</v>
      </c>
      <c r="E444">
        <v>4.3</v>
      </c>
    </row>
    <row r="445" spans="1:5" x14ac:dyDescent="0.2">
      <c r="A445">
        <v>206</v>
      </c>
      <c r="B445" t="s">
        <v>2318</v>
      </c>
      <c r="C445" t="s">
        <v>2326</v>
      </c>
      <c r="D445" t="s">
        <v>2259</v>
      </c>
      <c r="E445">
        <v>3.73</v>
      </c>
    </row>
    <row r="446" spans="1:5" x14ac:dyDescent="0.2">
      <c r="A446">
        <v>207</v>
      </c>
      <c r="B446" t="s">
        <v>2320</v>
      </c>
      <c r="C446" t="s">
        <v>2327</v>
      </c>
      <c r="D446" t="s">
        <v>2259</v>
      </c>
      <c r="E446">
        <v>3.91</v>
      </c>
    </row>
    <row r="447" spans="1:5" x14ac:dyDescent="0.2">
      <c r="A447">
        <v>208</v>
      </c>
      <c r="B447" t="s">
        <v>2220</v>
      </c>
      <c r="C447" t="s">
        <v>2221</v>
      </c>
      <c r="D447" t="s">
        <v>2259</v>
      </c>
      <c r="E447">
        <v>4.88</v>
      </c>
    </row>
    <row r="448" spans="1:5" x14ac:dyDescent="0.2">
      <c r="A448">
        <v>209</v>
      </c>
      <c r="B448" t="s">
        <v>2223</v>
      </c>
      <c r="C448" t="s">
        <v>2224</v>
      </c>
      <c r="D448" t="s">
        <v>2259</v>
      </c>
      <c r="E448">
        <v>5.19</v>
      </c>
    </row>
    <row r="449" spans="1:5" x14ac:dyDescent="0.2">
      <c r="A449">
        <v>210</v>
      </c>
      <c r="B449" t="s">
        <v>2238</v>
      </c>
      <c r="C449" t="s">
        <v>2239</v>
      </c>
      <c r="D449" t="s">
        <v>2259</v>
      </c>
      <c r="E449">
        <v>4.71</v>
      </c>
    </row>
    <row r="450" spans="1:5" x14ac:dyDescent="0.2">
      <c r="A450">
        <v>211</v>
      </c>
      <c r="B450" t="s">
        <v>2241</v>
      </c>
      <c r="C450" t="s">
        <v>2242</v>
      </c>
      <c r="D450" t="s">
        <v>2259</v>
      </c>
      <c r="E450">
        <v>5.07</v>
      </c>
    </row>
    <row r="451" spans="1:5" x14ac:dyDescent="0.2">
      <c r="A451">
        <v>212</v>
      </c>
      <c r="B451" t="s">
        <v>2244</v>
      </c>
      <c r="C451" t="s">
        <v>2245</v>
      </c>
      <c r="D451" t="s">
        <v>2259</v>
      </c>
      <c r="E451">
        <v>4.16</v>
      </c>
    </row>
    <row r="452" spans="1:5" x14ac:dyDescent="0.2">
      <c r="A452">
        <v>213</v>
      </c>
      <c r="B452" t="s">
        <v>2247</v>
      </c>
      <c r="C452" t="s">
        <v>2248</v>
      </c>
      <c r="D452" t="s">
        <v>2259</v>
      </c>
      <c r="E452">
        <v>4.3600000000000003</v>
      </c>
    </row>
    <row r="453" spans="1:5" x14ac:dyDescent="0.2">
      <c r="A453">
        <v>214</v>
      </c>
      <c r="B453" t="s">
        <v>2328</v>
      </c>
      <c r="C453" t="s">
        <v>2329</v>
      </c>
      <c r="D453" t="s">
        <v>2259</v>
      </c>
      <c r="E453">
        <v>4.68</v>
      </c>
    </row>
    <row r="454" spans="1:5" x14ac:dyDescent="0.2">
      <c r="A454">
        <v>215</v>
      </c>
      <c r="B454" t="s">
        <v>2330</v>
      </c>
      <c r="C454" t="s">
        <v>2331</v>
      </c>
      <c r="D454" t="s">
        <v>2259</v>
      </c>
      <c r="E454">
        <v>4.92</v>
      </c>
    </row>
    <row r="455" spans="1:5" x14ac:dyDescent="0.2">
      <c r="A455">
        <v>216</v>
      </c>
      <c r="B455" t="s">
        <v>2332</v>
      </c>
      <c r="C455" t="s">
        <v>2333</v>
      </c>
      <c r="D455" t="s">
        <v>2259</v>
      </c>
      <c r="E455">
        <v>4.37</v>
      </c>
    </row>
    <row r="456" spans="1:5" x14ac:dyDescent="0.2">
      <c r="A456">
        <v>217</v>
      </c>
      <c r="B456" t="s">
        <v>2334</v>
      </c>
      <c r="C456" t="s">
        <v>2335</v>
      </c>
      <c r="D456" t="s">
        <v>2259</v>
      </c>
      <c r="E456">
        <v>4.68</v>
      </c>
    </row>
    <row r="457" spans="1:5" x14ac:dyDescent="0.2">
      <c r="A457">
        <v>218</v>
      </c>
      <c r="B457" t="s">
        <v>2336</v>
      </c>
      <c r="C457" t="s">
        <v>2337</v>
      </c>
      <c r="D457" t="s">
        <v>2259</v>
      </c>
      <c r="E457">
        <v>4.16</v>
      </c>
    </row>
    <row r="458" spans="1:5" x14ac:dyDescent="0.2">
      <c r="A458">
        <v>219</v>
      </c>
      <c r="B458" t="s">
        <v>2338</v>
      </c>
      <c r="C458" t="s">
        <v>2339</v>
      </c>
      <c r="D458" t="s">
        <v>2259</v>
      </c>
      <c r="E458">
        <v>4.3600000000000003</v>
      </c>
    </row>
    <row r="459" spans="1:5" x14ac:dyDescent="0.2">
      <c r="A459">
        <v>220</v>
      </c>
      <c r="B459" t="s">
        <v>2340</v>
      </c>
      <c r="C459" t="s">
        <v>2341</v>
      </c>
      <c r="D459" t="s">
        <v>2259</v>
      </c>
      <c r="E459">
        <v>3.5</v>
      </c>
    </row>
    <row r="460" spans="1:5" x14ac:dyDescent="0.2">
      <c r="A460">
        <v>221</v>
      </c>
      <c r="B460" t="s">
        <v>2342</v>
      </c>
      <c r="C460" t="s">
        <v>2343</v>
      </c>
      <c r="D460" t="s">
        <v>2259</v>
      </c>
      <c r="E460">
        <v>3.73</v>
      </c>
    </row>
    <row r="461" spans="1:5" x14ac:dyDescent="0.2">
      <c r="A461">
        <v>222</v>
      </c>
      <c r="B461" t="s">
        <v>2344</v>
      </c>
      <c r="C461" t="s">
        <v>2345</v>
      </c>
      <c r="D461" t="s">
        <v>2259</v>
      </c>
      <c r="E461">
        <v>2.0499999999999998</v>
      </c>
    </row>
    <row r="462" spans="1:5" x14ac:dyDescent="0.2">
      <c r="A462">
        <v>223</v>
      </c>
      <c r="B462" t="s">
        <v>2346</v>
      </c>
      <c r="C462" t="s">
        <v>2347</v>
      </c>
      <c r="D462" t="s">
        <v>2259</v>
      </c>
      <c r="E462">
        <v>2.35</v>
      </c>
    </row>
    <row r="463" spans="1:5" x14ac:dyDescent="0.2">
      <c r="A463">
        <v>224</v>
      </c>
      <c r="B463" t="s">
        <v>2348</v>
      </c>
      <c r="C463" t="s">
        <v>2349</v>
      </c>
      <c r="D463" t="s">
        <v>2259</v>
      </c>
      <c r="E463">
        <v>2.66</v>
      </c>
    </row>
    <row r="464" spans="1:5" x14ac:dyDescent="0.2">
      <c r="A464">
        <v>225</v>
      </c>
      <c r="B464" t="s">
        <v>2350</v>
      </c>
      <c r="C464" t="s">
        <v>2351</v>
      </c>
      <c r="D464" t="s">
        <v>2259</v>
      </c>
      <c r="E464">
        <v>2.99</v>
      </c>
    </row>
    <row r="465" spans="1:5" x14ac:dyDescent="0.2">
      <c r="A465">
        <v>226</v>
      </c>
      <c r="B465" t="s">
        <v>2352</v>
      </c>
      <c r="C465" t="s">
        <v>2353</v>
      </c>
      <c r="D465" t="s">
        <v>2259</v>
      </c>
      <c r="E465">
        <v>1.93</v>
      </c>
    </row>
    <row r="466" spans="1:5" x14ac:dyDescent="0.2">
      <c r="A466">
        <v>227</v>
      </c>
      <c r="B466" t="s">
        <v>2354</v>
      </c>
      <c r="C466" t="s">
        <v>2355</v>
      </c>
      <c r="D466" t="s">
        <v>2259</v>
      </c>
      <c r="E466">
        <v>2.1800000000000002</v>
      </c>
    </row>
    <row r="467" spans="1:5" x14ac:dyDescent="0.2">
      <c r="A467">
        <v>228</v>
      </c>
      <c r="B467" t="s">
        <v>2356</v>
      </c>
      <c r="C467" t="s">
        <v>2357</v>
      </c>
      <c r="D467" t="s">
        <v>2259</v>
      </c>
      <c r="E467">
        <v>2.5099999999999998</v>
      </c>
    </row>
    <row r="468" spans="1:5" x14ac:dyDescent="0.2">
      <c r="A468">
        <v>229</v>
      </c>
      <c r="B468" t="s">
        <v>2358</v>
      </c>
      <c r="C468" t="s">
        <v>2359</v>
      </c>
      <c r="D468" t="s">
        <v>2259</v>
      </c>
      <c r="E468">
        <v>2.83</v>
      </c>
    </row>
    <row r="469" spans="1:5" x14ac:dyDescent="0.2">
      <c r="A469">
        <v>230</v>
      </c>
      <c r="B469" t="s">
        <v>2360</v>
      </c>
      <c r="C469" t="s">
        <v>2361</v>
      </c>
      <c r="D469" t="s">
        <v>2259</v>
      </c>
      <c r="E469">
        <v>1.55</v>
      </c>
    </row>
    <row r="470" spans="1:5" x14ac:dyDescent="0.2">
      <c r="A470">
        <v>231</v>
      </c>
      <c r="B470" t="s">
        <v>2362</v>
      </c>
      <c r="C470" t="s">
        <v>2363</v>
      </c>
      <c r="D470" t="s">
        <v>2259</v>
      </c>
      <c r="E470">
        <v>1.75</v>
      </c>
    </row>
    <row r="471" spans="1:5" x14ac:dyDescent="0.2">
      <c r="A471">
        <v>232</v>
      </c>
      <c r="B471" t="s">
        <v>2255</v>
      </c>
      <c r="C471" t="s">
        <v>2256</v>
      </c>
      <c r="D471" t="s">
        <v>2259</v>
      </c>
      <c r="E471">
        <v>1.96</v>
      </c>
    </row>
    <row r="472" spans="1:5" x14ac:dyDescent="0.2">
      <c r="A472">
        <v>233</v>
      </c>
      <c r="B472" t="s">
        <v>2251</v>
      </c>
      <c r="C472" t="s">
        <v>2252</v>
      </c>
      <c r="D472" t="s">
        <v>2259</v>
      </c>
      <c r="E472">
        <v>2.0499999999999998</v>
      </c>
    </row>
    <row r="473" spans="1:5" x14ac:dyDescent="0.2">
      <c r="A473">
        <v>234</v>
      </c>
      <c r="B473" t="s">
        <v>2364</v>
      </c>
      <c r="C473" t="s">
        <v>2365</v>
      </c>
      <c r="D473" t="s">
        <v>2259</v>
      </c>
      <c r="E473">
        <v>2.35</v>
      </c>
    </row>
    <row r="474" spans="1:5" x14ac:dyDescent="0.2">
      <c r="A474">
        <v>235</v>
      </c>
      <c r="B474" t="s">
        <v>2366</v>
      </c>
      <c r="C474" t="s">
        <v>2367</v>
      </c>
      <c r="D474" t="s">
        <v>2259</v>
      </c>
      <c r="E474">
        <v>1.75</v>
      </c>
    </row>
    <row r="475" spans="1:5" x14ac:dyDescent="0.2">
      <c r="A475">
        <v>236</v>
      </c>
      <c r="B475" t="s">
        <v>2368</v>
      </c>
      <c r="C475" t="s">
        <v>2369</v>
      </c>
      <c r="D475" t="s">
        <v>2259</v>
      </c>
      <c r="E475">
        <v>1.99</v>
      </c>
    </row>
    <row r="476" spans="1:5" x14ac:dyDescent="0.2">
      <c r="A476">
        <v>237</v>
      </c>
      <c r="B476" t="s">
        <v>2370</v>
      </c>
      <c r="C476" t="s">
        <v>2371</v>
      </c>
      <c r="D476" t="s">
        <v>2259</v>
      </c>
      <c r="E476">
        <v>2.35</v>
      </c>
    </row>
    <row r="477" spans="1:5" x14ac:dyDescent="0.2">
      <c r="A477">
        <v>238</v>
      </c>
      <c r="B477" t="s">
        <v>2372</v>
      </c>
      <c r="C477" t="s">
        <v>2373</v>
      </c>
      <c r="D477" t="s">
        <v>2259</v>
      </c>
      <c r="E477">
        <v>2.66</v>
      </c>
    </row>
    <row r="478" spans="1:5" x14ac:dyDescent="0.2">
      <c r="A478">
        <v>239</v>
      </c>
      <c r="B478" t="s">
        <v>2374</v>
      </c>
      <c r="C478" t="s">
        <v>2375</v>
      </c>
      <c r="D478" t="s">
        <v>2259</v>
      </c>
      <c r="E478">
        <v>5.19</v>
      </c>
    </row>
    <row r="479" spans="1:5" x14ac:dyDescent="0.2">
      <c r="A479">
        <v>240</v>
      </c>
      <c r="B479" t="s">
        <v>2376</v>
      </c>
      <c r="C479" t="s">
        <v>2377</v>
      </c>
      <c r="D479" t="s">
        <v>2259</v>
      </c>
      <c r="E479">
        <v>5.41</v>
      </c>
    </row>
    <row r="480" spans="1:5" x14ac:dyDescent="0.2">
      <c r="A480">
        <v>241</v>
      </c>
      <c r="B480" t="s">
        <v>2378</v>
      </c>
      <c r="C480" t="s">
        <v>2379</v>
      </c>
      <c r="D480" t="s">
        <v>2259</v>
      </c>
      <c r="E480">
        <v>4.92</v>
      </c>
    </row>
    <row r="481" spans="1:5" x14ac:dyDescent="0.2">
      <c r="A481">
        <v>242</v>
      </c>
      <c r="B481" t="s">
        <v>2380</v>
      </c>
      <c r="C481" t="s">
        <v>2381</v>
      </c>
      <c r="D481" t="s">
        <v>2259</v>
      </c>
      <c r="E481">
        <v>5.19</v>
      </c>
    </row>
    <row r="482" spans="1:5" x14ac:dyDescent="0.2">
      <c r="A482">
        <v>243</v>
      </c>
      <c r="B482" t="s">
        <v>2382</v>
      </c>
      <c r="C482" t="s">
        <v>2383</v>
      </c>
      <c r="D482" t="s">
        <v>2259</v>
      </c>
      <c r="E482">
        <v>4.5599999999999996</v>
      </c>
    </row>
    <row r="483" spans="1:5" x14ac:dyDescent="0.2">
      <c r="A483">
        <v>244</v>
      </c>
      <c r="B483" t="s">
        <v>2384</v>
      </c>
      <c r="C483" t="s">
        <v>2385</v>
      </c>
      <c r="D483" t="s">
        <v>2259</v>
      </c>
      <c r="E483">
        <v>4.88</v>
      </c>
    </row>
    <row r="484" spans="1:5" x14ac:dyDescent="0.2">
      <c r="A484">
        <v>245</v>
      </c>
      <c r="B484" t="s">
        <v>2386</v>
      </c>
      <c r="C484" t="s">
        <v>2387</v>
      </c>
      <c r="D484" t="s">
        <v>2259</v>
      </c>
      <c r="E484">
        <v>4.37</v>
      </c>
    </row>
    <row r="485" spans="1:5" x14ac:dyDescent="0.2">
      <c r="A485">
        <v>246</v>
      </c>
      <c r="B485" t="s">
        <v>2388</v>
      </c>
      <c r="C485" t="s">
        <v>2389</v>
      </c>
      <c r="D485" t="s">
        <v>2259</v>
      </c>
      <c r="E485">
        <v>4.68</v>
      </c>
    </row>
    <row r="486" spans="1:5" x14ac:dyDescent="0.2">
      <c r="A486">
        <v>247</v>
      </c>
      <c r="B486" t="s">
        <v>2390</v>
      </c>
      <c r="C486" t="s">
        <v>2391</v>
      </c>
      <c r="D486" t="s">
        <v>2259</v>
      </c>
      <c r="E486">
        <v>4.16</v>
      </c>
    </row>
    <row r="487" spans="1:5" x14ac:dyDescent="0.2">
      <c r="A487">
        <v>248</v>
      </c>
      <c r="B487" t="s">
        <v>2392</v>
      </c>
      <c r="C487" t="s">
        <v>2393</v>
      </c>
      <c r="D487" t="s">
        <v>2259</v>
      </c>
      <c r="E487">
        <v>4.37</v>
      </c>
    </row>
    <row r="488" spans="1:5" x14ac:dyDescent="0.2">
      <c r="A488">
        <v>249</v>
      </c>
      <c r="B488" t="s">
        <v>2394</v>
      </c>
      <c r="C488" t="s">
        <v>2395</v>
      </c>
      <c r="D488" t="s">
        <v>2259</v>
      </c>
      <c r="E488">
        <v>4.16</v>
      </c>
    </row>
    <row r="489" spans="1:5" x14ac:dyDescent="0.2">
      <c r="A489">
        <v>250</v>
      </c>
      <c r="B489" t="s">
        <v>2396</v>
      </c>
      <c r="C489" t="s">
        <v>2397</v>
      </c>
      <c r="D489" t="s">
        <v>2259</v>
      </c>
      <c r="E489">
        <v>4.37</v>
      </c>
    </row>
    <row r="490" spans="1:5" x14ac:dyDescent="0.2">
      <c r="A490">
        <v>251</v>
      </c>
      <c r="B490" t="s">
        <v>2398</v>
      </c>
      <c r="C490" t="s">
        <v>2399</v>
      </c>
      <c r="D490" t="s">
        <v>2259</v>
      </c>
      <c r="E490">
        <v>3.5</v>
      </c>
    </row>
    <row r="491" spans="1:5" x14ac:dyDescent="0.2">
      <c r="A491">
        <v>252</v>
      </c>
      <c r="B491" t="s">
        <v>2400</v>
      </c>
      <c r="C491" t="s">
        <v>2401</v>
      </c>
      <c r="D491" t="s">
        <v>2259</v>
      </c>
      <c r="E491">
        <v>3.73</v>
      </c>
    </row>
    <row r="492" spans="1:5" x14ac:dyDescent="0.2">
      <c r="A492">
        <v>253</v>
      </c>
      <c r="B492" t="s">
        <v>2402</v>
      </c>
      <c r="C492" t="s">
        <v>2403</v>
      </c>
      <c r="D492" t="s">
        <v>2259</v>
      </c>
      <c r="E492">
        <v>5.41</v>
      </c>
    </row>
    <row r="493" spans="1:5" x14ac:dyDescent="0.2">
      <c r="A493">
        <v>254</v>
      </c>
      <c r="B493" t="s">
        <v>2404</v>
      </c>
      <c r="C493" t="s">
        <v>2405</v>
      </c>
      <c r="D493" t="s">
        <v>2259</v>
      </c>
      <c r="E493">
        <v>5.75</v>
      </c>
    </row>
    <row r="494" spans="1:5" x14ac:dyDescent="0.2">
      <c r="A494">
        <v>255</v>
      </c>
      <c r="B494" t="s">
        <v>2406</v>
      </c>
      <c r="C494" t="s">
        <v>2407</v>
      </c>
      <c r="D494" t="s">
        <v>2259</v>
      </c>
      <c r="E494">
        <v>5.19</v>
      </c>
    </row>
    <row r="495" spans="1:5" x14ac:dyDescent="0.2">
      <c r="A495">
        <v>256</v>
      </c>
      <c r="B495" t="s">
        <v>2408</v>
      </c>
      <c r="C495" t="s">
        <v>2409</v>
      </c>
      <c r="D495" t="s">
        <v>2259</v>
      </c>
      <c r="E495">
        <v>5.41</v>
      </c>
    </row>
    <row r="496" spans="1:5" x14ac:dyDescent="0.2">
      <c r="A496">
        <v>257</v>
      </c>
      <c r="B496" t="s">
        <v>2410</v>
      </c>
      <c r="C496" t="s">
        <v>2411</v>
      </c>
      <c r="D496" t="s">
        <v>2259</v>
      </c>
      <c r="E496">
        <v>4.88</v>
      </c>
    </row>
    <row r="497" spans="1:5" x14ac:dyDescent="0.2">
      <c r="A497">
        <v>258</v>
      </c>
      <c r="B497" t="s">
        <v>2412</v>
      </c>
      <c r="C497" t="s">
        <v>2413</v>
      </c>
      <c r="D497" t="s">
        <v>2259</v>
      </c>
      <c r="E497">
        <v>5.19</v>
      </c>
    </row>
    <row r="498" spans="1:5" x14ac:dyDescent="0.2">
      <c r="A498">
        <v>259</v>
      </c>
      <c r="B498" t="s">
        <v>2414</v>
      </c>
      <c r="C498" t="s">
        <v>2415</v>
      </c>
      <c r="D498" t="s">
        <v>2259</v>
      </c>
      <c r="E498">
        <v>4.68</v>
      </c>
    </row>
    <row r="499" spans="1:5" x14ac:dyDescent="0.2">
      <c r="A499">
        <v>260</v>
      </c>
      <c r="B499" t="s">
        <v>2416</v>
      </c>
      <c r="C499" t="s">
        <v>2417</v>
      </c>
      <c r="D499" t="s">
        <v>2259</v>
      </c>
      <c r="E499">
        <v>4.92</v>
      </c>
    </row>
    <row r="500" spans="1:5" x14ac:dyDescent="0.2">
      <c r="A500">
        <v>261</v>
      </c>
      <c r="B500" t="s">
        <v>2418</v>
      </c>
      <c r="C500" t="s">
        <v>2419</v>
      </c>
      <c r="D500" t="s">
        <v>2259</v>
      </c>
      <c r="E500">
        <v>4.37</v>
      </c>
    </row>
    <row r="501" spans="1:5" x14ac:dyDescent="0.2">
      <c r="A501">
        <v>262</v>
      </c>
      <c r="B501" t="s">
        <v>2420</v>
      </c>
      <c r="C501" t="s">
        <v>2421</v>
      </c>
      <c r="D501" t="s">
        <v>2259</v>
      </c>
      <c r="E501">
        <v>4.68</v>
      </c>
    </row>
    <row r="502" spans="1:5" x14ac:dyDescent="0.2">
      <c r="A502">
        <v>263</v>
      </c>
      <c r="B502" t="s">
        <v>2422</v>
      </c>
      <c r="C502" t="s">
        <v>2423</v>
      </c>
      <c r="D502" t="s">
        <v>2259</v>
      </c>
      <c r="E502">
        <v>4.37</v>
      </c>
    </row>
    <row r="503" spans="1:5" x14ac:dyDescent="0.2">
      <c r="A503">
        <v>264</v>
      </c>
      <c r="B503" t="s">
        <v>2424</v>
      </c>
      <c r="C503" t="s">
        <v>2425</v>
      </c>
      <c r="D503" t="s">
        <v>2259</v>
      </c>
      <c r="E503">
        <v>4.68</v>
      </c>
    </row>
    <row r="504" spans="1:5" x14ac:dyDescent="0.2">
      <c r="A504">
        <v>265</v>
      </c>
      <c r="B504" t="s">
        <v>2426</v>
      </c>
      <c r="C504" t="s">
        <v>2427</v>
      </c>
      <c r="D504" t="s">
        <v>2259</v>
      </c>
      <c r="E504">
        <v>3.73</v>
      </c>
    </row>
    <row r="505" spans="1:5" x14ac:dyDescent="0.2">
      <c r="A505">
        <v>266</v>
      </c>
      <c r="B505" t="s">
        <v>2428</v>
      </c>
      <c r="C505" t="s">
        <v>2429</v>
      </c>
      <c r="D505" t="s">
        <v>2259</v>
      </c>
      <c r="E505">
        <v>3.91</v>
      </c>
    </row>
    <row r="506" spans="1:5" x14ac:dyDescent="0.2">
      <c r="A506">
        <v>267</v>
      </c>
      <c r="B506" t="s">
        <v>2430</v>
      </c>
      <c r="C506" t="s">
        <v>2431</v>
      </c>
      <c r="D506" t="s">
        <v>2259</v>
      </c>
      <c r="E506">
        <v>5.75</v>
      </c>
    </row>
    <row r="507" spans="1:5" x14ac:dyDescent="0.2">
      <c r="A507">
        <v>268</v>
      </c>
      <c r="B507" t="s">
        <v>2432</v>
      </c>
      <c r="C507" t="s">
        <v>2433</v>
      </c>
      <c r="D507" t="s">
        <v>2259</v>
      </c>
      <c r="E507">
        <v>6.1</v>
      </c>
    </row>
    <row r="508" spans="1:5" x14ac:dyDescent="0.2">
      <c r="A508">
        <v>269</v>
      </c>
      <c r="B508" t="s">
        <v>2434</v>
      </c>
      <c r="C508" t="s">
        <v>2435</v>
      </c>
      <c r="D508" t="s">
        <v>2259</v>
      </c>
      <c r="E508">
        <v>5.41</v>
      </c>
    </row>
    <row r="509" spans="1:5" x14ac:dyDescent="0.2">
      <c r="A509">
        <v>270</v>
      </c>
      <c r="B509" t="s">
        <v>2436</v>
      </c>
      <c r="C509" t="s">
        <v>2437</v>
      </c>
      <c r="D509" t="s">
        <v>2259</v>
      </c>
      <c r="E509">
        <v>5.75</v>
      </c>
    </row>
    <row r="510" spans="1:5" x14ac:dyDescent="0.2">
      <c r="A510">
        <v>271</v>
      </c>
      <c r="B510" t="s">
        <v>2438</v>
      </c>
      <c r="C510" t="s">
        <v>2439</v>
      </c>
      <c r="D510" t="s">
        <v>2259</v>
      </c>
      <c r="E510">
        <v>5.19</v>
      </c>
    </row>
    <row r="511" spans="1:5" x14ac:dyDescent="0.2">
      <c r="A511">
        <v>272</v>
      </c>
      <c r="B511" t="s">
        <v>2440</v>
      </c>
      <c r="C511" t="s">
        <v>2441</v>
      </c>
      <c r="D511" t="s">
        <v>2259</v>
      </c>
      <c r="E511">
        <v>5.41</v>
      </c>
    </row>
    <row r="512" spans="1:5" x14ac:dyDescent="0.2">
      <c r="A512">
        <v>273</v>
      </c>
      <c r="B512" t="s">
        <v>2442</v>
      </c>
      <c r="C512" t="s">
        <v>2443</v>
      </c>
      <c r="D512" t="s">
        <v>2259</v>
      </c>
      <c r="E512">
        <v>4.92</v>
      </c>
    </row>
    <row r="513" spans="1:5" x14ac:dyDescent="0.2">
      <c r="A513">
        <v>274</v>
      </c>
      <c r="B513" t="s">
        <v>2444</v>
      </c>
      <c r="C513" t="s">
        <v>2445</v>
      </c>
      <c r="D513" t="s">
        <v>2259</v>
      </c>
      <c r="E513">
        <v>5.19</v>
      </c>
    </row>
    <row r="514" spans="1:5" x14ac:dyDescent="0.2">
      <c r="A514">
        <v>275</v>
      </c>
      <c r="B514" t="s">
        <v>2446</v>
      </c>
      <c r="C514" t="s">
        <v>2447</v>
      </c>
      <c r="D514" t="s">
        <v>2259</v>
      </c>
      <c r="E514">
        <v>4.68</v>
      </c>
    </row>
    <row r="515" spans="1:5" x14ac:dyDescent="0.2">
      <c r="A515">
        <v>276</v>
      </c>
      <c r="B515" t="s">
        <v>2448</v>
      </c>
      <c r="C515" t="s">
        <v>2449</v>
      </c>
      <c r="D515" t="s">
        <v>2259</v>
      </c>
      <c r="E515">
        <v>4.92</v>
      </c>
    </row>
    <row r="516" spans="1:5" x14ac:dyDescent="0.2">
      <c r="A516">
        <v>277</v>
      </c>
      <c r="B516" t="s">
        <v>2450</v>
      </c>
      <c r="C516" t="s">
        <v>2451</v>
      </c>
      <c r="D516" t="s">
        <v>2259</v>
      </c>
      <c r="E516">
        <v>4.68</v>
      </c>
    </row>
    <row r="517" spans="1:5" x14ac:dyDescent="0.2">
      <c r="A517">
        <v>278</v>
      </c>
      <c r="B517" t="s">
        <v>2452</v>
      </c>
      <c r="C517" t="s">
        <v>2453</v>
      </c>
      <c r="D517" t="s">
        <v>2259</v>
      </c>
      <c r="E517">
        <v>4.92</v>
      </c>
    </row>
    <row r="518" spans="1:5" x14ac:dyDescent="0.2">
      <c r="A518">
        <v>279</v>
      </c>
      <c r="B518" t="s">
        <v>2454</v>
      </c>
      <c r="C518" t="s">
        <v>2455</v>
      </c>
      <c r="D518" t="s">
        <v>2259</v>
      </c>
      <c r="E518">
        <v>3.91</v>
      </c>
    </row>
    <row r="519" spans="1:5" x14ac:dyDescent="0.2">
      <c r="A519">
        <v>280</v>
      </c>
      <c r="B519" t="s">
        <v>2456</v>
      </c>
      <c r="C519" t="s">
        <v>2457</v>
      </c>
      <c r="D519" t="s">
        <v>2259</v>
      </c>
      <c r="E519">
        <v>4.16</v>
      </c>
    </row>
    <row r="520" spans="1:5" x14ac:dyDescent="0.2">
      <c r="A520">
        <v>281</v>
      </c>
      <c r="B520" t="s">
        <v>2458</v>
      </c>
      <c r="C520" t="s">
        <v>1446</v>
      </c>
      <c r="D520" t="s">
        <v>2259</v>
      </c>
      <c r="E520">
        <v>2.99</v>
      </c>
    </row>
    <row r="521" spans="1:5" x14ac:dyDescent="0.2">
      <c r="A521">
        <v>282</v>
      </c>
      <c r="B521" t="s">
        <v>2459</v>
      </c>
      <c r="C521" t="s">
        <v>1447</v>
      </c>
      <c r="D521" t="s">
        <v>2259</v>
      </c>
      <c r="E521">
        <v>3.28</v>
      </c>
    </row>
    <row r="522" spans="1:5" x14ac:dyDescent="0.2">
      <c r="A522">
        <v>283</v>
      </c>
      <c r="B522" t="s">
        <v>2460</v>
      </c>
      <c r="C522" t="s">
        <v>2461</v>
      </c>
      <c r="D522" t="s">
        <v>2259</v>
      </c>
      <c r="E522">
        <v>3.72</v>
      </c>
    </row>
    <row r="523" spans="1:5" x14ac:dyDescent="0.2">
      <c r="A523">
        <v>284</v>
      </c>
      <c r="B523" t="s">
        <v>2462</v>
      </c>
      <c r="C523" t="s">
        <v>1448</v>
      </c>
      <c r="D523" t="s">
        <v>2259</v>
      </c>
      <c r="E523">
        <v>4.1500000000000004</v>
      </c>
    </row>
    <row r="524" spans="1:5" x14ac:dyDescent="0.2">
      <c r="A524">
        <v>285</v>
      </c>
      <c r="B524" t="s">
        <v>2135</v>
      </c>
      <c r="C524" t="s">
        <v>2134</v>
      </c>
      <c r="D524" t="s">
        <v>2259</v>
      </c>
      <c r="E524">
        <v>4.67</v>
      </c>
    </row>
    <row r="525" spans="1:5" x14ac:dyDescent="0.2">
      <c r="A525">
        <v>286</v>
      </c>
      <c r="B525" t="s">
        <v>2139</v>
      </c>
      <c r="C525" t="s">
        <v>2138</v>
      </c>
      <c r="D525" t="s">
        <v>2259</v>
      </c>
      <c r="E525">
        <v>5.27</v>
      </c>
    </row>
    <row r="526" spans="1:5" x14ac:dyDescent="0.2">
      <c r="A526">
        <v>287</v>
      </c>
      <c r="B526" t="s">
        <v>2463</v>
      </c>
      <c r="C526" t="s">
        <v>2464</v>
      </c>
      <c r="D526" t="s">
        <v>2259</v>
      </c>
      <c r="E526">
        <v>2.34</v>
      </c>
    </row>
    <row r="527" spans="1:5" x14ac:dyDescent="0.2">
      <c r="A527">
        <v>288</v>
      </c>
      <c r="B527" t="s">
        <v>2465</v>
      </c>
      <c r="C527" t="s">
        <v>2466</v>
      </c>
      <c r="D527" t="s">
        <v>2259</v>
      </c>
      <c r="E527">
        <v>2.65</v>
      </c>
    </row>
    <row r="528" spans="1:5" x14ac:dyDescent="0.2">
      <c r="A528">
        <v>289</v>
      </c>
      <c r="B528" t="s">
        <v>2467</v>
      </c>
      <c r="C528" t="s">
        <v>2468</v>
      </c>
      <c r="D528" t="s">
        <v>2259</v>
      </c>
      <c r="E528">
        <v>2.8050000000000002</v>
      </c>
    </row>
    <row r="529" spans="1:5" x14ac:dyDescent="0.2">
      <c r="A529">
        <v>290</v>
      </c>
      <c r="B529" t="s">
        <v>2469</v>
      </c>
      <c r="C529" t="s">
        <v>2470</v>
      </c>
      <c r="D529" t="s">
        <v>2259</v>
      </c>
      <c r="E529">
        <v>2.867</v>
      </c>
    </row>
    <row r="530" spans="1:5" x14ac:dyDescent="0.2">
      <c r="A530">
        <v>291</v>
      </c>
      <c r="B530" t="s">
        <v>2471</v>
      </c>
      <c r="C530" t="s">
        <v>2472</v>
      </c>
      <c r="D530" t="s">
        <v>2259</v>
      </c>
      <c r="E530">
        <v>2.96</v>
      </c>
    </row>
    <row r="531" spans="1:5" x14ac:dyDescent="0.2">
      <c r="A531">
        <v>292</v>
      </c>
      <c r="B531" t="s">
        <v>2473</v>
      </c>
      <c r="C531" t="s">
        <v>2474</v>
      </c>
      <c r="D531" t="s">
        <v>2259</v>
      </c>
      <c r="E531">
        <v>3.0219999999999998</v>
      </c>
    </row>
    <row r="532" spans="1:5" x14ac:dyDescent="0.2">
      <c r="A532">
        <v>293</v>
      </c>
      <c r="B532" t="s">
        <v>2475</v>
      </c>
      <c r="C532" t="s">
        <v>2476</v>
      </c>
      <c r="D532" t="s">
        <v>2259</v>
      </c>
      <c r="E532">
        <v>3.0529999999999999</v>
      </c>
    </row>
    <row r="533" spans="1:5" x14ac:dyDescent="0.2">
      <c r="A533">
        <v>294</v>
      </c>
      <c r="B533" t="s">
        <v>2477</v>
      </c>
      <c r="C533" t="s">
        <v>2478</v>
      </c>
      <c r="D533" t="s">
        <v>2259</v>
      </c>
      <c r="E533">
        <v>3.1150000000000002</v>
      </c>
    </row>
    <row r="534" spans="1:5" x14ac:dyDescent="0.2">
      <c r="A534">
        <v>295</v>
      </c>
      <c r="B534" t="s">
        <v>2479</v>
      </c>
      <c r="C534" t="s">
        <v>2480</v>
      </c>
      <c r="D534" t="s">
        <v>2259</v>
      </c>
      <c r="E534">
        <v>3.177</v>
      </c>
    </row>
    <row r="535" spans="1:5" x14ac:dyDescent="0.2">
      <c r="A535">
        <v>296</v>
      </c>
      <c r="B535" t="s">
        <v>2481</v>
      </c>
      <c r="C535" t="s">
        <v>2482</v>
      </c>
      <c r="D535" t="s">
        <v>2259</v>
      </c>
      <c r="E535">
        <v>3.27</v>
      </c>
    </row>
    <row r="536" spans="1:5" x14ac:dyDescent="0.2">
      <c r="A536">
        <v>297</v>
      </c>
      <c r="B536" t="s">
        <v>2483</v>
      </c>
      <c r="C536" t="s">
        <v>2484</v>
      </c>
      <c r="D536" t="s">
        <v>2259</v>
      </c>
      <c r="E536">
        <v>3.3319999999999999</v>
      </c>
    </row>
    <row r="537" spans="1:5" x14ac:dyDescent="0.2">
      <c r="A537">
        <v>298</v>
      </c>
      <c r="B537" t="s">
        <v>2485</v>
      </c>
      <c r="C537" t="s">
        <v>2486</v>
      </c>
      <c r="D537" t="s">
        <v>2259</v>
      </c>
      <c r="E537">
        <v>3.363</v>
      </c>
    </row>
    <row r="538" spans="1:5" x14ac:dyDescent="0.2">
      <c r="A538">
        <v>299</v>
      </c>
      <c r="B538" t="s">
        <v>2487</v>
      </c>
      <c r="C538" t="s">
        <v>2488</v>
      </c>
      <c r="D538" t="s">
        <v>2259</v>
      </c>
      <c r="E538">
        <v>3.4249999999999998</v>
      </c>
    </row>
    <row r="539" spans="1:5" x14ac:dyDescent="0.2">
      <c r="A539">
        <v>300</v>
      </c>
      <c r="B539" t="s">
        <v>2489</v>
      </c>
      <c r="C539" t="s">
        <v>2490</v>
      </c>
      <c r="D539" t="s">
        <v>2259</v>
      </c>
      <c r="E539">
        <v>3.4870000000000001</v>
      </c>
    </row>
    <row r="540" spans="1:5" x14ac:dyDescent="0.2">
      <c r="A540">
        <v>301</v>
      </c>
      <c r="B540" t="s">
        <v>2491</v>
      </c>
      <c r="C540" t="s">
        <v>2492</v>
      </c>
      <c r="D540" t="s">
        <v>2259</v>
      </c>
      <c r="E540">
        <v>3.58</v>
      </c>
    </row>
    <row r="541" spans="1:5" x14ac:dyDescent="0.2">
      <c r="A541">
        <v>302</v>
      </c>
      <c r="B541" t="s">
        <v>2493</v>
      </c>
      <c r="C541" t="s">
        <v>2494</v>
      </c>
      <c r="D541" t="s">
        <v>2259</v>
      </c>
      <c r="E541">
        <v>3.6420000000000003</v>
      </c>
    </row>
    <row r="542" spans="1:5" x14ac:dyDescent="0.2">
      <c r="A542">
        <v>303</v>
      </c>
      <c r="B542" t="s">
        <v>2495</v>
      </c>
      <c r="C542" t="s">
        <v>2496</v>
      </c>
      <c r="D542" t="s">
        <v>2259</v>
      </c>
      <c r="E542">
        <v>3.6730000000000005</v>
      </c>
    </row>
    <row r="543" spans="1:5" x14ac:dyDescent="0.2">
      <c r="A543">
        <v>304</v>
      </c>
      <c r="B543" t="s">
        <v>2497</v>
      </c>
      <c r="C543" t="s">
        <v>2498</v>
      </c>
      <c r="D543" t="s">
        <v>2259</v>
      </c>
      <c r="E543">
        <v>3.7350000000000003</v>
      </c>
    </row>
    <row r="544" spans="1:5" x14ac:dyDescent="0.2">
      <c r="A544">
        <v>305</v>
      </c>
      <c r="B544" t="s">
        <v>2499</v>
      </c>
      <c r="C544" t="s">
        <v>2500</v>
      </c>
      <c r="D544" t="s">
        <v>2259</v>
      </c>
      <c r="E544">
        <v>3.7970000000000006</v>
      </c>
    </row>
    <row r="545" spans="1:6" x14ac:dyDescent="0.2">
      <c r="A545">
        <v>306</v>
      </c>
      <c r="B545" t="s">
        <v>2501</v>
      </c>
      <c r="C545" t="s">
        <v>2502</v>
      </c>
      <c r="D545" t="s">
        <v>2259</v>
      </c>
      <c r="E545">
        <v>3.89</v>
      </c>
    </row>
    <row r="546" spans="1:6" x14ac:dyDescent="0.2">
      <c r="A546">
        <v>307</v>
      </c>
      <c r="B546" t="s">
        <v>2503</v>
      </c>
      <c r="C546" t="s">
        <v>2504</v>
      </c>
      <c r="D546" t="s">
        <v>2259</v>
      </c>
      <c r="E546">
        <v>3.952</v>
      </c>
    </row>
    <row r="547" spans="1:6" x14ac:dyDescent="0.2">
      <c r="A547">
        <v>308</v>
      </c>
      <c r="B547" t="s">
        <v>2505</v>
      </c>
      <c r="C547" t="s">
        <v>2506</v>
      </c>
      <c r="D547" t="s">
        <v>2259</v>
      </c>
      <c r="E547">
        <v>3.9829999999999997</v>
      </c>
    </row>
    <row r="548" spans="1:6" x14ac:dyDescent="0.2">
      <c r="A548">
        <v>309</v>
      </c>
      <c r="B548" t="s">
        <v>2507</v>
      </c>
      <c r="C548" t="s">
        <v>2508</v>
      </c>
      <c r="D548" t="s">
        <v>2259</v>
      </c>
      <c r="E548">
        <v>4.0449999999999999</v>
      </c>
    </row>
    <row r="549" spans="1:6" x14ac:dyDescent="0.2">
      <c r="A549">
        <v>310</v>
      </c>
      <c r="B549" t="s">
        <v>2509</v>
      </c>
      <c r="C549" t="s">
        <v>2510</v>
      </c>
      <c r="D549" t="s">
        <v>2259</v>
      </c>
      <c r="E549">
        <v>6.7</v>
      </c>
    </row>
    <row r="550" spans="1:6" x14ac:dyDescent="0.2">
      <c r="A550">
        <v>311</v>
      </c>
      <c r="B550" t="s">
        <v>2511</v>
      </c>
      <c r="C550" t="s">
        <v>2512</v>
      </c>
      <c r="D550" t="s">
        <v>2259</v>
      </c>
      <c r="E550">
        <v>4.2</v>
      </c>
    </row>
    <row r="551" spans="1:6" x14ac:dyDescent="0.2">
      <c r="A551">
        <v>312</v>
      </c>
      <c r="B551" t="s">
        <v>2513</v>
      </c>
      <c r="C551" t="s">
        <v>2514</v>
      </c>
      <c r="D551" t="s">
        <v>2259</v>
      </c>
      <c r="E551">
        <v>4.2620000000000005</v>
      </c>
    </row>
    <row r="552" spans="1:6" x14ac:dyDescent="0.2">
      <c r="A552">
        <v>313</v>
      </c>
      <c r="B552" t="s">
        <v>2515</v>
      </c>
      <c r="C552" t="s">
        <v>2516</v>
      </c>
      <c r="D552" t="s">
        <v>2259</v>
      </c>
      <c r="E552">
        <v>4.293000000000001</v>
      </c>
    </row>
    <row r="553" spans="1:6" x14ac:dyDescent="0.2">
      <c r="A553">
        <v>314</v>
      </c>
      <c r="B553" t="s">
        <v>2517</v>
      </c>
      <c r="C553" t="s">
        <v>2518</v>
      </c>
      <c r="D553" t="s">
        <v>2259</v>
      </c>
      <c r="E553">
        <v>4.3550000000000004</v>
      </c>
    </row>
    <row r="554" spans="1:6" x14ac:dyDescent="0.2">
      <c r="A554">
        <v>315</v>
      </c>
      <c r="B554" t="s">
        <v>2519</v>
      </c>
      <c r="C554" t="s">
        <v>2520</v>
      </c>
      <c r="D554" t="s">
        <v>2259</v>
      </c>
      <c r="E554">
        <v>4.4169999999999998</v>
      </c>
    </row>
    <row r="555" spans="1:6" x14ac:dyDescent="0.2">
      <c r="A555">
        <v>316</v>
      </c>
      <c r="B555" t="s">
        <v>2521</v>
      </c>
      <c r="C555" t="s">
        <v>2522</v>
      </c>
      <c r="D555" t="s">
        <v>2259</v>
      </c>
      <c r="E555">
        <v>4.51</v>
      </c>
    </row>
    <row r="556" spans="1:6" x14ac:dyDescent="0.2">
      <c r="A556" t="s">
        <v>2523</v>
      </c>
    </row>
    <row r="557" spans="1:6" x14ac:dyDescent="0.2">
      <c r="A557" t="s">
        <v>15</v>
      </c>
      <c r="B557" t="s">
        <v>335</v>
      </c>
      <c r="C557" t="s">
        <v>1531</v>
      </c>
      <c r="D557" t="s">
        <v>68</v>
      </c>
      <c r="E557" t="s">
        <v>354</v>
      </c>
    </row>
    <row r="558" spans="1:6" x14ac:dyDescent="0.2">
      <c r="A558">
        <v>1</v>
      </c>
      <c r="B558" t="s">
        <v>726</v>
      </c>
      <c r="C558" t="s">
        <v>1539</v>
      </c>
      <c r="D558" t="s">
        <v>2524</v>
      </c>
      <c r="E558">
        <v>1.55</v>
      </c>
      <c r="F558" s="607" t="s">
        <v>2925</v>
      </c>
    </row>
    <row r="559" spans="1:6" x14ac:dyDescent="0.2">
      <c r="A559">
        <v>2</v>
      </c>
      <c r="B559" t="s">
        <v>728</v>
      </c>
      <c r="C559" t="s">
        <v>1548</v>
      </c>
      <c r="D559" t="s">
        <v>2524</v>
      </c>
      <c r="E559">
        <v>1.83</v>
      </c>
      <c r="F559" s="607" t="s">
        <v>2926</v>
      </c>
    </row>
    <row r="560" spans="1:6" x14ac:dyDescent="0.2">
      <c r="A560">
        <v>3</v>
      </c>
      <c r="B560" t="s">
        <v>730</v>
      </c>
      <c r="C560" t="s">
        <v>1557</v>
      </c>
      <c r="D560" t="s">
        <v>2524</v>
      </c>
      <c r="E560">
        <v>1.9950000000000001</v>
      </c>
      <c r="F560" s="607" t="s">
        <v>2927</v>
      </c>
    </row>
    <row r="561" spans="1:6" x14ac:dyDescent="0.2">
      <c r="A561">
        <v>4</v>
      </c>
      <c r="B561" t="s">
        <v>732</v>
      </c>
      <c r="C561" t="s">
        <v>1565</v>
      </c>
      <c r="D561" t="s">
        <v>2524</v>
      </c>
      <c r="E561">
        <v>2.0609999999999999</v>
      </c>
      <c r="F561" s="607" t="s">
        <v>2928</v>
      </c>
    </row>
    <row r="562" spans="1:6" x14ac:dyDescent="0.2">
      <c r="A562">
        <v>5</v>
      </c>
      <c r="B562" t="s">
        <v>734</v>
      </c>
      <c r="C562" t="s">
        <v>1573</v>
      </c>
      <c r="D562" t="s">
        <v>2524</v>
      </c>
      <c r="E562">
        <v>2.16</v>
      </c>
      <c r="F562" s="607" t="s">
        <v>2929</v>
      </c>
    </row>
    <row r="563" spans="1:6" x14ac:dyDescent="0.2">
      <c r="A563">
        <v>6</v>
      </c>
      <c r="B563" t="s">
        <v>736</v>
      </c>
      <c r="C563" t="s">
        <v>1582</v>
      </c>
      <c r="D563" t="s">
        <v>2524</v>
      </c>
      <c r="E563">
        <v>2.238</v>
      </c>
      <c r="F563" s="607" t="s">
        <v>2930</v>
      </c>
    </row>
    <row r="564" spans="1:6" x14ac:dyDescent="0.2">
      <c r="A564">
        <v>7</v>
      </c>
      <c r="B564" t="s">
        <v>738</v>
      </c>
      <c r="C564" t="s">
        <v>1590</v>
      </c>
      <c r="D564" t="s">
        <v>2524</v>
      </c>
      <c r="E564">
        <v>2.2770000000000001</v>
      </c>
      <c r="F564" s="607" t="s">
        <v>2931</v>
      </c>
    </row>
    <row r="565" spans="1:6" x14ac:dyDescent="0.2">
      <c r="A565">
        <v>8</v>
      </c>
      <c r="B565" t="s">
        <v>740</v>
      </c>
      <c r="C565" t="s">
        <v>1598</v>
      </c>
      <c r="D565" t="s">
        <v>2524</v>
      </c>
      <c r="E565">
        <v>2.355</v>
      </c>
      <c r="F565" s="607" t="s">
        <v>2932</v>
      </c>
    </row>
    <row r="566" spans="1:6" x14ac:dyDescent="0.2">
      <c r="A566">
        <v>9</v>
      </c>
      <c r="B566" t="s">
        <v>742</v>
      </c>
      <c r="C566" t="s">
        <v>1606</v>
      </c>
      <c r="D566" t="s">
        <v>2524</v>
      </c>
      <c r="E566">
        <v>2.4329999999999998</v>
      </c>
      <c r="F566" s="607" t="s">
        <v>2933</v>
      </c>
    </row>
    <row r="567" spans="1:6" x14ac:dyDescent="0.2">
      <c r="A567">
        <v>10</v>
      </c>
      <c r="B567" t="s">
        <v>744</v>
      </c>
      <c r="C567" t="s">
        <v>1614</v>
      </c>
      <c r="D567" t="s">
        <v>2524</v>
      </c>
      <c r="E567">
        <v>2.5499999999999998</v>
      </c>
      <c r="F567" s="607" t="s">
        <v>2934</v>
      </c>
    </row>
    <row r="568" spans="1:6" x14ac:dyDescent="0.2">
      <c r="A568">
        <v>11</v>
      </c>
      <c r="B568" t="s">
        <v>746</v>
      </c>
      <c r="C568" t="s">
        <v>1623</v>
      </c>
      <c r="D568" t="s">
        <v>2524</v>
      </c>
      <c r="E568">
        <v>2.6419999999999999</v>
      </c>
      <c r="F568" s="607" t="s">
        <v>2935</v>
      </c>
    </row>
    <row r="569" spans="1:6" x14ac:dyDescent="0.2">
      <c r="A569">
        <v>12</v>
      </c>
      <c r="B569" t="s">
        <v>748</v>
      </c>
      <c r="C569" t="s">
        <v>1631</v>
      </c>
      <c r="D569" t="s">
        <v>2524</v>
      </c>
      <c r="E569">
        <v>2.6880000000000002</v>
      </c>
      <c r="F569" s="607" t="s">
        <v>2936</v>
      </c>
    </row>
    <row r="570" spans="1:6" x14ac:dyDescent="0.2">
      <c r="A570">
        <v>13</v>
      </c>
      <c r="B570" t="s">
        <v>750</v>
      </c>
      <c r="C570" t="s">
        <v>1639</v>
      </c>
      <c r="D570" t="s">
        <v>2524</v>
      </c>
      <c r="E570">
        <v>2.78</v>
      </c>
      <c r="F570" s="607" t="s">
        <v>2937</v>
      </c>
    </row>
    <row r="571" spans="1:6" x14ac:dyDescent="0.2">
      <c r="A571">
        <v>14</v>
      </c>
      <c r="B571" t="s">
        <v>752</v>
      </c>
      <c r="C571" t="s">
        <v>1647</v>
      </c>
      <c r="D571" t="s">
        <v>2524</v>
      </c>
      <c r="E571">
        <v>2.8719999999999999</v>
      </c>
      <c r="F571" s="607" t="s">
        <v>2938</v>
      </c>
    </row>
    <row r="572" spans="1:6" x14ac:dyDescent="0.2">
      <c r="A572">
        <v>15</v>
      </c>
      <c r="B572" t="s">
        <v>754</v>
      </c>
      <c r="C572" t="s">
        <v>1655</v>
      </c>
      <c r="D572" t="s">
        <v>2524</v>
      </c>
      <c r="E572">
        <v>3.01</v>
      </c>
      <c r="F572" s="607" t="s">
        <v>2939</v>
      </c>
    </row>
    <row r="573" spans="1:6" x14ac:dyDescent="0.2">
      <c r="A573">
        <v>16</v>
      </c>
      <c r="B573" t="s">
        <v>756</v>
      </c>
      <c r="C573" t="s">
        <v>1664</v>
      </c>
      <c r="D573" t="s">
        <v>2524</v>
      </c>
      <c r="E573">
        <v>3.12</v>
      </c>
      <c r="F573" s="607" t="s">
        <v>2940</v>
      </c>
    </row>
    <row r="574" spans="1:6" x14ac:dyDescent="0.2">
      <c r="A574">
        <v>17</v>
      </c>
      <c r="B574" t="s">
        <v>758</v>
      </c>
      <c r="C574" t="s">
        <v>1672</v>
      </c>
      <c r="D574" t="s">
        <v>2524</v>
      </c>
      <c r="E574">
        <v>3.2850000000000001</v>
      </c>
      <c r="F574" s="607" t="s">
        <v>2941</v>
      </c>
    </row>
    <row r="575" spans="1:6" x14ac:dyDescent="0.2">
      <c r="A575">
        <v>18</v>
      </c>
      <c r="B575" t="s">
        <v>760</v>
      </c>
      <c r="C575" t="s">
        <v>1680</v>
      </c>
      <c r="D575" t="s">
        <v>2524</v>
      </c>
      <c r="E575">
        <v>3.56</v>
      </c>
      <c r="F575" s="607" t="s">
        <v>2942</v>
      </c>
    </row>
    <row r="576" spans="1:6" x14ac:dyDescent="0.2">
      <c r="A576">
        <v>19</v>
      </c>
      <c r="B576" t="s">
        <v>762</v>
      </c>
      <c r="C576" t="s">
        <v>1689</v>
      </c>
      <c r="D576" t="s">
        <v>2524</v>
      </c>
      <c r="E576">
        <v>4.2</v>
      </c>
      <c r="F576" s="607" t="s">
        <v>2943</v>
      </c>
    </row>
    <row r="577" spans="1:6" x14ac:dyDescent="0.2">
      <c r="A577">
        <v>21</v>
      </c>
      <c r="B577" t="s">
        <v>764</v>
      </c>
      <c r="C577" t="s">
        <v>2525</v>
      </c>
      <c r="D577" t="s">
        <v>2524</v>
      </c>
      <c r="E577">
        <v>1.76</v>
      </c>
      <c r="F577" s="607" t="s">
        <v>2925</v>
      </c>
    </row>
    <row r="578" spans="1:6" x14ac:dyDescent="0.2">
      <c r="A578">
        <v>22</v>
      </c>
      <c r="B578" t="s">
        <v>766</v>
      </c>
      <c r="C578" t="s">
        <v>2526</v>
      </c>
      <c r="D578" t="s">
        <v>2524</v>
      </c>
      <c r="E578">
        <v>2.0699999999999998</v>
      </c>
      <c r="F578" s="607" t="s">
        <v>2926</v>
      </c>
    </row>
    <row r="579" spans="1:6" x14ac:dyDescent="0.2">
      <c r="A579">
        <v>23</v>
      </c>
      <c r="B579" t="s">
        <v>768</v>
      </c>
      <c r="C579" t="s">
        <v>2527</v>
      </c>
      <c r="D579" t="s">
        <v>2524</v>
      </c>
      <c r="E579">
        <v>2.2549999999999999</v>
      </c>
      <c r="F579" s="607" t="s">
        <v>2927</v>
      </c>
    </row>
    <row r="580" spans="1:6" x14ac:dyDescent="0.2">
      <c r="A580">
        <v>24</v>
      </c>
      <c r="B580" t="s">
        <v>770</v>
      </c>
      <c r="C580" t="s">
        <v>2528</v>
      </c>
      <c r="D580" t="s">
        <v>2524</v>
      </c>
      <c r="E580">
        <v>2.3290000000000002</v>
      </c>
      <c r="F580" s="607" t="s">
        <v>2928</v>
      </c>
    </row>
    <row r="581" spans="1:6" x14ac:dyDescent="0.2">
      <c r="A581">
        <v>25</v>
      </c>
      <c r="B581" t="s">
        <v>772</v>
      </c>
      <c r="C581" t="s">
        <v>2529</v>
      </c>
      <c r="D581" t="s">
        <v>2524</v>
      </c>
      <c r="E581">
        <v>2.44</v>
      </c>
      <c r="F581" s="607" t="s">
        <v>2929</v>
      </c>
    </row>
    <row r="582" spans="1:6" x14ac:dyDescent="0.2">
      <c r="A582">
        <v>26</v>
      </c>
      <c r="B582" t="s">
        <v>774</v>
      </c>
      <c r="C582" t="s">
        <v>2530</v>
      </c>
      <c r="D582" t="s">
        <v>2524</v>
      </c>
      <c r="E582">
        <v>2.524</v>
      </c>
      <c r="F582" s="607" t="s">
        <v>2930</v>
      </c>
    </row>
    <row r="583" spans="1:6" x14ac:dyDescent="0.2">
      <c r="A583">
        <v>27</v>
      </c>
      <c r="B583" t="s">
        <v>1366</v>
      </c>
      <c r="C583" t="s">
        <v>2531</v>
      </c>
      <c r="D583" t="s">
        <v>2524</v>
      </c>
      <c r="E583">
        <v>2.5659999999999998</v>
      </c>
      <c r="F583" s="607" t="s">
        <v>2931</v>
      </c>
    </row>
    <row r="584" spans="1:6" x14ac:dyDescent="0.2">
      <c r="A584">
        <v>28</v>
      </c>
      <c r="B584" t="s">
        <v>776</v>
      </c>
      <c r="C584" t="s">
        <v>2532</v>
      </c>
      <c r="D584" t="s">
        <v>2524</v>
      </c>
      <c r="E584">
        <v>2.65</v>
      </c>
      <c r="F584" s="607" t="s">
        <v>2932</v>
      </c>
    </row>
    <row r="585" spans="1:6" x14ac:dyDescent="0.2">
      <c r="A585">
        <v>29</v>
      </c>
      <c r="B585" t="s">
        <v>778</v>
      </c>
      <c r="C585" t="s">
        <v>2533</v>
      </c>
      <c r="D585" t="s">
        <v>2524</v>
      </c>
      <c r="E585">
        <v>2.734</v>
      </c>
      <c r="F585" s="607" t="s">
        <v>2933</v>
      </c>
    </row>
    <row r="586" spans="1:6" x14ac:dyDescent="0.2">
      <c r="A586">
        <v>30</v>
      </c>
      <c r="B586" t="s">
        <v>780</v>
      </c>
      <c r="C586" t="s">
        <v>2534</v>
      </c>
      <c r="D586" t="s">
        <v>2524</v>
      </c>
      <c r="E586">
        <v>2.86</v>
      </c>
      <c r="F586" s="607" t="s">
        <v>2934</v>
      </c>
    </row>
    <row r="587" spans="1:6" x14ac:dyDescent="0.2">
      <c r="A587">
        <v>31</v>
      </c>
      <c r="B587" t="s">
        <v>782</v>
      </c>
      <c r="C587" t="s">
        <v>2535</v>
      </c>
      <c r="D587" t="s">
        <v>2524</v>
      </c>
      <c r="E587">
        <v>2.9620000000000002</v>
      </c>
      <c r="F587" s="607" t="s">
        <v>2935</v>
      </c>
    </row>
    <row r="588" spans="1:6" x14ac:dyDescent="0.2">
      <c r="A588">
        <v>32</v>
      </c>
      <c r="B588" t="s">
        <v>808</v>
      </c>
      <c r="C588" t="s">
        <v>2536</v>
      </c>
      <c r="D588" t="s">
        <v>2524</v>
      </c>
      <c r="E588">
        <v>3.0129999999999999</v>
      </c>
      <c r="F588" s="607" t="s">
        <v>2936</v>
      </c>
    </row>
    <row r="589" spans="1:6" x14ac:dyDescent="0.2">
      <c r="A589">
        <v>33</v>
      </c>
      <c r="B589" t="s">
        <v>784</v>
      </c>
      <c r="C589" t="s">
        <v>2537</v>
      </c>
      <c r="D589" t="s">
        <v>2524</v>
      </c>
      <c r="E589">
        <v>3.1150000000000002</v>
      </c>
      <c r="F589" s="607" t="s">
        <v>2937</v>
      </c>
    </row>
    <row r="590" spans="1:6" x14ac:dyDescent="0.2">
      <c r="A590">
        <v>34</v>
      </c>
      <c r="B590" t="s">
        <v>786</v>
      </c>
      <c r="C590" t="s">
        <v>2538</v>
      </c>
      <c r="D590" t="s">
        <v>2524</v>
      </c>
      <c r="E590">
        <v>3.2170000000000001</v>
      </c>
      <c r="F590" s="607" t="s">
        <v>2938</v>
      </c>
    </row>
    <row r="591" spans="1:6" x14ac:dyDescent="0.2">
      <c r="A591">
        <v>35</v>
      </c>
      <c r="B591" t="s">
        <v>788</v>
      </c>
      <c r="C591" t="s">
        <v>2539</v>
      </c>
      <c r="D591" t="s">
        <v>2524</v>
      </c>
      <c r="E591">
        <v>3.37</v>
      </c>
      <c r="F591" s="607" t="s">
        <v>2939</v>
      </c>
    </row>
    <row r="592" spans="1:6" x14ac:dyDescent="0.2">
      <c r="A592">
        <v>36</v>
      </c>
      <c r="B592" t="s">
        <v>790</v>
      </c>
      <c r="C592" t="s">
        <v>2540</v>
      </c>
      <c r="D592" t="s">
        <v>2524</v>
      </c>
      <c r="E592">
        <v>3.488</v>
      </c>
      <c r="F592" s="607" t="s">
        <v>2940</v>
      </c>
    </row>
    <row r="593" spans="1:6" x14ac:dyDescent="0.2">
      <c r="A593">
        <v>1</v>
      </c>
      <c r="B593" t="s">
        <v>792</v>
      </c>
      <c r="C593" t="s">
        <v>2541</v>
      </c>
      <c r="D593" t="s">
        <v>2524</v>
      </c>
      <c r="E593">
        <v>3.665</v>
      </c>
      <c r="F593" s="607" t="s">
        <v>2941</v>
      </c>
    </row>
    <row r="594" spans="1:6" x14ac:dyDescent="0.2">
      <c r="A594">
        <v>2</v>
      </c>
      <c r="B594" t="s">
        <v>794</v>
      </c>
      <c r="C594" t="s">
        <v>2542</v>
      </c>
      <c r="D594" t="s">
        <v>2524</v>
      </c>
      <c r="E594">
        <v>3.96</v>
      </c>
      <c r="F594" s="607" t="s">
        <v>2942</v>
      </c>
    </row>
    <row r="595" spans="1:6" x14ac:dyDescent="0.2">
      <c r="A595">
        <v>3</v>
      </c>
      <c r="B595" t="s">
        <v>796</v>
      </c>
      <c r="C595" t="s">
        <v>2543</v>
      </c>
      <c r="D595" t="s">
        <v>2524</v>
      </c>
      <c r="E595">
        <v>4.6500000000000004</v>
      </c>
      <c r="F595" s="607" t="s">
        <v>2943</v>
      </c>
    </row>
    <row r="596" spans="1:6" x14ac:dyDescent="0.2">
      <c r="A596">
        <v>37</v>
      </c>
      <c r="B596" t="s">
        <v>2544</v>
      </c>
      <c r="C596" t="s">
        <v>2545</v>
      </c>
      <c r="D596" t="s">
        <v>2524</v>
      </c>
      <c r="E596">
        <v>2.34</v>
      </c>
    </row>
    <row r="597" spans="1:6" x14ac:dyDescent="0.2">
      <c r="A597">
        <v>38</v>
      </c>
      <c r="B597" t="s">
        <v>2546</v>
      </c>
      <c r="C597" t="s">
        <v>2547</v>
      </c>
      <c r="D597" t="s">
        <v>2524</v>
      </c>
      <c r="E597">
        <v>2.65</v>
      </c>
    </row>
    <row r="598" spans="1:6" x14ac:dyDescent="0.2">
      <c r="A598">
        <v>39</v>
      </c>
      <c r="B598" t="s">
        <v>2548</v>
      </c>
      <c r="C598" t="s">
        <v>2549</v>
      </c>
      <c r="D598" t="s">
        <v>2524</v>
      </c>
      <c r="E598">
        <v>2.96</v>
      </c>
    </row>
    <row r="599" spans="1:6" x14ac:dyDescent="0.2">
      <c r="A599">
        <v>40</v>
      </c>
      <c r="B599" t="s">
        <v>2550</v>
      </c>
      <c r="C599" t="s">
        <v>2551</v>
      </c>
      <c r="D599" t="s">
        <v>2524</v>
      </c>
      <c r="E599">
        <v>3.27</v>
      </c>
    </row>
    <row r="600" spans="1:6" x14ac:dyDescent="0.2">
      <c r="A600">
        <v>41</v>
      </c>
      <c r="B600" t="s">
        <v>2552</v>
      </c>
      <c r="C600" t="s">
        <v>2488</v>
      </c>
      <c r="D600" t="s">
        <v>2524</v>
      </c>
      <c r="E600">
        <v>3.4249999999999998</v>
      </c>
    </row>
    <row r="601" spans="1:6" x14ac:dyDescent="0.2">
      <c r="A601">
        <v>42</v>
      </c>
      <c r="B601" t="s">
        <v>2553</v>
      </c>
      <c r="C601" t="s">
        <v>2554</v>
      </c>
      <c r="D601" t="s">
        <v>2524</v>
      </c>
      <c r="E601">
        <v>3.58</v>
      </c>
    </row>
    <row r="602" spans="1:6" x14ac:dyDescent="0.2">
      <c r="A602">
        <v>43</v>
      </c>
      <c r="B602" t="s">
        <v>2555</v>
      </c>
      <c r="C602" t="s">
        <v>2556</v>
      </c>
      <c r="D602" t="s">
        <v>2524</v>
      </c>
      <c r="E602">
        <v>3.89</v>
      </c>
    </row>
    <row r="603" spans="1:6" x14ac:dyDescent="0.2">
      <c r="A603">
        <v>44</v>
      </c>
      <c r="B603" t="s">
        <v>2557</v>
      </c>
      <c r="C603" t="s">
        <v>2558</v>
      </c>
      <c r="D603" t="s">
        <v>2524</v>
      </c>
      <c r="E603">
        <v>4.2</v>
      </c>
    </row>
    <row r="604" spans="1:6" x14ac:dyDescent="0.2">
      <c r="A604">
        <v>45</v>
      </c>
      <c r="B604" t="s">
        <v>2559</v>
      </c>
      <c r="C604" t="s">
        <v>2560</v>
      </c>
      <c r="D604" t="s">
        <v>2524</v>
      </c>
      <c r="E604">
        <v>4.51</v>
      </c>
    </row>
    <row r="605" spans="1:6" x14ac:dyDescent="0.2">
      <c r="A605">
        <v>46</v>
      </c>
      <c r="B605" t="s">
        <v>2561</v>
      </c>
      <c r="C605" t="s">
        <v>2562</v>
      </c>
      <c r="D605" t="s">
        <v>2524</v>
      </c>
      <c r="E605">
        <v>6.25</v>
      </c>
    </row>
    <row r="606" spans="1:6" x14ac:dyDescent="0.2">
      <c r="A606">
        <v>47</v>
      </c>
      <c r="B606" t="s">
        <v>2563</v>
      </c>
      <c r="C606" t="s">
        <v>2564</v>
      </c>
      <c r="D606" t="s">
        <v>2524</v>
      </c>
      <c r="E606">
        <v>6.73</v>
      </c>
    </row>
    <row r="607" spans="1:6" x14ac:dyDescent="0.2">
      <c r="A607">
        <v>48</v>
      </c>
      <c r="B607" t="s">
        <v>817</v>
      </c>
      <c r="C607" t="s">
        <v>1812</v>
      </c>
      <c r="D607" t="s">
        <v>2524</v>
      </c>
      <c r="E607">
        <v>2.1800000000000002</v>
      </c>
      <c r="F607" t="s">
        <v>3005</v>
      </c>
    </row>
    <row r="608" spans="1:6" x14ac:dyDescent="0.2">
      <c r="A608">
        <v>49</v>
      </c>
      <c r="B608" t="s">
        <v>819</v>
      </c>
      <c r="C608" t="s">
        <v>1818</v>
      </c>
      <c r="D608" t="s">
        <v>2524</v>
      </c>
      <c r="E608">
        <v>2.57</v>
      </c>
      <c r="F608" t="s">
        <v>3006</v>
      </c>
    </row>
    <row r="609" spans="1:6" x14ac:dyDescent="0.2">
      <c r="A609">
        <v>50</v>
      </c>
      <c r="B609" t="s">
        <v>821</v>
      </c>
      <c r="C609" t="s">
        <v>1824</v>
      </c>
      <c r="D609" t="s">
        <v>2524</v>
      </c>
      <c r="E609">
        <v>3.05</v>
      </c>
      <c r="F609" t="s">
        <v>3007</v>
      </c>
    </row>
    <row r="610" spans="1:6" x14ac:dyDescent="0.2">
      <c r="A610">
        <v>51</v>
      </c>
      <c r="B610" t="s">
        <v>823</v>
      </c>
      <c r="C610" t="s">
        <v>1830</v>
      </c>
      <c r="D610" t="s">
        <v>2524</v>
      </c>
      <c r="E610">
        <v>3.6</v>
      </c>
      <c r="F610" t="s">
        <v>3008</v>
      </c>
    </row>
    <row r="611" spans="1:6" x14ac:dyDescent="0.2">
      <c r="A611">
        <v>52</v>
      </c>
      <c r="B611" t="s">
        <v>829</v>
      </c>
      <c r="C611" t="s">
        <v>1856</v>
      </c>
      <c r="D611" t="s">
        <v>2524</v>
      </c>
      <c r="E611">
        <v>2.5099999999999998</v>
      </c>
      <c r="F611" t="s">
        <v>3009</v>
      </c>
    </row>
    <row r="612" spans="1:6" x14ac:dyDescent="0.2">
      <c r="A612">
        <v>53</v>
      </c>
      <c r="B612" t="s">
        <v>831</v>
      </c>
      <c r="C612" t="s">
        <v>1862</v>
      </c>
      <c r="D612" t="s">
        <v>2524</v>
      </c>
      <c r="E612">
        <v>2.94</v>
      </c>
      <c r="F612" t="s">
        <v>3010</v>
      </c>
    </row>
    <row r="613" spans="1:6" x14ac:dyDescent="0.2">
      <c r="A613">
        <v>54</v>
      </c>
      <c r="B613" t="s">
        <v>833</v>
      </c>
      <c r="C613" t="s">
        <v>1868</v>
      </c>
      <c r="D613" t="s">
        <v>2524</v>
      </c>
      <c r="E613">
        <v>3.44</v>
      </c>
      <c r="F613" t="s">
        <v>3011</v>
      </c>
    </row>
    <row r="614" spans="1:6" x14ac:dyDescent="0.2">
      <c r="A614">
        <v>55</v>
      </c>
      <c r="B614" t="s">
        <v>835</v>
      </c>
      <c r="C614" t="s">
        <v>1874</v>
      </c>
      <c r="D614" t="s">
        <v>2524</v>
      </c>
      <c r="E614">
        <v>4.05</v>
      </c>
      <c r="F614" t="s">
        <v>3012</v>
      </c>
    </row>
    <row r="615" spans="1:6" x14ac:dyDescent="0.2">
      <c r="A615">
        <v>56</v>
      </c>
      <c r="B615" t="s">
        <v>841</v>
      </c>
      <c r="C615" t="s">
        <v>1900</v>
      </c>
      <c r="D615" t="s">
        <v>2524</v>
      </c>
      <c r="E615">
        <v>2.99</v>
      </c>
      <c r="F615" t="s">
        <v>3013</v>
      </c>
    </row>
    <row r="616" spans="1:6" x14ac:dyDescent="0.2">
      <c r="A616">
        <v>57</v>
      </c>
      <c r="B616" t="s">
        <v>843</v>
      </c>
      <c r="C616" t="s">
        <v>1906</v>
      </c>
      <c r="D616" t="s">
        <v>2524</v>
      </c>
      <c r="E616">
        <v>3.5</v>
      </c>
      <c r="F616" t="s">
        <v>3014</v>
      </c>
    </row>
    <row r="617" spans="1:6" x14ac:dyDescent="0.2">
      <c r="A617">
        <v>58</v>
      </c>
      <c r="B617" t="s">
        <v>845</v>
      </c>
      <c r="C617" t="s">
        <v>1912</v>
      </c>
      <c r="D617" t="s">
        <v>2524</v>
      </c>
      <c r="E617">
        <v>4.1100000000000003</v>
      </c>
      <c r="F617" t="s">
        <v>3015</v>
      </c>
    </row>
    <row r="618" spans="1:6" x14ac:dyDescent="0.2">
      <c r="A618">
        <v>59</v>
      </c>
      <c r="B618" t="s">
        <v>847</v>
      </c>
      <c r="C618" t="s">
        <v>1918</v>
      </c>
      <c r="D618" t="s">
        <v>2524</v>
      </c>
      <c r="E618">
        <v>4.82</v>
      </c>
      <c r="F618" t="s">
        <v>3016</v>
      </c>
    </row>
    <row r="619" spans="1:6" x14ac:dyDescent="0.2">
      <c r="A619">
        <v>60</v>
      </c>
      <c r="B619" t="s">
        <v>854</v>
      </c>
      <c r="C619" t="s">
        <v>855</v>
      </c>
      <c r="D619" t="s">
        <v>2524</v>
      </c>
      <c r="E619">
        <v>3.73</v>
      </c>
    </row>
    <row r="620" spans="1:6" x14ac:dyDescent="0.2">
      <c r="A620">
        <v>61</v>
      </c>
      <c r="B620" t="s">
        <v>857</v>
      </c>
      <c r="C620" t="s">
        <v>858</v>
      </c>
      <c r="D620" t="s">
        <v>2524</v>
      </c>
      <c r="E620">
        <v>3.91</v>
      </c>
    </row>
    <row r="621" spans="1:6" x14ac:dyDescent="0.2">
      <c r="A621">
        <v>62</v>
      </c>
      <c r="B621" t="s">
        <v>864</v>
      </c>
      <c r="C621" t="s">
        <v>865</v>
      </c>
      <c r="D621" t="s">
        <v>2524</v>
      </c>
      <c r="E621">
        <v>4.1399999999999997</v>
      </c>
    </row>
    <row r="622" spans="1:6" x14ac:dyDescent="0.2">
      <c r="A622">
        <v>63</v>
      </c>
      <c r="B622" t="s">
        <v>867</v>
      </c>
      <c r="C622" t="s">
        <v>868</v>
      </c>
      <c r="D622" t="s">
        <v>2524</v>
      </c>
      <c r="E622">
        <v>4.3600000000000003</v>
      </c>
    </row>
    <row r="623" spans="1:6" x14ac:dyDescent="0.2">
      <c r="A623">
        <v>64</v>
      </c>
      <c r="B623" t="s">
        <v>873</v>
      </c>
      <c r="C623" t="s">
        <v>874</v>
      </c>
      <c r="D623" t="s">
        <v>2524</v>
      </c>
      <c r="E623">
        <v>3.17</v>
      </c>
    </row>
    <row r="624" spans="1:6" x14ac:dyDescent="0.2">
      <c r="A624">
        <v>65</v>
      </c>
      <c r="B624" t="s">
        <v>876</v>
      </c>
      <c r="C624" t="s">
        <v>877</v>
      </c>
      <c r="D624" t="s">
        <v>2524</v>
      </c>
      <c r="E624">
        <v>3.3</v>
      </c>
    </row>
    <row r="625" spans="1:5" x14ac:dyDescent="0.2">
      <c r="A625">
        <v>66</v>
      </c>
      <c r="B625" t="s">
        <v>881</v>
      </c>
      <c r="C625" t="s">
        <v>882</v>
      </c>
      <c r="D625" t="s">
        <v>2524</v>
      </c>
      <c r="E625">
        <v>3.55</v>
      </c>
    </row>
    <row r="626" spans="1:5" x14ac:dyDescent="0.2">
      <c r="A626">
        <v>67</v>
      </c>
      <c r="B626" t="s">
        <v>884</v>
      </c>
      <c r="C626" t="s">
        <v>885</v>
      </c>
      <c r="D626" t="s">
        <v>2524</v>
      </c>
      <c r="E626">
        <v>3.76</v>
      </c>
    </row>
    <row r="627" spans="1:5" x14ac:dyDescent="0.2">
      <c r="A627">
        <v>68</v>
      </c>
      <c r="B627" t="s">
        <v>889</v>
      </c>
      <c r="C627" t="s">
        <v>890</v>
      </c>
      <c r="D627" t="s">
        <v>2524</v>
      </c>
      <c r="E627">
        <v>2.66</v>
      </c>
    </row>
    <row r="628" spans="1:5" x14ac:dyDescent="0.2">
      <c r="A628">
        <v>69</v>
      </c>
      <c r="B628" t="s">
        <v>892</v>
      </c>
      <c r="C628" t="s">
        <v>893</v>
      </c>
      <c r="D628" t="s">
        <v>2524</v>
      </c>
      <c r="E628">
        <v>2.81</v>
      </c>
    </row>
    <row r="629" spans="1:5" x14ac:dyDescent="0.2">
      <c r="A629">
        <v>70</v>
      </c>
      <c r="B629" t="s">
        <v>895</v>
      </c>
      <c r="C629" t="s">
        <v>896</v>
      </c>
      <c r="D629" t="s">
        <v>2524</v>
      </c>
      <c r="E629">
        <v>2.93</v>
      </c>
    </row>
    <row r="630" spans="1:5" x14ac:dyDescent="0.2">
      <c r="A630">
        <v>71</v>
      </c>
      <c r="B630" t="s">
        <v>898</v>
      </c>
      <c r="C630" t="s">
        <v>899</v>
      </c>
      <c r="D630" t="s">
        <v>2524</v>
      </c>
      <c r="E630">
        <v>3.1</v>
      </c>
    </row>
    <row r="631" spans="1:5" x14ac:dyDescent="0.2">
      <c r="A631">
        <v>72</v>
      </c>
      <c r="B631" t="s">
        <v>903</v>
      </c>
      <c r="C631" t="s">
        <v>904</v>
      </c>
      <c r="D631" t="s">
        <v>2524</v>
      </c>
      <c r="E631">
        <v>1.93</v>
      </c>
    </row>
    <row r="632" spans="1:5" x14ac:dyDescent="0.2">
      <c r="A632">
        <v>73</v>
      </c>
      <c r="B632" t="s">
        <v>906</v>
      </c>
      <c r="C632" t="s">
        <v>907</v>
      </c>
      <c r="D632" t="s">
        <v>2524</v>
      </c>
      <c r="E632">
        <v>2.1800000000000002</v>
      </c>
    </row>
    <row r="633" spans="1:5" x14ac:dyDescent="0.2">
      <c r="A633">
        <v>74</v>
      </c>
      <c r="B633" t="s">
        <v>909</v>
      </c>
      <c r="C633" t="s">
        <v>910</v>
      </c>
      <c r="D633" t="s">
        <v>2524</v>
      </c>
      <c r="E633">
        <v>2.5099999999999998</v>
      </c>
    </row>
    <row r="634" spans="1:5" x14ac:dyDescent="0.2">
      <c r="A634">
        <v>75</v>
      </c>
      <c r="B634" t="s">
        <v>912</v>
      </c>
      <c r="C634" t="s">
        <v>913</v>
      </c>
      <c r="D634" t="s">
        <v>2524</v>
      </c>
      <c r="E634">
        <v>2.83</v>
      </c>
    </row>
    <row r="635" spans="1:5" x14ac:dyDescent="0.2">
      <c r="A635">
        <v>76</v>
      </c>
      <c r="B635" t="s">
        <v>915</v>
      </c>
      <c r="C635" t="s">
        <v>916</v>
      </c>
      <c r="D635" t="s">
        <v>2524</v>
      </c>
      <c r="E635">
        <v>2.0499999999999998</v>
      </c>
    </row>
    <row r="636" spans="1:5" x14ac:dyDescent="0.2">
      <c r="A636">
        <v>77</v>
      </c>
      <c r="B636" t="s">
        <v>918</v>
      </c>
      <c r="C636" t="s">
        <v>919</v>
      </c>
      <c r="D636" t="s">
        <v>2524</v>
      </c>
      <c r="E636">
        <v>2.35</v>
      </c>
    </row>
    <row r="637" spans="1:5" x14ac:dyDescent="0.2">
      <c r="A637">
        <v>78</v>
      </c>
      <c r="B637" t="s">
        <v>2126</v>
      </c>
      <c r="C637" t="s">
        <v>2127</v>
      </c>
      <c r="D637" t="s">
        <v>2524</v>
      </c>
      <c r="E637">
        <v>2.5670000000000002</v>
      </c>
    </row>
    <row r="638" spans="1:5" x14ac:dyDescent="0.2">
      <c r="A638">
        <v>79</v>
      </c>
      <c r="B638" t="s">
        <v>921</v>
      </c>
      <c r="C638" t="s">
        <v>922</v>
      </c>
      <c r="D638" t="s">
        <v>2524</v>
      </c>
      <c r="E638">
        <v>2.66</v>
      </c>
    </row>
    <row r="639" spans="1:5" x14ac:dyDescent="0.2">
      <c r="A639">
        <v>80</v>
      </c>
      <c r="B639" t="s">
        <v>924</v>
      </c>
      <c r="C639" t="s">
        <v>925</v>
      </c>
      <c r="D639" t="s">
        <v>2524</v>
      </c>
      <c r="E639">
        <v>2.99</v>
      </c>
    </row>
    <row r="640" spans="1:5" x14ac:dyDescent="0.2">
      <c r="A640">
        <v>81</v>
      </c>
      <c r="B640" t="s">
        <v>1011</v>
      </c>
      <c r="C640" t="s">
        <v>1012</v>
      </c>
      <c r="D640" t="s">
        <v>2524</v>
      </c>
      <c r="E640">
        <v>3.91</v>
      </c>
    </row>
    <row r="641" spans="1:5" x14ac:dyDescent="0.2">
      <c r="A641">
        <v>82</v>
      </c>
      <c r="B641" t="s">
        <v>1014</v>
      </c>
      <c r="C641" t="s">
        <v>1015</v>
      </c>
      <c r="D641" t="s">
        <v>2524</v>
      </c>
      <c r="E641">
        <v>4.16</v>
      </c>
    </row>
    <row r="642" spans="1:5" x14ac:dyDescent="0.2">
      <c r="A642">
        <v>83</v>
      </c>
      <c r="B642" t="s">
        <v>1017</v>
      </c>
      <c r="C642" t="s">
        <v>1018</v>
      </c>
      <c r="D642" t="s">
        <v>2524</v>
      </c>
      <c r="E642">
        <v>4.37</v>
      </c>
    </row>
    <row r="643" spans="1:5" x14ac:dyDescent="0.2">
      <c r="A643">
        <v>84</v>
      </c>
      <c r="B643" t="s">
        <v>1020</v>
      </c>
      <c r="C643" t="s">
        <v>1021</v>
      </c>
      <c r="D643" t="s">
        <v>2524</v>
      </c>
      <c r="E643">
        <v>4.68</v>
      </c>
    </row>
    <row r="644" spans="1:5" x14ac:dyDescent="0.2">
      <c r="A644">
        <v>85</v>
      </c>
      <c r="B644" t="s">
        <v>1023</v>
      </c>
      <c r="C644" t="s">
        <v>1024</v>
      </c>
      <c r="D644" t="s">
        <v>2524</v>
      </c>
      <c r="E644">
        <v>4.88</v>
      </c>
    </row>
    <row r="645" spans="1:5" x14ac:dyDescent="0.2">
      <c r="A645">
        <v>86</v>
      </c>
      <c r="B645" t="s">
        <v>1026</v>
      </c>
      <c r="C645" t="s">
        <v>1027</v>
      </c>
      <c r="D645" t="s">
        <v>2524</v>
      </c>
      <c r="E645">
        <v>5.19</v>
      </c>
    </row>
    <row r="646" spans="1:5" x14ac:dyDescent="0.2">
      <c r="A646">
        <v>87</v>
      </c>
      <c r="B646" t="s">
        <v>1029</v>
      </c>
      <c r="C646" t="s">
        <v>1030</v>
      </c>
      <c r="D646" t="s">
        <v>2524</v>
      </c>
      <c r="E646">
        <v>3.5</v>
      </c>
    </row>
    <row r="647" spans="1:5" x14ac:dyDescent="0.2">
      <c r="A647">
        <v>88</v>
      </c>
      <c r="B647" t="s">
        <v>1032</v>
      </c>
      <c r="C647" t="s">
        <v>1033</v>
      </c>
      <c r="D647" t="s">
        <v>2524</v>
      </c>
      <c r="E647">
        <v>3.73</v>
      </c>
    </row>
    <row r="648" spans="1:5" x14ac:dyDescent="0.2">
      <c r="A648">
        <v>89</v>
      </c>
      <c r="B648" t="s">
        <v>1035</v>
      </c>
      <c r="C648" t="s">
        <v>1036</v>
      </c>
      <c r="D648" t="s">
        <v>2524</v>
      </c>
      <c r="E648">
        <v>4.16</v>
      </c>
    </row>
    <row r="649" spans="1:5" x14ac:dyDescent="0.2">
      <c r="A649">
        <v>90</v>
      </c>
      <c r="B649" t="s">
        <v>1038</v>
      </c>
      <c r="C649" t="s">
        <v>1039</v>
      </c>
      <c r="D649" t="s">
        <v>2524</v>
      </c>
      <c r="E649">
        <v>4.37</v>
      </c>
    </row>
    <row r="650" spans="1:5" x14ac:dyDescent="0.2">
      <c r="A650">
        <v>91</v>
      </c>
      <c r="B650" t="s">
        <v>1041</v>
      </c>
      <c r="C650" t="s">
        <v>1042</v>
      </c>
      <c r="D650" t="s">
        <v>2524</v>
      </c>
      <c r="E650">
        <v>4.71</v>
      </c>
    </row>
    <row r="651" spans="1:5" x14ac:dyDescent="0.2">
      <c r="A651">
        <v>92</v>
      </c>
      <c r="B651" t="s">
        <v>1044</v>
      </c>
      <c r="C651" t="s">
        <v>1045</v>
      </c>
      <c r="D651" t="s">
        <v>2524</v>
      </c>
      <c r="E651">
        <v>5.07</v>
      </c>
    </row>
    <row r="652" spans="1:5" x14ac:dyDescent="0.2">
      <c r="A652">
        <v>93</v>
      </c>
      <c r="B652" t="s">
        <v>1047</v>
      </c>
      <c r="C652" t="s">
        <v>1042</v>
      </c>
      <c r="D652" t="s">
        <v>2524</v>
      </c>
      <c r="E652">
        <v>4.16</v>
      </c>
    </row>
    <row r="653" spans="1:5" x14ac:dyDescent="0.2">
      <c r="A653">
        <v>94</v>
      </c>
      <c r="B653" t="s">
        <v>1049</v>
      </c>
      <c r="C653" t="s">
        <v>1045</v>
      </c>
      <c r="D653" t="s">
        <v>2524</v>
      </c>
      <c r="E653">
        <v>4.3600000000000003</v>
      </c>
    </row>
    <row r="654" spans="1:5" x14ac:dyDescent="0.2">
      <c r="A654">
        <v>95</v>
      </c>
      <c r="B654" t="s">
        <v>2565</v>
      </c>
      <c r="C654" t="s">
        <v>2566</v>
      </c>
      <c r="D654" t="s">
        <v>2524</v>
      </c>
      <c r="E654">
        <v>3.48</v>
      </c>
    </row>
    <row r="655" spans="1:5" x14ac:dyDescent="0.2">
      <c r="A655">
        <v>96</v>
      </c>
      <c r="B655" t="s">
        <v>2567</v>
      </c>
      <c r="C655" t="s">
        <v>2568</v>
      </c>
      <c r="D655" t="s">
        <v>2524</v>
      </c>
      <c r="E655">
        <v>3.71</v>
      </c>
    </row>
    <row r="656" spans="1:5" x14ac:dyDescent="0.2">
      <c r="A656">
        <v>97</v>
      </c>
      <c r="B656" t="s">
        <v>2569</v>
      </c>
      <c r="C656" t="s">
        <v>2570</v>
      </c>
      <c r="D656" t="s">
        <v>2524</v>
      </c>
      <c r="E656">
        <v>4.09</v>
      </c>
    </row>
    <row r="657" spans="1:5" x14ac:dyDescent="0.2">
      <c r="A657">
        <v>98</v>
      </c>
      <c r="B657" t="s">
        <v>2571</v>
      </c>
      <c r="C657" t="s">
        <v>2572</v>
      </c>
      <c r="D657" t="s">
        <v>2524</v>
      </c>
      <c r="E657">
        <v>4.3</v>
      </c>
    </row>
    <row r="658" spans="1:5" x14ac:dyDescent="0.2">
      <c r="A658">
        <v>99</v>
      </c>
      <c r="B658" t="s">
        <v>2573</v>
      </c>
      <c r="C658" t="s">
        <v>2574</v>
      </c>
      <c r="D658" t="s">
        <v>2524</v>
      </c>
      <c r="E658">
        <v>4.68</v>
      </c>
    </row>
    <row r="659" spans="1:5" x14ac:dyDescent="0.2">
      <c r="A659">
        <v>100</v>
      </c>
      <c r="B659" t="s">
        <v>2575</v>
      </c>
      <c r="C659" t="s">
        <v>2576</v>
      </c>
      <c r="D659" t="s">
        <v>2524</v>
      </c>
      <c r="E659">
        <v>4.92</v>
      </c>
    </row>
    <row r="660" spans="1:5" x14ac:dyDescent="0.2">
      <c r="A660">
        <v>101</v>
      </c>
      <c r="B660" t="s">
        <v>2577</v>
      </c>
      <c r="C660" t="s">
        <v>2578</v>
      </c>
      <c r="D660" t="s">
        <v>2524</v>
      </c>
      <c r="E660">
        <v>3.17</v>
      </c>
    </row>
    <row r="661" spans="1:5" x14ac:dyDescent="0.2">
      <c r="A661">
        <v>102</v>
      </c>
      <c r="B661" t="s">
        <v>2579</v>
      </c>
      <c r="C661" t="s">
        <v>2580</v>
      </c>
      <c r="D661" t="s">
        <v>2524</v>
      </c>
      <c r="E661">
        <v>3.5</v>
      </c>
    </row>
    <row r="662" spans="1:5" x14ac:dyDescent="0.2">
      <c r="A662">
        <v>103</v>
      </c>
      <c r="B662" t="s">
        <v>2581</v>
      </c>
      <c r="C662" t="s">
        <v>2582</v>
      </c>
      <c r="D662" t="s">
        <v>2524</v>
      </c>
      <c r="E662">
        <v>3.73</v>
      </c>
    </row>
    <row r="663" spans="1:5" x14ac:dyDescent="0.2">
      <c r="A663">
        <v>104</v>
      </c>
      <c r="B663" t="s">
        <v>2583</v>
      </c>
      <c r="C663" t="s">
        <v>2584</v>
      </c>
      <c r="D663" t="s">
        <v>2524</v>
      </c>
      <c r="E663">
        <v>3.91</v>
      </c>
    </row>
    <row r="664" spans="1:5" x14ac:dyDescent="0.2">
      <c r="A664">
        <v>105</v>
      </c>
      <c r="B664" t="s">
        <v>2585</v>
      </c>
      <c r="C664" t="s">
        <v>2586</v>
      </c>
      <c r="D664" t="s">
        <v>2524</v>
      </c>
      <c r="E664">
        <v>4.37</v>
      </c>
    </row>
    <row r="665" spans="1:5" x14ac:dyDescent="0.2">
      <c r="A665">
        <v>106</v>
      </c>
      <c r="B665" t="s">
        <v>2587</v>
      </c>
      <c r="C665" t="s">
        <v>2588</v>
      </c>
      <c r="D665" t="s">
        <v>2524</v>
      </c>
      <c r="E665">
        <v>4.68</v>
      </c>
    </row>
    <row r="666" spans="1:5" x14ac:dyDescent="0.2">
      <c r="A666">
        <v>107</v>
      </c>
      <c r="B666" t="s">
        <v>961</v>
      </c>
      <c r="C666" t="s">
        <v>962</v>
      </c>
      <c r="D666" t="s">
        <v>2524</v>
      </c>
      <c r="E666">
        <v>5.19</v>
      </c>
    </row>
    <row r="667" spans="1:5" x14ac:dyDescent="0.2">
      <c r="A667">
        <v>108</v>
      </c>
      <c r="B667" t="s">
        <v>964</v>
      </c>
      <c r="C667" t="s">
        <v>965</v>
      </c>
      <c r="D667" t="s">
        <v>2524</v>
      </c>
      <c r="E667">
        <v>5.41</v>
      </c>
    </row>
    <row r="668" spans="1:5" x14ac:dyDescent="0.2">
      <c r="A668">
        <v>109</v>
      </c>
      <c r="B668" t="s">
        <v>967</v>
      </c>
      <c r="C668" t="s">
        <v>968</v>
      </c>
      <c r="D668" t="s">
        <v>2524</v>
      </c>
      <c r="E668">
        <v>5.41</v>
      </c>
    </row>
    <row r="669" spans="1:5" x14ac:dyDescent="0.2">
      <c r="A669">
        <v>110</v>
      </c>
      <c r="B669" t="s">
        <v>970</v>
      </c>
      <c r="C669" t="s">
        <v>971</v>
      </c>
      <c r="D669" t="s">
        <v>2524</v>
      </c>
      <c r="E669">
        <v>5.75</v>
      </c>
    </row>
    <row r="670" spans="1:5" x14ac:dyDescent="0.2">
      <c r="A670">
        <v>111</v>
      </c>
      <c r="B670" t="s">
        <v>973</v>
      </c>
      <c r="C670" t="s">
        <v>974</v>
      </c>
      <c r="D670" t="s">
        <v>2524</v>
      </c>
      <c r="E670">
        <v>4.92</v>
      </c>
    </row>
    <row r="671" spans="1:5" x14ac:dyDescent="0.2">
      <c r="A671">
        <v>112</v>
      </c>
      <c r="B671" t="s">
        <v>976</v>
      </c>
      <c r="C671" t="s">
        <v>977</v>
      </c>
      <c r="D671" t="s">
        <v>2524</v>
      </c>
      <c r="E671">
        <v>5.19</v>
      </c>
    </row>
    <row r="672" spans="1:5" x14ac:dyDescent="0.2">
      <c r="A672">
        <v>113</v>
      </c>
      <c r="B672" t="s">
        <v>979</v>
      </c>
      <c r="C672" t="s">
        <v>974</v>
      </c>
      <c r="D672" t="s">
        <v>2524</v>
      </c>
      <c r="E672">
        <v>5.19</v>
      </c>
    </row>
    <row r="673" spans="1:5" x14ac:dyDescent="0.2">
      <c r="A673">
        <v>114</v>
      </c>
      <c r="B673" t="s">
        <v>981</v>
      </c>
      <c r="C673" t="s">
        <v>977</v>
      </c>
      <c r="D673" t="s">
        <v>2524</v>
      </c>
      <c r="E673">
        <v>5.41</v>
      </c>
    </row>
    <row r="674" spans="1:5" x14ac:dyDescent="0.2">
      <c r="A674">
        <v>115</v>
      </c>
      <c r="B674" t="s">
        <v>994</v>
      </c>
      <c r="C674" t="s">
        <v>995</v>
      </c>
      <c r="D674" t="s">
        <v>2524</v>
      </c>
      <c r="E674">
        <v>4.37</v>
      </c>
    </row>
    <row r="675" spans="1:5" x14ac:dyDescent="0.2">
      <c r="A675">
        <v>116</v>
      </c>
      <c r="B675" t="s">
        <v>997</v>
      </c>
      <c r="C675" t="s">
        <v>998</v>
      </c>
      <c r="D675" t="s">
        <v>2524</v>
      </c>
      <c r="E675">
        <v>4.68</v>
      </c>
    </row>
    <row r="676" spans="1:5" x14ac:dyDescent="0.2">
      <c r="A676">
        <v>117</v>
      </c>
      <c r="B676" t="s">
        <v>1000</v>
      </c>
      <c r="C676" t="s">
        <v>1001</v>
      </c>
      <c r="D676" t="s">
        <v>2524</v>
      </c>
      <c r="E676">
        <v>4.68</v>
      </c>
    </row>
    <row r="677" spans="1:5" x14ac:dyDescent="0.2">
      <c r="A677">
        <v>118</v>
      </c>
      <c r="B677" t="s">
        <v>1003</v>
      </c>
      <c r="C677" t="s">
        <v>1004</v>
      </c>
      <c r="D677" t="s">
        <v>2524</v>
      </c>
      <c r="E677">
        <v>4.92</v>
      </c>
    </row>
    <row r="678" spans="1:5" x14ac:dyDescent="0.2">
      <c r="A678">
        <v>119</v>
      </c>
      <c r="B678" t="s">
        <v>983</v>
      </c>
      <c r="C678" t="s">
        <v>984</v>
      </c>
      <c r="D678" t="s">
        <v>2524</v>
      </c>
      <c r="E678">
        <v>4.68</v>
      </c>
    </row>
    <row r="679" spans="1:5" x14ac:dyDescent="0.2">
      <c r="A679">
        <v>120</v>
      </c>
      <c r="B679" t="s">
        <v>986</v>
      </c>
      <c r="C679" t="s">
        <v>987</v>
      </c>
      <c r="D679" t="s">
        <v>2524</v>
      </c>
      <c r="E679">
        <v>4.92</v>
      </c>
    </row>
    <row r="680" spans="1:5" x14ac:dyDescent="0.2">
      <c r="A680">
        <v>121</v>
      </c>
      <c r="B680" t="s">
        <v>989</v>
      </c>
      <c r="C680" t="s">
        <v>990</v>
      </c>
      <c r="D680" t="s">
        <v>2524</v>
      </c>
      <c r="E680">
        <v>4.92</v>
      </c>
    </row>
    <row r="681" spans="1:5" x14ac:dyDescent="0.2">
      <c r="A681">
        <v>122</v>
      </c>
      <c r="B681" t="s">
        <v>992</v>
      </c>
      <c r="C681" t="s">
        <v>2589</v>
      </c>
      <c r="D681" t="s">
        <v>2524</v>
      </c>
      <c r="E681">
        <v>5.19</v>
      </c>
    </row>
    <row r="682" spans="1:5" x14ac:dyDescent="0.2">
      <c r="A682">
        <v>123</v>
      </c>
      <c r="B682" t="s">
        <v>1006</v>
      </c>
      <c r="C682" t="s">
        <v>1007</v>
      </c>
      <c r="D682" t="s">
        <v>2524</v>
      </c>
      <c r="E682">
        <v>4.16</v>
      </c>
    </row>
    <row r="683" spans="1:5" x14ac:dyDescent="0.2">
      <c r="A683">
        <v>124</v>
      </c>
      <c r="B683" t="s">
        <v>1009</v>
      </c>
      <c r="C683" t="s">
        <v>1007</v>
      </c>
      <c r="D683" t="s">
        <v>2524</v>
      </c>
      <c r="E683">
        <v>4.37</v>
      </c>
    </row>
    <row r="684" spans="1:5" x14ac:dyDescent="0.2">
      <c r="A684">
        <v>125</v>
      </c>
      <c r="B684" t="s">
        <v>2186</v>
      </c>
      <c r="C684" t="s">
        <v>2187</v>
      </c>
      <c r="D684" t="s">
        <v>2524</v>
      </c>
      <c r="E684">
        <v>4.37</v>
      </c>
    </row>
    <row r="685" spans="1:5" x14ac:dyDescent="0.2">
      <c r="A685">
        <v>126</v>
      </c>
      <c r="B685" t="s">
        <v>2191</v>
      </c>
      <c r="C685" t="s">
        <v>2192</v>
      </c>
      <c r="D685" t="s">
        <v>2524</v>
      </c>
      <c r="E685">
        <v>4.68</v>
      </c>
    </row>
    <row r="686" spans="1:5" x14ac:dyDescent="0.2">
      <c r="A686">
        <v>127</v>
      </c>
      <c r="B686" t="s">
        <v>2590</v>
      </c>
      <c r="C686" t="s">
        <v>2591</v>
      </c>
      <c r="D686" t="s">
        <v>2524</v>
      </c>
      <c r="E686">
        <v>2.99</v>
      </c>
    </row>
    <row r="687" spans="1:5" x14ac:dyDescent="0.2">
      <c r="A687">
        <v>128</v>
      </c>
      <c r="B687" t="s">
        <v>2592</v>
      </c>
      <c r="C687" t="s">
        <v>2593</v>
      </c>
      <c r="D687" t="s">
        <v>2524</v>
      </c>
      <c r="E687">
        <v>3.28</v>
      </c>
    </row>
    <row r="688" spans="1:5" x14ac:dyDescent="0.2">
      <c r="A688">
        <v>129</v>
      </c>
      <c r="B688" t="s">
        <v>2594</v>
      </c>
      <c r="C688" t="s">
        <v>2595</v>
      </c>
      <c r="D688" t="s">
        <v>2524</v>
      </c>
      <c r="E688">
        <v>3.28</v>
      </c>
    </row>
    <row r="689" spans="1:6" x14ac:dyDescent="0.2">
      <c r="A689">
        <v>130</v>
      </c>
      <c r="B689" t="s">
        <v>2596</v>
      </c>
      <c r="C689" t="s">
        <v>2597</v>
      </c>
      <c r="D689" t="s">
        <v>2524</v>
      </c>
      <c r="E689">
        <v>3.72</v>
      </c>
    </row>
    <row r="690" spans="1:6" x14ac:dyDescent="0.2">
      <c r="A690">
        <v>131</v>
      </c>
      <c r="B690" t="s">
        <v>2598</v>
      </c>
      <c r="C690" t="s">
        <v>2599</v>
      </c>
      <c r="D690" t="s">
        <v>2524</v>
      </c>
      <c r="E690">
        <v>4.1500000000000004</v>
      </c>
    </row>
    <row r="691" spans="1:6" x14ac:dyDescent="0.2">
      <c r="A691">
        <v>132</v>
      </c>
      <c r="B691" t="s">
        <v>958</v>
      </c>
      <c r="C691" t="s">
        <v>2136</v>
      </c>
      <c r="D691" t="s">
        <v>2524</v>
      </c>
      <c r="E691">
        <v>4.67</v>
      </c>
    </row>
    <row r="692" spans="1:6" x14ac:dyDescent="0.2">
      <c r="A692">
        <v>133</v>
      </c>
      <c r="B692" t="s">
        <v>959</v>
      </c>
      <c r="C692" t="s">
        <v>2140</v>
      </c>
      <c r="D692" t="s">
        <v>2524</v>
      </c>
      <c r="E692">
        <v>5.27</v>
      </c>
    </row>
    <row r="693" spans="1:6" x14ac:dyDescent="0.2">
      <c r="A693">
        <v>134</v>
      </c>
      <c r="B693" t="s">
        <v>2600</v>
      </c>
      <c r="C693" t="s">
        <v>2601</v>
      </c>
      <c r="D693" t="s">
        <v>2524</v>
      </c>
      <c r="E693">
        <v>5.75</v>
      </c>
    </row>
    <row r="694" spans="1:6" x14ac:dyDescent="0.2">
      <c r="A694" t="s">
        <v>2602</v>
      </c>
    </row>
    <row r="695" spans="1:6" x14ac:dyDescent="0.2">
      <c r="A695" t="s">
        <v>15</v>
      </c>
      <c r="B695" t="s">
        <v>335</v>
      </c>
      <c r="C695" t="s">
        <v>1531</v>
      </c>
      <c r="D695" t="s">
        <v>68</v>
      </c>
      <c r="E695" t="s">
        <v>354</v>
      </c>
    </row>
    <row r="696" spans="1:6" x14ac:dyDescent="0.2">
      <c r="A696">
        <v>1</v>
      </c>
      <c r="B696" t="s">
        <v>1543</v>
      </c>
      <c r="C696" t="s">
        <v>2603</v>
      </c>
      <c r="D696" t="s">
        <v>2259</v>
      </c>
      <c r="E696">
        <v>1.55</v>
      </c>
      <c r="F696" s="607" t="s">
        <v>3017</v>
      </c>
    </row>
    <row r="697" spans="1:6" x14ac:dyDescent="0.2">
      <c r="A697">
        <v>2</v>
      </c>
      <c r="B697" t="s">
        <v>1552</v>
      </c>
      <c r="C697" t="s">
        <v>2604</v>
      </c>
      <c r="D697" t="s">
        <v>2259</v>
      </c>
      <c r="E697">
        <v>1.83</v>
      </c>
      <c r="F697" s="607" t="s">
        <v>3018</v>
      </c>
    </row>
    <row r="698" spans="1:6" x14ac:dyDescent="0.2">
      <c r="A698">
        <v>3</v>
      </c>
      <c r="B698" t="s">
        <v>1560</v>
      </c>
      <c r="C698" t="s">
        <v>2605</v>
      </c>
      <c r="D698" t="s">
        <v>2259</v>
      </c>
      <c r="E698">
        <v>1.9950000000000001</v>
      </c>
      <c r="F698" s="607" t="s">
        <v>2927</v>
      </c>
    </row>
    <row r="699" spans="1:6" x14ac:dyDescent="0.2">
      <c r="A699">
        <v>4</v>
      </c>
      <c r="B699" t="s">
        <v>1568</v>
      </c>
      <c r="C699" t="s">
        <v>2606</v>
      </c>
      <c r="D699" t="s">
        <v>2259</v>
      </c>
      <c r="E699">
        <v>2.0609999999999999</v>
      </c>
      <c r="F699" s="607" t="s">
        <v>2928</v>
      </c>
    </row>
    <row r="700" spans="1:6" x14ac:dyDescent="0.2">
      <c r="A700">
        <v>5</v>
      </c>
      <c r="B700" t="s">
        <v>1577</v>
      </c>
      <c r="C700" t="s">
        <v>2607</v>
      </c>
      <c r="D700" t="s">
        <v>2259</v>
      </c>
      <c r="E700">
        <v>2.16</v>
      </c>
      <c r="F700" s="607" t="s">
        <v>2929</v>
      </c>
    </row>
    <row r="701" spans="1:6" x14ac:dyDescent="0.2">
      <c r="A701">
        <v>6</v>
      </c>
      <c r="B701" t="s">
        <v>1585</v>
      </c>
      <c r="C701" t="s">
        <v>2608</v>
      </c>
      <c r="D701" t="s">
        <v>2259</v>
      </c>
      <c r="E701">
        <v>2.238</v>
      </c>
      <c r="F701" s="607" t="s">
        <v>2930</v>
      </c>
    </row>
    <row r="702" spans="1:6" x14ac:dyDescent="0.2">
      <c r="A702">
        <v>7</v>
      </c>
      <c r="B702" t="s">
        <v>1593</v>
      </c>
      <c r="C702" t="s">
        <v>2609</v>
      </c>
      <c r="D702" t="s">
        <v>2259</v>
      </c>
      <c r="E702">
        <v>2.2770000000000001</v>
      </c>
      <c r="F702" s="607" t="s">
        <v>2931</v>
      </c>
    </row>
    <row r="703" spans="1:6" x14ac:dyDescent="0.2">
      <c r="A703">
        <v>8</v>
      </c>
      <c r="B703" t="s">
        <v>1601</v>
      </c>
      <c r="C703" t="s">
        <v>2610</v>
      </c>
      <c r="D703" t="s">
        <v>2259</v>
      </c>
      <c r="E703">
        <v>2.355</v>
      </c>
      <c r="F703" s="607" t="s">
        <v>2932</v>
      </c>
    </row>
    <row r="704" spans="1:6" x14ac:dyDescent="0.2">
      <c r="A704">
        <v>9</v>
      </c>
      <c r="B704" t="s">
        <v>1609</v>
      </c>
      <c r="C704" t="s">
        <v>2611</v>
      </c>
      <c r="D704" t="s">
        <v>2259</v>
      </c>
      <c r="E704">
        <v>2.4329999999999998</v>
      </c>
      <c r="F704" s="607" t="s">
        <v>2933</v>
      </c>
    </row>
    <row r="705" spans="1:6" x14ac:dyDescent="0.2">
      <c r="A705">
        <v>10</v>
      </c>
      <c r="B705" t="s">
        <v>1618</v>
      </c>
      <c r="C705" t="s">
        <v>2612</v>
      </c>
      <c r="D705" t="s">
        <v>2259</v>
      </c>
      <c r="E705">
        <v>2.5499999999999998</v>
      </c>
      <c r="F705" s="607" t="s">
        <v>3019</v>
      </c>
    </row>
    <row r="706" spans="1:6" x14ac:dyDescent="0.2">
      <c r="A706">
        <v>11</v>
      </c>
      <c r="B706" t="s">
        <v>1626</v>
      </c>
      <c r="C706" t="s">
        <v>2613</v>
      </c>
      <c r="D706" t="s">
        <v>2259</v>
      </c>
      <c r="E706">
        <v>2.6419999999999999</v>
      </c>
      <c r="F706" s="607" t="s">
        <v>2935</v>
      </c>
    </row>
    <row r="707" spans="1:6" x14ac:dyDescent="0.2">
      <c r="A707">
        <v>12</v>
      </c>
      <c r="B707" t="s">
        <v>1634</v>
      </c>
      <c r="C707" t="s">
        <v>2614</v>
      </c>
      <c r="D707" t="s">
        <v>2259</v>
      </c>
      <c r="E707">
        <v>2.6880000000000002</v>
      </c>
      <c r="F707" s="607" t="s">
        <v>2936</v>
      </c>
    </row>
    <row r="708" spans="1:6" x14ac:dyDescent="0.2">
      <c r="A708">
        <v>13</v>
      </c>
      <c r="B708" t="s">
        <v>1642</v>
      </c>
      <c r="C708" t="s">
        <v>2615</v>
      </c>
      <c r="D708" t="s">
        <v>2259</v>
      </c>
      <c r="E708">
        <v>2.78</v>
      </c>
      <c r="F708" s="607" t="s">
        <v>2937</v>
      </c>
    </row>
    <row r="709" spans="1:6" x14ac:dyDescent="0.2">
      <c r="A709">
        <v>14</v>
      </c>
      <c r="B709" t="s">
        <v>1650</v>
      </c>
      <c r="C709" t="s">
        <v>2616</v>
      </c>
      <c r="D709" t="s">
        <v>2259</v>
      </c>
      <c r="E709">
        <v>2.8719999999999999</v>
      </c>
      <c r="F709" s="607" t="s">
        <v>2938</v>
      </c>
    </row>
    <row r="710" spans="1:6" x14ac:dyDescent="0.2">
      <c r="A710">
        <v>15</v>
      </c>
      <c r="B710" t="s">
        <v>1659</v>
      </c>
      <c r="C710" t="s">
        <v>2617</v>
      </c>
      <c r="D710" t="s">
        <v>2259</v>
      </c>
      <c r="E710">
        <v>3.01</v>
      </c>
      <c r="F710" s="607" t="s">
        <v>3020</v>
      </c>
    </row>
    <row r="711" spans="1:6" x14ac:dyDescent="0.2">
      <c r="A711">
        <v>16</v>
      </c>
      <c r="B711" t="s">
        <v>1667</v>
      </c>
      <c r="C711" t="s">
        <v>2618</v>
      </c>
      <c r="D711" t="s">
        <v>2259</v>
      </c>
      <c r="E711">
        <v>3.12</v>
      </c>
      <c r="F711" s="607" t="s">
        <v>2940</v>
      </c>
    </row>
    <row r="712" spans="1:6" x14ac:dyDescent="0.2">
      <c r="A712">
        <v>17</v>
      </c>
      <c r="B712" t="s">
        <v>1675</v>
      </c>
      <c r="C712" t="s">
        <v>2619</v>
      </c>
      <c r="D712" t="s">
        <v>2259</v>
      </c>
      <c r="E712">
        <v>3.2850000000000001</v>
      </c>
      <c r="F712" s="607" t="s">
        <v>2941</v>
      </c>
    </row>
    <row r="713" spans="1:6" x14ac:dyDescent="0.2">
      <c r="A713">
        <v>18</v>
      </c>
      <c r="B713" t="s">
        <v>1684</v>
      </c>
      <c r="C713" t="s">
        <v>2620</v>
      </c>
      <c r="D713" t="s">
        <v>2259</v>
      </c>
      <c r="E713">
        <v>3.56</v>
      </c>
      <c r="F713" s="607" t="s">
        <v>3021</v>
      </c>
    </row>
    <row r="714" spans="1:6" x14ac:dyDescent="0.2">
      <c r="A714">
        <v>19</v>
      </c>
      <c r="B714" t="s">
        <v>1693</v>
      </c>
      <c r="C714" t="s">
        <v>2621</v>
      </c>
      <c r="D714" t="s">
        <v>2259</v>
      </c>
      <c r="E714">
        <v>4.2</v>
      </c>
      <c r="F714" s="607" t="s">
        <v>3022</v>
      </c>
    </row>
    <row r="715" spans="1:6" x14ac:dyDescent="0.2">
      <c r="A715" t="s">
        <v>2622</v>
      </c>
      <c r="E715">
        <v>0</v>
      </c>
    </row>
    <row r="716" spans="1:6" x14ac:dyDescent="0.2">
      <c r="A716">
        <v>20</v>
      </c>
      <c r="B716" t="s">
        <v>2623</v>
      </c>
      <c r="C716" t="s">
        <v>2624</v>
      </c>
      <c r="D716" t="s">
        <v>2259</v>
      </c>
      <c r="E716">
        <v>1.67</v>
      </c>
      <c r="F716" s="607" t="s">
        <v>3017</v>
      </c>
    </row>
    <row r="717" spans="1:6" x14ac:dyDescent="0.2">
      <c r="A717">
        <v>21</v>
      </c>
      <c r="B717" t="s">
        <v>2625</v>
      </c>
      <c r="C717" t="s">
        <v>2626</v>
      </c>
      <c r="D717" t="s">
        <v>2259</v>
      </c>
      <c r="E717">
        <v>1.96</v>
      </c>
      <c r="F717" s="607" t="s">
        <v>3018</v>
      </c>
    </row>
    <row r="718" spans="1:6" x14ac:dyDescent="0.2">
      <c r="A718">
        <v>22</v>
      </c>
      <c r="B718" t="s">
        <v>2627</v>
      </c>
      <c r="C718" t="s">
        <v>2628</v>
      </c>
      <c r="D718" t="s">
        <v>2259</v>
      </c>
      <c r="E718">
        <v>2.1349999999999998</v>
      </c>
      <c r="F718" s="607" t="s">
        <v>2927</v>
      </c>
    </row>
    <row r="719" spans="1:6" x14ac:dyDescent="0.2">
      <c r="A719">
        <v>23</v>
      </c>
      <c r="B719" t="s">
        <v>2629</v>
      </c>
      <c r="C719" t="s">
        <v>2630</v>
      </c>
      <c r="D719" t="s">
        <v>2259</v>
      </c>
      <c r="E719">
        <v>2.2050000000000001</v>
      </c>
      <c r="F719" s="607" t="s">
        <v>2928</v>
      </c>
    </row>
    <row r="720" spans="1:6" x14ac:dyDescent="0.2">
      <c r="A720">
        <v>24</v>
      </c>
      <c r="B720" t="s">
        <v>2631</v>
      </c>
      <c r="C720" t="s">
        <v>2632</v>
      </c>
      <c r="D720" t="s">
        <v>2259</v>
      </c>
      <c r="E720">
        <v>2.31</v>
      </c>
      <c r="F720" s="607" t="s">
        <v>2929</v>
      </c>
    </row>
    <row r="721" spans="1:6" x14ac:dyDescent="0.2">
      <c r="A721">
        <v>25</v>
      </c>
      <c r="B721" t="s">
        <v>2633</v>
      </c>
      <c r="C721" t="s">
        <v>2634</v>
      </c>
      <c r="D721" t="s">
        <v>2259</v>
      </c>
      <c r="E721">
        <v>2.39</v>
      </c>
      <c r="F721" s="607" t="s">
        <v>2930</v>
      </c>
    </row>
    <row r="722" spans="1:6" x14ac:dyDescent="0.2">
      <c r="A722">
        <v>26</v>
      </c>
      <c r="B722" t="s">
        <v>2635</v>
      </c>
      <c r="C722" t="s">
        <v>2636</v>
      </c>
      <c r="D722" t="s">
        <v>2259</v>
      </c>
      <c r="E722">
        <v>2.4300000000000002</v>
      </c>
      <c r="F722" s="607" t="s">
        <v>2931</v>
      </c>
    </row>
    <row r="723" spans="1:6" x14ac:dyDescent="0.2">
      <c r="A723">
        <v>27</v>
      </c>
      <c r="B723" t="s">
        <v>2637</v>
      </c>
      <c r="C723" t="s">
        <v>2638</v>
      </c>
      <c r="D723" t="s">
        <v>2259</v>
      </c>
      <c r="E723">
        <v>2.5099999999999998</v>
      </c>
      <c r="F723" s="607" t="s">
        <v>2932</v>
      </c>
    </row>
    <row r="724" spans="1:6" x14ac:dyDescent="0.2">
      <c r="A724">
        <v>28</v>
      </c>
      <c r="B724" t="s">
        <v>2639</v>
      </c>
      <c r="C724" t="s">
        <v>2640</v>
      </c>
      <c r="D724" t="s">
        <v>2259</v>
      </c>
      <c r="E724">
        <v>2.59</v>
      </c>
      <c r="F724" s="607" t="s">
        <v>2933</v>
      </c>
    </row>
    <row r="725" spans="1:6" x14ac:dyDescent="0.2">
      <c r="A725">
        <v>29</v>
      </c>
      <c r="B725" t="s">
        <v>2641</v>
      </c>
      <c r="C725" t="s">
        <v>2642</v>
      </c>
      <c r="D725" t="s">
        <v>2259</v>
      </c>
      <c r="E725">
        <v>2.71</v>
      </c>
      <c r="F725" s="607" t="s">
        <v>3019</v>
      </c>
    </row>
    <row r="726" spans="1:6" x14ac:dyDescent="0.2">
      <c r="A726">
        <v>30</v>
      </c>
      <c r="B726" t="s">
        <v>2643</v>
      </c>
      <c r="C726" t="s">
        <v>2644</v>
      </c>
      <c r="D726" t="s">
        <v>2259</v>
      </c>
      <c r="E726">
        <v>2.806</v>
      </c>
      <c r="F726" s="607" t="s">
        <v>2935</v>
      </c>
    </row>
    <row r="727" spans="1:6" x14ac:dyDescent="0.2">
      <c r="A727">
        <v>31</v>
      </c>
      <c r="B727" t="s">
        <v>2645</v>
      </c>
      <c r="C727" t="s">
        <v>2646</v>
      </c>
      <c r="D727" t="s">
        <v>2259</v>
      </c>
      <c r="E727">
        <v>2.8540000000000001</v>
      </c>
      <c r="F727" s="607" t="s">
        <v>2936</v>
      </c>
    </row>
    <row r="728" spans="1:6" x14ac:dyDescent="0.2">
      <c r="A728">
        <v>32</v>
      </c>
      <c r="B728" t="s">
        <v>2647</v>
      </c>
      <c r="C728" t="s">
        <v>2648</v>
      </c>
      <c r="D728" t="s">
        <v>2259</v>
      </c>
      <c r="E728">
        <v>2.95</v>
      </c>
      <c r="F728" s="607" t="s">
        <v>2937</v>
      </c>
    </row>
    <row r="729" spans="1:6" x14ac:dyDescent="0.2">
      <c r="A729">
        <v>33</v>
      </c>
      <c r="B729" t="s">
        <v>2649</v>
      </c>
      <c r="C729" t="s">
        <v>2650</v>
      </c>
      <c r="D729" t="s">
        <v>2259</v>
      </c>
      <c r="E729">
        <v>3.0459999999999998</v>
      </c>
      <c r="F729" s="607" t="s">
        <v>2938</v>
      </c>
    </row>
    <row r="730" spans="1:6" x14ac:dyDescent="0.2">
      <c r="A730">
        <v>34</v>
      </c>
      <c r="B730" t="s">
        <v>2651</v>
      </c>
      <c r="C730" t="s">
        <v>2652</v>
      </c>
      <c r="D730" t="s">
        <v>2259</v>
      </c>
      <c r="E730">
        <v>3.19</v>
      </c>
      <c r="F730" s="607" t="s">
        <v>3020</v>
      </c>
    </row>
    <row r="731" spans="1:6" x14ac:dyDescent="0.2">
      <c r="A731">
        <v>35</v>
      </c>
      <c r="B731" t="s">
        <v>2653</v>
      </c>
      <c r="C731" t="s">
        <v>2654</v>
      </c>
      <c r="D731" t="s">
        <v>2259</v>
      </c>
      <c r="E731">
        <v>3.3</v>
      </c>
      <c r="F731" s="607" t="s">
        <v>2940</v>
      </c>
    </row>
    <row r="732" spans="1:6" x14ac:dyDescent="0.2">
      <c r="A732">
        <v>36</v>
      </c>
      <c r="B732" t="s">
        <v>2655</v>
      </c>
      <c r="C732" t="s">
        <v>2656</v>
      </c>
      <c r="D732" t="s">
        <v>2259</v>
      </c>
      <c r="E732">
        <v>3.4649999999999999</v>
      </c>
      <c r="F732" s="607" t="s">
        <v>2941</v>
      </c>
    </row>
    <row r="733" spans="1:6" x14ac:dyDescent="0.2">
      <c r="A733">
        <v>37</v>
      </c>
      <c r="B733" t="s">
        <v>2657</v>
      </c>
      <c r="C733" t="s">
        <v>2658</v>
      </c>
      <c r="D733" t="s">
        <v>2259</v>
      </c>
      <c r="E733">
        <v>3.74</v>
      </c>
      <c r="F733" s="607" t="s">
        <v>3021</v>
      </c>
    </row>
    <row r="734" spans="1:6" x14ac:dyDescent="0.2">
      <c r="A734">
        <v>38</v>
      </c>
      <c r="B734" t="s">
        <v>2659</v>
      </c>
      <c r="C734" t="s">
        <v>2660</v>
      </c>
      <c r="D734" t="s">
        <v>2259</v>
      </c>
      <c r="E734">
        <v>4.4000000000000004</v>
      </c>
      <c r="F734" s="607" t="s">
        <v>3022</v>
      </c>
    </row>
    <row r="735" spans="1:6" x14ac:dyDescent="0.2">
      <c r="A735" t="s">
        <v>2661</v>
      </c>
      <c r="E735">
        <v>0</v>
      </c>
    </row>
    <row r="736" spans="1:6" x14ac:dyDescent="0.2">
      <c r="A736">
        <v>39</v>
      </c>
      <c r="B736" t="s">
        <v>2662</v>
      </c>
      <c r="C736" t="s">
        <v>2663</v>
      </c>
      <c r="D736" t="s">
        <v>2259</v>
      </c>
      <c r="E736">
        <v>1.78</v>
      </c>
      <c r="F736" s="607" t="s">
        <v>3017</v>
      </c>
    </row>
    <row r="737" spans="1:6" x14ac:dyDescent="0.2">
      <c r="A737">
        <v>40</v>
      </c>
      <c r="B737" t="s">
        <v>2664</v>
      </c>
      <c r="C737" t="s">
        <v>2665</v>
      </c>
      <c r="D737" t="s">
        <v>2259</v>
      </c>
      <c r="E737">
        <v>2.1</v>
      </c>
      <c r="F737" s="607" t="s">
        <v>3018</v>
      </c>
    </row>
    <row r="738" spans="1:6" x14ac:dyDescent="0.2">
      <c r="A738">
        <v>41</v>
      </c>
      <c r="B738" t="s">
        <v>2666</v>
      </c>
      <c r="C738" t="s">
        <v>2665</v>
      </c>
      <c r="D738" t="s">
        <v>2259</v>
      </c>
      <c r="E738">
        <v>2.29</v>
      </c>
      <c r="F738" s="607" t="s">
        <v>3018</v>
      </c>
    </row>
    <row r="739" spans="1:6" x14ac:dyDescent="0.2">
      <c r="A739">
        <v>42</v>
      </c>
      <c r="B739" t="s">
        <v>2667</v>
      </c>
      <c r="C739" t="s">
        <v>2665</v>
      </c>
      <c r="D739" t="s">
        <v>2259</v>
      </c>
      <c r="E739">
        <v>2.3660000000000001</v>
      </c>
      <c r="F739" s="607" t="s">
        <v>3018</v>
      </c>
    </row>
    <row r="740" spans="1:6" x14ac:dyDescent="0.2">
      <c r="A740">
        <v>43</v>
      </c>
      <c r="B740" t="s">
        <v>2668</v>
      </c>
      <c r="C740" t="s">
        <v>2669</v>
      </c>
      <c r="D740" t="s">
        <v>2259</v>
      </c>
      <c r="E740">
        <v>2.48</v>
      </c>
      <c r="F740" s="607" t="s">
        <v>2929</v>
      </c>
    </row>
    <row r="741" spans="1:6" x14ac:dyDescent="0.2">
      <c r="A741">
        <v>44</v>
      </c>
      <c r="B741" t="s">
        <v>2670</v>
      </c>
      <c r="C741" t="s">
        <v>2671</v>
      </c>
      <c r="D741" t="s">
        <v>2259</v>
      </c>
      <c r="E741">
        <v>2.5680000000000001</v>
      </c>
      <c r="F741" s="607" t="s">
        <v>2930</v>
      </c>
    </row>
    <row r="742" spans="1:6" x14ac:dyDescent="0.2">
      <c r="A742">
        <v>45</v>
      </c>
      <c r="B742" t="s">
        <v>2672</v>
      </c>
      <c r="C742" t="s">
        <v>2673</v>
      </c>
      <c r="D742" t="s">
        <v>2259</v>
      </c>
      <c r="E742">
        <v>2.6120000000000001</v>
      </c>
      <c r="F742" s="607" t="s">
        <v>2931</v>
      </c>
    </row>
    <row r="743" spans="1:6" x14ac:dyDescent="0.2">
      <c r="A743">
        <v>46</v>
      </c>
      <c r="B743" t="s">
        <v>2674</v>
      </c>
      <c r="C743" t="s">
        <v>2675</v>
      </c>
      <c r="D743" t="s">
        <v>2259</v>
      </c>
      <c r="E743">
        <v>2.7</v>
      </c>
      <c r="F743" s="607" t="s">
        <v>2932</v>
      </c>
    </row>
    <row r="744" spans="1:6" x14ac:dyDescent="0.2">
      <c r="A744">
        <v>47</v>
      </c>
      <c r="B744" t="s">
        <v>2676</v>
      </c>
      <c r="C744" t="s">
        <v>2677</v>
      </c>
      <c r="D744" t="s">
        <v>2259</v>
      </c>
      <c r="E744">
        <v>2.7879999999999998</v>
      </c>
      <c r="F744" s="607" t="s">
        <v>2933</v>
      </c>
    </row>
    <row r="745" spans="1:6" x14ac:dyDescent="0.2">
      <c r="A745">
        <v>48</v>
      </c>
      <c r="B745" t="s">
        <v>2678</v>
      </c>
      <c r="C745" t="s">
        <v>2679</v>
      </c>
      <c r="D745" t="s">
        <v>2259</v>
      </c>
      <c r="E745">
        <v>2.92</v>
      </c>
      <c r="F745" s="607" t="s">
        <v>3019</v>
      </c>
    </row>
    <row r="746" spans="1:6" x14ac:dyDescent="0.2">
      <c r="A746">
        <v>49</v>
      </c>
      <c r="B746" t="s">
        <v>2680</v>
      </c>
      <c r="C746" t="s">
        <v>2681</v>
      </c>
      <c r="D746" t="s">
        <v>2259</v>
      </c>
      <c r="E746">
        <v>3.0259999999999998</v>
      </c>
      <c r="F746" s="607" t="s">
        <v>2935</v>
      </c>
    </row>
    <row r="747" spans="1:6" x14ac:dyDescent="0.2">
      <c r="A747">
        <v>50</v>
      </c>
      <c r="B747" t="s">
        <v>2682</v>
      </c>
      <c r="C747" t="s">
        <v>2683</v>
      </c>
      <c r="D747" t="s">
        <v>2259</v>
      </c>
      <c r="E747">
        <v>3.0790000000000002</v>
      </c>
      <c r="F747" s="607" t="s">
        <v>2936</v>
      </c>
    </row>
    <row r="748" spans="1:6" x14ac:dyDescent="0.2">
      <c r="A748">
        <v>51</v>
      </c>
      <c r="B748" t="s">
        <v>2684</v>
      </c>
      <c r="C748" t="s">
        <v>2685</v>
      </c>
      <c r="D748" t="s">
        <v>2259</v>
      </c>
      <c r="E748">
        <v>3.1850000000000001</v>
      </c>
      <c r="F748" s="607" t="s">
        <v>2937</v>
      </c>
    </row>
    <row r="749" spans="1:6" x14ac:dyDescent="0.2">
      <c r="A749">
        <v>52</v>
      </c>
      <c r="B749" t="s">
        <v>2686</v>
      </c>
      <c r="C749" t="s">
        <v>2687</v>
      </c>
      <c r="D749" t="s">
        <v>2259</v>
      </c>
      <c r="E749">
        <v>3.2909999999999999</v>
      </c>
      <c r="F749" s="607" t="s">
        <v>2938</v>
      </c>
    </row>
    <row r="750" spans="1:6" x14ac:dyDescent="0.2">
      <c r="A750">
        <v>53</v>
      </c>
      <c r="B750" t="s">
        <v>2688</v>
      </c>
      <c r="C750" t="s">
        <v>2689</v>
      </c>
      <c r="D750" t="s">
        <v>2259</v>
      </c>
      <c r="E750">
        <v>3.45</v>
      </c>
      <c r="F750" s="607" t="s">
        <v>3020</v>
      </c>
    </row>
    <row r="751" spans="1:6" x14ac:dyDescent="0.2">
      <c r="A751">
        <v>54</v>
      </c>
      <c r="B751" t="s">
        <v>2690</v>
      </c>
      <c r="C751" t="s">
        <v>2691</v>
      </c>
      <c r="D751" t="s">
        <v>2259</v>
      </c>
      <c r="E751">
        <v>3.5739999999999998</v>
      </c>
      <c r="F751" s="607" t="s">
        <v>2940</v>
      </c>
    </row>
    <row r="752" spans="1:6" x14ac:dyDescent="0.2">
      <c r="A752">
        <v>55</v>
      </c>
      <c r="B752" t="s">
        <v>2692</v>
      </c>
      <c r="C752" t="s">
        <v>2693</v>
      </c>
      <c r="D752" t="s">
        <v>2259</v>
      </c>
      <c r="E752">
        <v>3.76</v>
      </c>
      <c r="F752" s="607" t="s">
        <v>2941</v>
      </c>
    </row>
    <row r="753" spans="1:6" x14ac:dyDescent="0.2">
      <c r="A753">
        <v>56</v>
      </c>
      <c r="B753" t="s">
        <v>2694</v>
      </c>
      <c r="C753" t="s">
        <v>2695</v>
      </c>
      <c r="D753" t="s">
        <v>2259</v>
      </c>
      <c r="E753">
        <v>4.07</v>
      </c>
      <c r="F753" s="607" t="s">
        <v>3021</v>
      </c>
    </row>
    <row r="754" spans="1:6" x14ac:dyDescent="0.2">
      <c r="A754">
        <v>57</v>
      </c>
      <c r="B754" t="s">
        <v>2696</v>
      </c>
      <c r="C754" t="s">
        <v>2697</v>
      </c>
      <c r="D754" t="s">
        <v>2259</v>
      </c>
      <c r="E754">
        <v>4.8</v>
      </c>
      <c r="F754" s="607" t="s">
        <v>3022</v>
      </c>
    </row>
    <row r="755" spans="1:6" x14ac:dyDescent="0.2">
      <c r="A755" t="s">
        <v>2698</v>
      </c>
      <c r="E755">
        <v>0</v>
      </c>
    </row>
    <row r="756" spans="1:6" x14ac:dyDescent="0.2">
      <c r="A756" t="s">
        <v>2699</v>
      </c>
      <c r="E756">
        <v>0</v>
      </c>
    </row>
    <row r="757" spans="1:6" x14ac:dyDescent="0.2">
      <c r="A757">
        <v>1</v>
      </c>
      <c r="B757" t="s">
        <v>1540</v>
      </c>
      <c r="C757" t="s">
        <v>2700</v>
      </c>
      <c r="D757" t="s">
        <v>2259</v>
      </c>
      <c r="E757">
        <v>1.55</v>
      </c>
      <c r="F757" s="607" t="s">
        <v>3017</v>
      </c>
    </row>
    <row r="758" spans="1:6" x14ac:dyDescent="0.2">
      <c r="A758">
        <v>2</v>
      </c>
      <c r="B758" t="s">
        <v>1549</v>
      </c>
      <c r="C758" t="s">
        <v>2701</v>
      </c>
      <c r="D758" t="s">
        <v>2259</v>
      </c>
      <c r="E758">
        <v>1.83</v>
      </c>
      <c r="F758" s="607" t="s">
        <v>3018</v>
      </c>
    </row>
    <row r="759" spans="1:6" x14ac:dyDescent="0.2">
      <c r="A759">
        <v>3</v>
      </c>
      <c r="B759" t="s">
        <v>1558</v>
      </c>
      <c r="C759" t="s">
        <v>2702</v>
      </c>
      <c r="D759" t="s">
        <v>2259</v>
      </c>
      <c r="E759">
        <v>1.9950000000000001</v>
      </c>
      <c r="F759" s="607" t="s">
        <v>2927</v>
      </c>
    </row>
    <row r="760" spans="1:6" x14ac:dyDescent="0.2">
      <c r="A760">
        <v>4</v>
      </c>
      <c r="B760" t="s">
        <v>1566</v>
      </c>
      <c r="C760" t="s">
        <v>2703</v>
      </c>
      <c r="D760" t="s">
        <v>2259</v>
      </c>
      <c r="E760">
        <v>2.0609999999999999</v>
      </c>
      <c r="F760" s="607" t="s">
        <v>2928</v>
      </c>
    </row>
    <row r="761" spans="1:6" x14ac:dyDescent="0.2">
      <c r="A761">
        <v>5</v>
      </c>
      <c r="B761" t="s">
        <v>1574</v>
      </c>
      <c r="C761" t="s">
        <v>2704</v>
      </c>
      <c r="D761" t="s">
        <v>2259</v>
      </c>
      <c r="E761">
        <v>2.16</v>
      </c>
      <c r="F761" s="607" t="s">
        <v>2929</v>
      </c>
    </row>
    <row r="762" spans="1:6" x14ac:dyDescent="0.2">
      <c r="A762">
        <v>6</v>
      </c>
      <c r="B762" t="s">
        <v>1583</v>
      </c>
      <c r="C762" t="s">
        <v>2705</v>
      </c>
      <c r="D762" t="s">
        <v>2259</v>
      </c>
      <c r="E762">
        <v>2.238</v>
      </c>
      <c r="F762" s="607" t="s">
        <v>2930</v>
      </c>
    </row>
    <row r="763" spans="1:6" x14ac:dyDescent="0.2">
      <c r="A763">
        <v>7</v>
      </c>
      <c r="B763" t="s">
        <v>1591</v>
      </c>
      <c r="C763" t="s">
        <v>2706</v>
      </c>
      <c r="D763" t="s">
        <v>2259</v>
      </c>
      <c r="E763">
        <v>2.2770000000000001</v>
      </c>
      <c r="F763" s="607" t="s">
        <v>2931</v>
      </c>
    </row>
    <row r="764" spans="1:6" x14ac:dyDescent="0.2">
      <c r="A764">
        <v>8</v>
      </c>
      <c r="B764" t="s">
        <v>1599</v>
      </c>
      <c r="C764" t="s">
        <v>2707</v>
      </c>
      <c r="D764" t="s">
        <v>2259</v>
      </c>
      <c r="E764">
        <v>2.355</v>
      </c>
      <c r="F764" s="607" t="s">
        <v>2932</v>
      </c>
    </row>
    <row r="765" spans="1:6" x14ac:dyDescent="0.2">
      <c r="A765">
        <v>9</v>
      </c>
      <c r="B765" t="s">
        <v>1607</v>
      </c>
      <c r="C765" t="s">
        <v>2708</v>
      </c>
      <c r="D765" t="s">
        <v>2259</v>
      </c>
      <c r="E765">
        <v>2.4300000000000002</v>
      </c>
      <c r="F765" s="607" t="s">
        <v>2933</v>
      </c>
    </row>
    <row r="766" spans="1:6" x14ac:dyDescent="0.2">
      <c r="A766">
        <v>10</v>
      </c>
      <c r="B766" t="s">
        <v>1615</v>
      </c>
      <c r="C766" t="s">
        <v>2709</v>
      </c>
      <c r="D766" t="s">
        <v>2259</v>
      </c>
      <c r="E766">
        <v>2.5499999999999998</v>
      </c>
      <c r="F766" s="607" t="s">
        <v>3019</v>
      </c>
    </row>
    <row r="767" spans="1:6" x14ac:dyDescent="0.2">
      <c r="A767">
        <v>11</v>
      </c>
      <c r="B767" t="s">
        <v>1624</v>
      </c>
      <c r="C767" t="s">
        <v>2710</v>
      </c>
      <c r="D767" t="s">
        <v>2259</v>
      </c>
      <c r="E767">
        <v>2.6419999999999999</v>
      </c>
      <c r="F767" s="607" t="s">
        <v>2935</v>
      </c>
    </row>
    <row r="768" spans="1:6" x14ac:dyDescent="0.2">
      <c r="A768">
        <v>12</v>
      </c>
      <c r="B768" t="s">
        <v>1632</v>
      </c>
      <c r="C768" t="s">
        <v>2711</v>
      </c>
      <c r="D768" t="s">
        <v>2259</v>
      </c>
      <c r="E768">
        <v>2.6880000000000002</v>
      </c>
      <c r="F768" s="607" t="s">
        <v>2936</v>
      </c>
    </row>
    <row r="769" spans="1:6" x14ac:dyDescent="0.2">
      <c r="A769">
        <v>13</v>
      </c>
      <c r="B769" t="s">
        <v>1640</v>
      </c>
      <c r="C769" t="s">
        <v>2712</v>
      </c>
      <c r="D769" t="s">
        <v>2259</v>
      </c>
      <c r="E769">
        <v>2.78</v>
      </c>
      <c r="F769" s="607" t="s">
        <v>2937</v>
      </c>
    </row>
    <row r="770" spans="1:6" x14ac:dyDescent="0.2">
      <c r="A770">
        <v>14</v>
      </c>
      <c r="B770" t="s">
        <v>1648</v>
      </c>
      <c r="C770" t="s">
        <v>2713</v>
      </c>
      <c r="D770" t="s">
        <v>2259</v>
      </c>
      <c r="E770">
        <v>2.8719999999999999</v>
      </c>
      <c r="F770" s="607" t="s">
        <v>2938</v>
      </c>
    </row>
    <row r="771" spans="1:6" x14ac:dyDescent="0.2">
      <c r="A771">
        <v>15</v>
      </c>
      <c r="B771" t="s">
        <v>1656</v>
      </c>
      <c r="C771" t="s">
        <v>2714</v>
      </c>
      <c r="D771" t="s">
        <v>2259</v>
      </c>
      <c r="E771">
        <v>3.01</v>
      </c>
      <c r="F771" s="607" t="s">
        <v>3020</v>
      </c>
    </row>
    <row r="772" spans="1:6" x14ac:dyDescent="0.2">
      <c r="A772">
        <v>16</v>
      </c>
      <c r="B772" t="s">
        <v>1665</v>
      </c>
      <c r="C772" t="s">
        <v>2715</v>
      </c>
      <c r="D772" t="s">
        <v>2259</v>
      </c>
      <c r="E772">
        <v>3.12</v>
      </c>
      <c r="F772" s="607" t="s">
        <v>2940</v>
      </c>
    </row>
    <row r="773" spans="1:6" x14ac:dyDescent="0.2">
      <c r="A773">
        <v>17</v>
      </c>
      <c r="B773" t="s">
        <v>1673</v>
      </c>
      <c r="C773" t="s">
        <v>2716</v>
      </c>
      <c r="D773" t="s">
        <v>2259</v>
      </c>
      <c r="E773">
        <v>3.2850000000000001</v>
      </c>
      <c r="F773" s="607" t="s">
        <v>2941</v>
      </c>
    </row>
    <row r="774" spans="1:6" x14ac:dyDescent="0.2">
      <c r="A774">
        <v>18</v>
      </c>
      <c r="B774" t="s">
        <v>1681</v>
      </c>
      <c r="C774" t="s">
        <v>2717</v>
      </c>
      <c r="D774" t="s">
        <v>2259</v>
      </c>
      <c r="E774">
        <v>3.56</v>
      </c>
      <c r="F774" s="607" t="s">
        <v>3021</v>
      </c>
    </row>
    <row r="775" spans="1:6" x14ac:dyDescent="0.2">
      <c r="A775">
        <v>19</v>
      </c>
      <c r="B775" t="s">
        <v>1690</v>
      </c>
      <c r="C775" t="s">
        <v>2718</v>
      </c>
      <c r="D775" t="s">
        <v>2259</v>
      </c>
      <c r="E775">
        <v>4.2</v>
      </c>
      <c r="F775" s="607" t="s">
        <v>3022</v>
      </c>
    </row>
    <row r="776" spans="1:6" x14ac:dyDescent="0.2">
      <c r="A776" t="s">
        <v>2622</v>
      </c>
      <c r="E776">
        <v>0</v>
      </c>
    </row>
    <row r="777" spans="1:6" x14ac:dyDescent="0.2">
      <c r="A777">
        <v>20</v>
      </c>
      <c r="B777" t="s">
        <v>2719</v>
      </c>
      <c r="C777" t="s">
        <v>2720</v>
      </c>
      <c r="D777" t="s">
        <v>2259</v>
      </c>
      <c r="E777">
        <v>1.67</v>
      </c>
      <c r="F777" s="607" t="s">
        <v>3017</v>
      </c>
    </row>
    <row r="778" spans="1:6" x14ac:dyDescent="0.2">
      <c r="A778">
        <v>21</v>
      </c>
      <c r="B778" t="s">
        <v>2721</v>
      </c>
      <c r="C778" t="s">
        <v>2722</v>
      </c>
      <c r="D778" t="s">
        <v>2259</v>
      </c>
      <c r="E778">
        <v>1.96</v>
      </c>
      <c r="F778" s="607" t="s">
        <v>3018</v>
      </c>
    </row>
    <row r="779" spans="1:6" x14ac:dyDescent="0.2">
      <c r="A779">
        <v>22</v>
      </c>
      <c r="B779" t="s">
        <v>2723</v>
      </c>
      <c r="C779" t="s">
        <v>2724</v>
      </c>
      <c r="D779" t="s">
        <v>2259</v>
      </c>
      <c r="E779">
        <v>2.1349999999999998</v>
      </c>
      <c r="F779" s="607" t="s">
        <v>2927</v>
      </c>
    </row>
    <row r="780" spans="1:6" x14ac:dyDescent="0.2">
      <c r="A780">
        <v>23</v>
      </c>
      <c r="B780" t="s">
        <v>2725</v>
      </c>
      <c r="C780" t="s">
        <v>2726</v>
      </c>
      <c r="D780" t="s">
        <v>2259</v>
      </c>
      <c r="E780">
        <v>2.2050000000000001</v>
      </c>
      <c r="F780" s="607" t="s">
        <v>2928</v>
      </c>
    </row>
    <row r="781" spans="1:6" x14ac:dyDescent="0.2">
      <c r="A781">
        <v>24</v>
      </c>
      <c r="B781" t="s">
        <v>2727</v>
      </c>
      <c r="C781" t="s">
        <v>2728</v>
      </c>
      <c r="D781" t="s">
        <v>2259</v>
      </c>
      <c r="E781">
        <v>2.31</v>
      </c>
      <c r="F781" s="607" t="s">
        <v>2929</v>
      </c>
    </row>
    <row r="782" spans="1:6" x14ac:dyDescent="0.2">
      <c r="A782">
        <v>25</v>
      </c>
      <c r="B782" t="s">
        <v>2729</v>
      </c>
      <c r="C782" t="s">
        <v>2730</v>
      </c>
      <c r="D782" t="s">
        <v>2259</v>
      </c>
      <c r="E782">
        <v>2.39</v>
      </c>
      <c r="F782" s="607" t="s">
        <v>2930</v>
      </c>
    </row>
    <row r="783" spans="1:6" x14ac:dyDescent="0.2">
      <c r="A783">
        <v>26</v>
      </c>
      <c r="B783" t="s">
        <v>2731</v>
      </c>
      <c r="C783" t="s">
        <v>2732</v>
      </c>
      <c r="D783" t="s">
        <v>2259</v>
      </c>
      <c r="E783">
        <v>2.4300000000000002</v>
      </c>
      <c r="F783" s="607" t="s">
        <v>2931</v>
      </c>
    </row>
    <row r="784" spans="1:6" x14ac:dyDescent="0.2">
      <c r="A784">
        <v>27</v>
      </c>
      <c r="B784" t="s">
        <v>2733</v>
      </c>
      <c r="C784" t="s">
        <v>2734</v>
      </c>
      <c r="D784" t="s">
        <v>2259</v>
      </c>
      <c r="E784">
        <v>2.5099999999999998</v>
      </c>
      <c r="F784" s="607" t="s">
        <v>2932</v>
      </c>
    </row>
    <row r="785" spans="1:6" x14ac:dyDescent="0.2">
      <c r="A785">
        <v>28</v>
      </c>
      <c r="B785" t="s">
        <v>2735</v>
      </c>
      <c r="C785" t="s">
        <v>2736</v>
      </c>
      <c r="D785" t="s">
        <v>2259</v>
      </c>
      <c r="E785">
        <v>2.59</v>
      </c>
      <c r="F785" s="607" t="s">
        <v>2933</v>
      </c>
    </row>
    <row r="786" spans="1:6" x14ac:dyDescent="0.2">
      <c r="A786">
        <v>29</v>
      </c>
      <c r="B786" t="s">
        <v>2737</v>
      </c>
      <c r="C786" t="s">
        <v>2738</v>
      </c>
      <c r="D786" t="s">
        <v>2259</v>
      </c>
      <c r="E786">
        <v>2.71</v>
      </c>
      <c r="F786" s="607" t="s">
        <v>3019</v>
      </c>
    </row>
    <row r="787" spans="1:6" x14ac:dyDescent="0.2">
      <c r="A787">
        <v>30</v>
      </c>
      <c r="B787" t="s">
        <v>2739</v>
      </c>
      <c r="C787" t="s">
        <v>2740</v>
      </c>
      <c r="D787" t="s">
        <v>2259</v>
      </c>
      <c r="E787">
        <v>2.806</v>
      </c>
      <c r="F787" s="607" t="s">
        <v>2935</v>
      </c>
    </row>
    <row r="788" spans="1:6" x14ac:dyDescent="0.2">
      <c r="A788">
        <v>31</v>
      </c>
      <c r="B788" t="s">
        <v>2741</v>
      </c>
      <c r="C788" t="s">
        <v>2742</v>
      </c>
      <c r="D788" t="s">
        <v>2259</v>
      </c>
      <c r="E788">
        <v>2.8540000000000001</v>
      </c>
      <c r="F788" s="607" t="s">
        <v>2936</v>
      </c>
    </row>
    <row r="789" spans="1:6" x14ac:dyDescent="0.2">
      <c r="A789">
        <v>32</v>
      </c>
      <c r="B789" t="s">
        <v>2743</v>
      </c>
      <c r="C789" t="s">
        <v>2744</v>
      </c>
      <c r="D789" t="s">
        <v>2259</v>
      </c>
      <c r="E789">
        <v>2.95</v>
      </c>
      <c r="F789" s="607" t="s">
        <v>2937</v>
      </c>
    </row>
    <row r="790" spans="1:6" x14ac:dyDescent="0.2">
      <c r="A790">
        <v>33</v>
      </c>
      <c r="B790" t="s">
        <v>2745</v>
      </c>
      <c r="C790" t="s">
        <v>2746</v>
      </c>
      <c r="D790" t="s">
        <v>2259</v>
      </c>
      <c r="E790">
        <v>3.0459999999999998</v>
      </c>
      <c r="F790" s="607" t="s">
        <v>2938</v>
      </c>
    </row>
    <row r="791" spans="1:6" x14ac:dyDescent="0.2">
      <c r="A791">
        <v>34</v>
      </c>
      <c r="B791" t="s">
        <v>2747</v>
      </c>
      <c r="C791" t="s">
        <v>2748</v>
      </c>
      <c r="D791" t="s">
        <v>2259</v>
      </c>
      <c r="E791">
        <v>3.19</v>
      </c>
      <c r="F791" s="607" t="s">
        <v>3020</v>
      </c>
    </row>
    <row r="792" spans="1:6" x14ac:dyDescent="0.2">
      <c r="A792">
        <v>35</v>
      </c>
      <c r="B792" t="s">
        <v>2749</v>
      </c>
      <c r="C792" t="s">
        <v>2750</v>
      </c>
      <c r="D792" t="s">
        <v>2259</v>
      </c>
      <c r="E792">
        <v>3.3</v>
      </c>
      <c r="F792" s="607" t="s">
        <v>2940</v>
      </c>
    </row>
    <row r="793" spans="1:6" x14ac:dyDescent="0.2">
      <c r="A793">
        <v>36</v>
      </c>
      <c r="B793" t="s">
        <v>2751</v>
      </c>
      <c r="C793" t="s">
        <v>2752</v>
      </c>
      <c r="D793" t="s">
        <v>2259</v>
      </c>
      <c r="E793">
        <v>3.4649999999999999</v>
      </c>
      <c r="F793" s="607" t="s">
        <v>2941</v>
      </c>
    </row>
    <row r="794" spans="1:6" x14ac:dyDescent="0.2">
      <c r="A794">
        <v>37</v>
      </c>
      <c r="B794" t="s">
        <v>2753</v>
      </c>
      <c r="C794" t="s">
        <v>2754</v>
      </c>
      <c r="D794" t="s">
        <v>2259</v>
      </c>
      <c r="E794">
        <v>3.74</v>
      </c>
      <c r="F794" s="607" t="s">
        <v>3021</v>
      </c>
    </row>
    <row r="795" spans="1:6" x14ac:dyDescent="0.2">
      <c r="A795">
        <v>38</v>
      </c>
      <c r="B795" t="s">
        <v>2755</v>
      </c>
      <c r="C795" t="s">
        <v>2756</v>
      </c>
      <c r="D795" t="s">
        <v>2259</v>
      </c>
      <c r="E795">
        <v>4.4000000000000004</v>
      </c>
      <c r="F795" s="607" t="s">
        <v>3022</v>
      </c>
    </row>
    <row r="796" spans="1:6" x14ac:dyDescent="0.2">
      <c r="A796" t="s">
        <v>2661</v>
      </c>
      <c r="E796">
        <v>0</v>
      </c>
    </row>
    <row r="797" spans="1:6" x14ac:dyDescent="0.2">
      <c r="A797">
        <v>39</v>
      </c>
      <c r="B797" t="s">
        <v>2757</v>
      </c>
      <c r="C797" t="s">
        <v>2758</v>
      </c>
      <c r="D797" t="s">
        <v>2259</v>
      </c>
      <c r="E797">
        <v>1.85</v>
      </c>
      <c r="F797" s="607" t="s">
        <v>3017</v>
      </c>
    </row>
    <row r="798" spans="1:6" x14ac:dyDescent="0.2">
      <c r="A798">
        <v>40</v>
      </c>
      <c r="B798" t="s">
        <v>2759</v>
      </c>
      <c r="C798" t="s">
        <v>2760</v>
      </c>
      <c r="D798" t="s">
        <v>2259</v>
      </c>
      <c r="E798">
        <v>2.1800000000000002</v>
      </c>
      <c r="F798" s="607" t="s">
        <v>3018</v>
      </c>
    </row>
    <row r="799" spans="1:6" x14ac:dyDescent="0.2">
      <c r="A799">
        <v>41</v>
      </c>
      <c r="B799" t="s">
        <v>2761</v>
      </c>
      <c r="C799" t="s">
        <v>2762</v>
      </c>
      <c r="D799" t="s">
        <v>2259</v>
      </c>
      <c r="E799">
        <v>2.37</v>
      </c>
      <c r="F799" s="607" t="s">
        <v>2927</v>
      </c>
    </row>
    <row r="800" spans="1:6" x14ac:dyDescent="0.2">
      <c r="A800">
        <v>42</v>
      </c>
      <c r="B800" t="s">
        <v>2763</v>
      </c>
      <c r="C800" t="s">
        <v>2764</v>
      </c>
      <c r="D800" t="s">
        <v>2259</v>
      </c>
      <c r="E800">
        <v>2.4460000000000002</v>
      </c>
      <c r="F800" s="607" t="s">
        <v>2928</v>
      </c>
    </row>
    <row r="801" spans="1:6" x14ac:dyDescent="0.2">
      <c r="A801">
        <v>43</v>
      </c>
      <c r="B801" t="s">
        <v>2765</v>
      </c>
      <c r="C801" t="s">
        <v>2766</v>
      </c>
      <c r="D801" t="s">
        <v>2259</v>
      </c>
      <c r="E801">
        <v>2.56</v>
      </c>
      <c r="F801" s="607" t="s">
        <v>2929</v>
      </c>
    </row>
    <row r="802" spans="1:6" x14ac:dyDescent="0.2">
      <c r="A802">
        <v>44</v>
      </c>
      <c r="B802" t="s">
        <v>2767</v>
      </c>
      <c r="C802" t="s">
        <v>2768</v>
      </c>
      <c r="D802" t="s">
        <v>2259</v>
      </c>
      <c r="E802">
        <v>2.65</v>
      </c>
      <c r="F802" s="607" t="s">
        <v>2930</v>
      </c>
    </row>
    <row r="803" spans="1:6" x14ac:dyDescent="0.2">
      <c r="A803">
        <v>45</v>
      </c>
      <c r="B803" t="s">
        <v>2769</v>
      </c>
      <c r="C803" t="s">
        <v>2770</v>
      </c>
      <c r="D803" t="s">
        <v>2259</v>
      </c>
      <c r="E803">
        <v>2.6949999999999998</v>
      </c>
      <c r="F803" s="607" t="s">
        <v>2931</v>
      </c>
    </row>
    <row r="804" spans="1:6" x14ac:dyDescent="0.2">
      <c r="A804">
        <v>46</v>
      </c>
      <c r="B804" t="s">
        <v>2771</v>
      </c>
      <c r="C804" t="s">
        <v>2772</v>
      </c>
      <c r="D804" t="s">
        <v>2259</v>
      </c>
      <c r="E804">
        <v>2.7850000000000001</v>
      </c>
      <c r="F804" s="607" t="s">
        <v>2932</v>
      </c>
    </row>
    <row r="805" spans="1:6" x14ac:dyDescent="0.2">
      <c r="A805">
        <v>47</v>
      </c>
      <c r="B805" t="s">
        <v>2773</v>
      </c>
      <c r="C805" t="s">
        <v>2774</v>
      </c>
      <c r="D805" t="s">
        <v>2259</v>
      </c>
      <c r="E805">
        <v>2.875</v>
      </c>
      <c r="F805" s="607" t="s">
        <v>2933</v>
      </c>
    </row>
    <row r="806" spans="1:6" x14ac:dyDescent="0.2">
      <c r="A806">
        <v>48</v>
      </c>
      <c r="B806" t="s">
        <v>2775</v>
      </c>
      <c r="C806" t="s">
        <v>2776</v>
      </c>
      <c r="D806" t="s">
        <v>2259</v>
      </c>
      <c r="E806">
        <v>3.01</v>
      </c>
      <c r="F806" s="607" t="s">
        <v>3019</v>
      </c>
    </row>
    <row r="807" spans="1:6" x14ac:dyDescent="0.2">
      <c r="A807">
        <v>49</v>
      </c>
      <c r="B807" t="s">
        <v>2777</v>
      </c>
      <c r="C807" t="s">
        <v>2778</v>
      </c>
      <c r="D807" t="s">
        <v>2259</v>
      </c>
      <c r="E807">
        <v>3.1160000000000001</v>
      </c>
      <c r="F807" s="607" t="s">
        <v>2935</v>
      </c>
    </row>
    <row r="808" spans="1:6" x14ac:dyDescent="0.2">
      <c r="A808">
        <v>50</v>
      </c>
      <c r="B808" t="s">
        <v>2779</v>
      </c>
      <c r="C808" t="s">
        <v>2780</v>
      </c>
      <c r="D808" t="s">
        <v>2259</v>
      </c>
      <c r="E808">
        <v>3.169</v>
      </c>
      <c r="F808" s="607" t="s">
        <v>2936</v>
      </c>
    </row>
    <row r="809" spans="1:6" x14ac:dyDescent="0.2">
      <c r="A809">
        <v>51</v>
      </c>
      <c r="B809" t="s">
        <v>2781</v>
      </c>
      <c r="C809" t="s">
        <v>2782</v>
      </c>
      <c r="D809" t="s">
        <v>2259</v>
      </c>
      <c r="E809">
        <v>3.2749999999999999</v>
      </c>
      <c r="F809" s="607" t="s">
        <v>2937</v>
      </c>
    </row>
    <row r="810" spans="1:6" x14ac:dyDescent="0.2">
      <c r="A810">
        <v>52</v>
      </c>
      <c r="B810" t="s">
        <v>2783</v>
      </c>
      <c r="C810" t="s">
        <v>2784</v>
      </c>
      <c r="D810" t="s">
        <v>2259</v>
      </c>
      <c r="E810">
        <v>3.3809999999999998</v>
      </c>
      <c r="F810" s="607" t="s">
        <v>2938</v>
      </c>
    </row>
    <row r="811" spans="1:6" x14ac:dyDescent="0.2">
      <c r="A811">
        <v>53</v>
      </c>
      <c r="B811" t="s">
        <v>2785</v>
      </c>
      <c r="C811" t="s">
        <v>2786</v>
      </c>
      <c r="D811" t="s">
        <v>2259</v>
      </c>
      <c r="E811">
        <v>3.54</v>
      </c>
      <c r="F811" s="607" t="s">
        <v>3020</v>
      </c>
    </row>
    <row r="812" spans="1:6" x14ac:dyDescent="0.2">
      <c r="A812">
        <v>54</v>
      </c>
      <c r="B812" t="s">
        <v>2787</v>
      </c>
      <c r="C812" t="s">
        <v>2788</v>
      </c>
      <c r="D812" t="s">
        <v>2259</v>
      </c>
      <c r="E812">
        <v>3.6659999999999999</v>
      </c>
      <c r="F812" s="607" t="s">
        <v>2940</v>
      </c>
    </row>
    <row r="813" spans="1:6" x14ac:dyDescent="0.2">
      <c r="A813">
        <v>55</v>
      </c>
      <c r="B813" t="s">
        <v>2789</v>
      </c>
      <c r="C813" t="s">
        <v>2790</v>
      </c>
      <c r="D813" t="s">
        <v>2259</v>
      </c>
      <c r="E813">
        <v>3.855</v>
      </c>
      <c r="F813" s="607" t="s">
        <v>2941</v>
      </c>
    </row>
    <row r="814" spans="1:6" x14ac:dyDescent="0.2">
      <c r="A814">
        <v>56</v>
      </c>
      <c r="B814" t="s">
        <v>2791</v>
      </c>
      <c r="C814" t="s">
        <v>2792</v>
      </c>
      <c r="D814" t="s">
        <v>2259</v>
      </c>
      <c r="E814">
        <v>4.17</v>
      </c>
      <c r="F814" s="607" t="s">
        <v>3021</v>
      </c>
    </row>
    <row r="815" spans="1:6" x14ac:dyDescent="0.2">
      <c r="A815">
        <v>57</v>
      </c>
      <c r="B815" t="s">
        <v>2793</v>
      </c>
      <c r="C815" t="s">
        <v>2794</v>
      </c>
      <c r="D815" t="s">
        <v>2259</v>
      </c>
      <c r="E815">
        <v>4.9000000000000004</v>
      </c>
      <c r="F815" s="607" t="s">
        <v>3022</v>
      </c>
    </row>
    <row r="816" spans="1:6" x14ac:dyDescent="0.2">
      <c r="A816">
        <v>58</v>
      </c>
      <c r="B816" t="s">
        <v>1813</v>
      </c>
      <c r="C816" t="s">
        <v>1814</v>
      </c>
      <c r="D816" t="s">
        <v>2259</v>
      </c>
      <c r="E816">
        <v>2.1800000000000002</v>
      </c>
      <c r="F816" s="347" t="s">
        <v>2945</v>
      </c>
    </row>
    <row r="817" spans="1:6" x14ac:dyDescent="0.2">
      <c r="A817">
        <v>59</v>
      </c>
      <c r="B817" t="s">
        <v>1819</v>
      </c>
      <c r="C817" t="s">
        <v>1820</v>
      </c>
      <c r="D817" t="s">
        <v>2259</v>
      </c>
      <c r="E817">
        <v>2.57</v>
      </c>
      <c r="F817" s="347" t="s">
        <v>2946</v>
      </c>
    </row>
    <row r="818" spans="1:6" x14ac:dyDescent="0.2">
      <c r="A818">
        <v>60</v>
      </c>
      <c r="B818" t="s">
        <v>1825</v>
      </c>
      <c r="C818" t="s">
        <v>1826</v>
      </c>
      <c r="D818" t="s">
        <v>2259</v>
      </c>
      <c r="E818">
        <v>3.05</v>
      </c>
      <c r="F818" s="347" t="s">
        <v>2947</v>
      </c>
    </row>
    <row r="819" spans="1:6" x14ac:dyDescent="0.2">
      <c r="A819">
        <v>61</v>
      </c>
      <c r="B819" t="s">
        <v>1831</v>
      </c>
      <c r="C819" t="s">
        <v>1832</v>
      </c>
      <c r="D819" t="s">
        <v>2259</v>
      </c>
      <c r="E819">
        <v>3.6</v>
      </c>
      <c r="F819" s="347" t="s">
        <v>2948</v>
      </c>
    </row>
    <row r="820" spans="1:6" x14ac:dyDescent="0.2">
      <c r="A820">
        <v>62</v>
      </c>
      <c r="B820" t="s">
        <v>1836</v>
      </c>
      <c r="C820" t="s">
        <v>1837</v>
      </c>
      <c r="D820" t="s">
        <v>2259</v>
      </c>
      <c r="E820">
        <v>2.35</v>
      </c>
      <c r="F820" s="347" t="s">
        <v>2949</v>
      </c>
    </row>
    <row r="821" spans="1:6" x14ac:dyDescent="0.2">
      <c r="A821">
        <v>63</v>
      </c>
      <c r="B821" t="s">
        <v>1841</v>
      </c>
      <c r="C821" t="s">
        <v>1842</v>
      </c>
      <c r="D821" t="s">
        <v>2259</v>
      </c>
      <c r="E821">
        <v>2.76</v>
      </c>
      <c r="F821" s="347" t="s">
        <v>2950</v>
      </c>
    </row>
    <row r="822" spans="1:6" x14ac:dyDescent="0.2">
      <c r="A822">
        <v>64</v>
      </c>
      <c r="B822" t="s">
        <v>1846</v>
      </c>
      <c r="C822" t="s">
        <v>1847</v>
      </c>
      <c r="D822" t="s">
        <v>2259</v>
      </c>
      <c r="E822">
        <v>3.25</v>
      </c>
      <c r="F822" s="347" t="s">
        <v>2951</v>
      </c>
    </row>
    <row r="823" spans="1:6" x14ac:dyDescent="0.2">
      <c r="A823">
        <v>65</v>
      </c>
      <c r="B823" t="s">
        <v>1851</v>
      </c>
      <c r="C823" t="s">
        <v>1852</v>
      </c>
      <c r="D823" t="s">
        <v>2259</v>
      </c>
      <c r="E823">
        <v>3.82</v>
      </c>
      <c r="F823" s="347" t="s">
        <v>2952</v>
      </c>
    </row>
    <row r="824" spans="1:6" x14ac:dyDescent="0.2">
      <c r="A824">
        <v>66</v>
      </c>
      <c r="B824" t="s">
        <v>1857</v>
      </c>
      <c r="C824" t="s">
        <v>1858</v>
      </c>
      <c r="D824" t="s">
        <v>2259</v>
      </c>
      <c r="E824">
        <v>2.5099999999999998</v>
      </c>
      <c r="F824" s="347" t="s">
        <v>2953</v>
      </c>
    </row>
    <row r="825" spans="1:6" x14ac:dyDescent="0.2">
      <c r="A825">
        <v>67</v>
      </c>
      <c r="B825" t="s">
        <v>1863</v>
      </c>
      <c r="C825" t="s">
        <v>1864</v>
      </c>
      <c r="D825" t="s">
        <v>2259</v>
      </c>
      <c r="E825">
        <v>2.94</v>
      </c>
      <c r="F825" s="347" t="s">
        <v>2954</v>
      </c>
    </row>
    <row r="826" spans="1:6" x14ac:dyDescent="0.2">
      <c r="A826">
        <v>68</v>
      </c>
      <c r="B826" t="s">
        <v>1869</v>
      </c>
      <c r="C826" t="s">
        <v>1870</v>
      </c>
      <c r="D826" t="s">
        <v>2259</v>
      </c>
      <c r="E826">
        <v>3.44</v>
      </c>
      <c r="F826" s="347" t="s">
        <v>2955</v>
      </c>
    </row>
    <row r="827" spans="1:6" x14ac:dyDescent="0.2">
      <c r="A827">
        <v>69</v>
      </c>
      <c r="B827" t="s">
        <v>1875</v>
      </c>
      <c r="C827" t="s">
        <v>1876</v>
      </c>
      <c r="D827" t="s">
        <v>2259</v>
      </c>
      <c r="E827">
        <v>4.05</v>
      </c>
      <c r="F827" s="347" t="s">
        <v>2956</v>
      </c>
    </row>
    <row r="828" spans="1:6" x14ac:dyDescent="0.2">
      <c r="A828">
        <v>70</v>
      </c>
      <c r="B828" t="s">
        <v>1880</v>
      </c>
      <c r="C828" t="s">
        <v>1881</v>
      </c>
      <c r="D828" t="s">
        <v>2259</v>
      </c>
      <c r="E828">
        <v>2.66</v>
      </c>
      <c r="F828" s="347" t="s">
        <v>2957</v>
      </c>
    </row>
    <row r="829" spans="1:6" x14ac:dyDescent="0.2">
      <c r="A829">
        <v>71</v>
      </c>
      <c r="B829" t="s">
        <v>1885</v>
      </c>
      <c r="C829" t="s">
        <v>1886</v>
      </c>
      <c r="D829" t="s">
        <v>2259</v>
      </c>
      <c r="E829">
        <v>3.11</v>
      </c>
      <c r="F829" s="347" t="s">
        <v>2958</v>
      </c>
    </row>
    <row r="830" spans="1:6" x14ac:dyDescent="0.2">
      <c r="A830">
        <v>72</v>
      </c>
      <c r="B830" t="s">
        <v>1890</v>
      </c>
      <c r="C830" t="s">
        <v>1891</v>
      </c>
      <c r="D830" t="s">
        <v>2259</v>
      </c>
      <c r="E830">
        <v>3.64</v>
      </c>
      <c r="F830" s="347" t="s">
        <v>2959</v>
      </c>
    </row>
    <row r="831" spans="1:6" x14ac:dyDescent="0.2">
      <c r="A831">
        <v>73</v>
      </c>
      <c r="B831" t="s">
        <v>1895</v>
      </c>
      <c r="C831" t="s">
        <v>1896</v>
      </c>
      <c r="D831" t="s">
        <v>2259</v>
      </c>
      <c r="E831">
        <v>4.2</v>
      </c>
      <c r="F831" s="347" t="s">
        <v>2960</v>
      </c>
    </row>
    <row r="832" spans="1:6" x14ac:dyDescent="0.2">
      <c r="A832">
        <v>74</v>
      </c>
      <c r="B832" t="s">
        <v>1901</v>
      </c>
      <c r="C832" t="s">
        <v>1902</v>
      </c>
      <c r="D832" t="s">
        <v>2259</v>
      </c>
      <c r="E832">
        <v>2.99</v>
      </c>
      <c r="F832" s="347" t="s">
        <v>2961</v>
      </c>
    </row>
    <row r="833" spans="1:6" x14ac:dyDescent="0.2">
      <c r="A833">
        <v>75</v>
      </c>
      <c r="B833" t="s">
        <v>1907</v>
      </c>
      <c r="C833" t="s">
        <v>1908</v>
      </c>
      <c r="D833" t="s">
        <v>2259</v>
      </c>
      <c r="E833">
        <v>3.5</v>
      </c>
      <c r="F833" s="347" t="s">
        <v>2962</v>
      </c>
    </row>
    <row r="834" spans="1:6" x14ac:dyDescent="0.2">
      <c r="A834">
        <v>76</v>
      </c>
      <c r="B834" t="s">
        <v>1913</v>
      </c>
      <c r="C834" t="s">
        <v>1914</v>
      </c>
      <c r="D834" t="s">
        <v>2259</v>
      </c>
      <c r="E834">
        <v>4.1100000000000003</v>
      </c>
      <c r="F834" s="347" t="s">
        <v>2963</v>
      </c>
    </row>
    <row r="835" spans="1:6" x14ac:dyDescent="0.2">
      <c r="A835">
        <v>77</v>
      </c>
      <c r="B835" t="s">
        <v>1919</v>
      </c>
      <c r="C835" t="s">
        <v>1920</v>
      </c>
      <c r="D835" t="s">
        <v>2259</v>
      </c>
      <c r="E835">
        <v>4.82</v>
      </c>
      <c r="F835" s="347" t="s">
        <v>2964</v>
      </c>
    </row>
    <row r="836" spans="1:6" x14ac:dyDescent="0.2">
      <c r="A836">
        <v>78</v>
      </c>
      <c r="B836" t="s">
        <v>1924</v>
      </c>
      <c r="C836" t="s">
        <v>1925</v>
      </c>
      <c r="D836" t="s">
        <v>2259</v>
      </c>
      <c r="E836">
        <v>3.2</v>
      </c>
      <c r="F836" s="347" t="s">
        <v>2965</v>
      </c>
    </row>
    <row r="837" spans="1:6" x14ac:dyDescent="0.2">
      <c r="A837">
        <v>79</v>
      </c>
      <c r="B837" t="s">
        <v>1929</v>
      </c>
      <c r="C837" t="s">
        <v>1930</v>
      </c>
      <c r="D837" t="s">
        <v>2259</v>
      </c>
      <c r="E837">
        <v>3.75</v>
      </c>
      <c r="F837" s="347" t="s">
        <v>2966</v>
      </c>
    </row>
    <row r="838" spans="1:6" x14ac:dyDescent="0.2">
      <c r="A838">
        <v>80</v>
      </c>
      <c r="B838" t="s">
        <v>1934</v>
      </c>
      <c r="C838" t="s">
        <v>1935</v>
      </c>
      <c r="D838" t="s">
        <v>2259</v>
      </c>
      <c r="E838">
        <v>4.3899999999999997</v>
      </c>
      <c r="F838" t="s">
        <v>2967</v>
      </c>
    </row>
    <row r="839" spans="1:6" x14ac:dyDescent="0.2">
      <c r="A839">
        <v>81</v>
      </c>
      <c r="B839" t="s">
        <v>1939</v>
      </c>
      <c r="C839" t="s">
        <v>1940</v>
      </c>
      <c r="D839" t="s">
        <v>2259</v>
      </c>
      <c r="E839">
        <v>5.15</v>
      </c>
      <c r="F839" s="347" t="s">
        <v>2968</v>
      </c>
    </row>
    <row r="840" spans="1:6" x14ac:dyDescent="0.2">
      <c r="A840">
        <v>82</v>
      </c>
      <c r="B840" t="s">
        <v>2795</v>
      </c>
      <c r="C840" t="s">
        <v>2796</v>
      </c>
      <c r="D840" t="s">
        <v>2259</v>
      </c>
      <c r="E840">
        <v>5.58</v>
      </c>
    </row>
    <row r="841" spans="1:6" x14ac:dyDescent="0.2">
      <c r="A841">
        <v>83</v>
      </c>
      <c r="B841" t="s">
        <v>2797</v>
      </c>
      <c r="C841" t="s">
        <v>2798</v>
      </c>
      <c r="D841" t="s">
        <v>2259</v>
      </c>
      <c r="E841">
        <v>5.92</v>
      </c>
    </row>
    <row r="842" spans="1:6" x14ac:dyDescent="0.2">
      <c r="A842">
        <v>84</v>
      </c>
      <c r="B842" t="s">
        <v>2799</v>
      </c>
      <c r="C842" t="s">
        <v>2800</v>
      </c>
      <c r="D842" t="s">
        <v>2259</v>
      </c>
      <c r="E842">
        <v>6.26</v>
      </c>
    </row>
    <row r="843" spans="1:6" x14ac:dyDescent="0.2">
      <c r="A843">
        <v>85</v>
      </c>
      <c r="B843" t="s">
        <v>2801</v>
      </c>
      <c r="C843" t="s">
        <v>2802</v>
      </c>
      <c r="D843" t="s">
        <v>2259</v>
      </c>
      <c r="E843">
        <v>6.6</v>
      </c>
    </row>
    <row r="844" spans="1:6" x14ac:dyDescent="0.2">
      <c r="A844">
        <v>86</v>
      </c>
      <c r="B844" t="s">
        <v>2803</v>
      </c>
      <c r="C844" t="s">
        <v>2804</v>
      </c>
      <c r="D844" t="s">
        <v>2259</v>
      </c>
      <c r="E844">
        <v>4</v>
      </c>
    </row>
    <row r="845" spans="1:6" x14ac:dyDescent="0.2">
      <c r="A845">
        <v>87</v>
      </c>
      <c r="B845" t="s">
        <v>2805</v>
      </c>
      <c r="C845" t="s">
        <v>2806</v>
      </c>
      <c r="D845" t="s">
        <v>2259</v>
      </c>
      <c r="E845">
        <v>4.33</v>
      </c>
    </row>
    <row r="846" spans="1:6" x14ac:dyDescent="0.2">
      <c r="A846">
        <v>88</v>
      </c>
      <c r="B846" t="s">
        <v>2807</v>
      </c>
      <c r="C846" t="s">
        <v>2808</v>
      </c>
      <c r="D846" t="s">
        <v>2259</v>
      </c>
      <c r="E846">
        <v>4.66</v>
      </c>
    </row>
    <row r="847" spans="1:6" x14ac:dyDescent="0.2">
      <c r="A847">
        <v>89</v>
      </c>
      <c r="B847" t="s">
        <v>2809</v>
      </c>
      <c r="C847" t="s">
        <v>2810</v>
      </c>
      <c r="D847" t="s">
        <v>2259</v>
      </c>
      <c r="E847">
        <v>4.99</v>
      </c>
    </row>
    <row r="848" spans="1:6" x14ac:dyDescent="0.2">
      <c r="A848">
        <v>90</v>
      </c>
      <c r="B848" t="s">
        <v>2811</v>
      </c>
      <c r="C848" t="s">
        <v>2812</v>
      </c>
      <c r="D848" t="s">
        <v>2259</v>
      </c>
      <c r="E848">
        <v>5.32</v>
      </c>
    </row>
    <row r="849" spans="1:5" x14ac:dyDescent="0.2">
      <c r="A849">
        <v>91</v>
      </c>
      <c r="B849" t="s">
        <v>2813</v>
      </c>
      <c r="C849" t="s">
        <v>2814</v>
      </c>
      <c r="D849" t="s">
        <v>2259</v>
      </c>
      <c r="E849">
        <v>5.65</v>
      </c>
    </row>
    <row r="850" spans="1:5" x14ac:dyDescent="0.2">
      <c r="A850">
        <v>92</v>
      </c>
      <c r="B850" t="s">
        <v>2815</v>
      </c>
      <c r="C850" t="s">
        <v>2816</v>
      </c>
      <c r="D850" t="s">
        <v>2259</v>
      </c>
      <c r="E850">
        <v>2.34</v>
      </c>
    </row>
    <row r="851" spans="1:5" x14ac:dyDescent="0.2">
      <c r="A851">
        <v>93</v>
      </c>
      <c r="B851" t="s">
        <v>2817</v>
      </c>
      <c r="C851" t="s">
        <v>2818</v>
      </c>
      <c r="D851" t="s">
        <v>2259</v>
      </c>
      <c r="E851">
        <v>2.65</v>
      </c>
    </row>
    <row r="852" spans="1:5" x14ac:dyDescent="0.2">
      <c r="A852">
        <v>94</v>
      </c>
      <c r="B852" t="s">
        <v>2819</v>
      </c>
      <c r="C852" t="s">
        <v>2820</v>
      </c>
      <c r="D852" t="s">
        <v>2259</v>
      </c>
      <c r="E852">
        <v>2.96</v>
      </c>
    </row>
    <row r="853" spans="1:5" x14ac:dyDescent="0.2">
      <c r="A853">
        <v>95</v>
      </c>
      <c r="B853" t="s">
        <v>2821</v>
      </c>
      <c r="C853" t="s">
        <v>2822</v>
      </c>
      <c r="D853" t="s">
        <v>2259</v>
      </c>
      <c r="E853">
        <v>3.37</v>
      </c>
    </row>
    <row r="854" spans="1:5" x14ac:dyDescent="0.2">
      <c r="A854">
        <v>96</v>
      </c>
      <c r="B854" t="s">
        <v>2823</v>
      </c>
      <c r="C854" t="s">
        <v>2824</v>
      </c>
      <c r="D854" t="s">
        <v>2259</v>
      </c>
      <c r="E854">
        <v>3.58</v>
      </c>
    </row>
    <row r="855" spans="1:5" x14ac:dyDescent="0.2">
      <c r="A855">
        <v>97</v>
      </c>
      <c r="B855" t="s">
        <v>2825</v>
      </c>
      <c r="C855" t="s">
        <v>2826</v>
      </c>
      <c r="D855" t="s">
        <v>2259</v>
      </c>
      <c r="E855">
        <v>3.89</v>
      </c>
    </row>
    <row r="856" spans="1:5" x14ac:dyDescent="0.2">
      <c r="A856">
        <v>98</v>
      </c>
      <c r="B856" t="s">
        <v>2827</v>
      </c>
      <c r="C856" t="s">
        <v>2828</v>
      </c>
      <c r="D856" t="s">
        <v>2259</v>
      </c>
      <c r="E856">
        <v>4.2</v>
      </c>
    </row>
    <row r="857" spans="1:5" x14ac:dyDescent="0.2">
      <c r="A857">
        <v>99</v>
      </c>
      <c r="B857" t="s">
        <v>2829</v>
      </c>
      <c r="C857" t="s">
        <v>2830</v>
      </c>
      <c r="D857" t="s">
        <v>2259</v>
      </c>
      <c r="E857">
        <v>4.51</v>
      </c>
    </row>
    <row r="858" spans="1:5" x14ac:dyDescent="0.2">
      <c r="A858">
        <v>100</v>
      </c>
      <c r="B858" t="s">
        <v>2831</v>
      </c>
      <c r="C858" t="s">
        <v>2832</v>
      </c>
      <c r="D858" t="s">
        <v>2259</v>
      </c>
      <c r="E858">
        <v>1.8</v>
      </c>
    </row>
    <row r="859" spans="1:5" x14ac:dyDescent="0.2">
      <c r="A859">
        <v>101</v>
      </c>
      <c r="B859" t="s">
        <v>2833</v>
      </c>
      <c r="C859" t="s">
        <v>2834</v>
      </c>
      <c r="D859" t="s">
        <v>2259</v>
      </c>
      <c r="E859">
        <v>1.99</v>
      </c>
    </row>
    <row r="860" spans="1:5" x14ac:dyDescent="0.2">
      <c r="A860">
        <v>102</v>
      </c>
      <c r="B860" t="s">
        <v>2835</v>
      </c>
      <c r="C860" t="s">
        <v>2836</v>
      </c>
      <c r="D860" t="s">
        <v>2259</v>
      </c>
      <c r="E860">
        <v>2.1800000000000002</v>
      </c>
    </row>
    <row r="861" spans="1:5" x14ac:dyDescent="0.2">
      <c r="A861">
        <v>103</v>
      </c>
      <c r="B861" t="s">
        <v>2837</v>
      </c>
      <c r="C861" t="s">
        <v>2838</v>
      </c>
      <c r="D861" t="s">
        <v>2259</v>
      </c>
      <c r="E861">
        <v>2.37</v>
      </c>
    </row>
    <row r="862" spans="1:5" x14ac:dyDescent="0.2">
      <c r="A862">
        <v>104</v>
      </c>
      <c r="B862" t="s">
        <v>2839</v>
      </c>
      <c r="C862" t="s">
        <v>2840</v>
      </c>
      <c r="D862" t="s">
        <v>2259</v>
      </c>
      <c r="E862">
        <v>2.56</v>
      </c>
    </row>
    <row r="863" spans="1:5" x14ac:dyDescent="0.2">
      <c r="A863">
        <v>105</v>
      </c>
      <c r="B863" t="s">
        <v>2841</v>
      </c>
      <c r="C863" t="s">
        <v>2842</v>
      </c>
      <c r="D863" t="s">
        <v>2259</v>
      </c>
      <c r="E863">
        <v>2.75</v>
      </c>
    </row>
    <row r="864" spans="1:5" x14ac:dyDescent="0.2">
      <c r="A864">
        <v>106</v>
      </c>
      <c r="B864" t="s">
        <v>2843</v>
      </c>
      <c r="C864" t="s">
        <v>2844</v>
      </c>
      <c r="D864" t="s">
        <v>2259</v>
      </c>
      <c r="E864">
        <v>2.94</v>
      </c>
    </row>
    <row r="865" spans="1:5" x14ac:dyDescent="0.2">
      <c r="A865">
        <v>107</v>
      </c>
      <c r="B865" t="s">
        <v>2845</v>
      </c>
      <c r="C865" t="s">
        <v>2846</v>
      </c>
      <c r="D865" t="s">
        <v>2259</v>
      </c>
      <c r="E865">
        <v>3.13</v>
      </c>
    </row>
    <row r="866" spans="1:5" x14ac:dyDescent="0.2">
      <c r="A866">
        <v>108</v>
      </c>
      <c r="B866" t="s">
        <v>2847</v>
      </c>
      <c r="C866" t="s">
        <v>2848</v>
      </c>
      <c r="D866" t="s">
        <v>2259</v>
      </c>
      <c r="E866">
        <v>3.32</v>
      </c>
    </row>
    <row r="867" spans="1:5" x14ac:dyDescent="0.2">
      <c r="A867">
        <v>109</v>
      </c>
      <c r="B867" t="s">
        <v>2831</v>
      </c>
      <c r="C867" t="s">
        <v>2849</v>
      </c>
      <c r="D867" t="s">
        <v>2259</v>
      </c>
      <c r="E867">
        <v>1.8</v>
      </c>
    </row>
    <row r="868" spans="1:5" x14ac:dyDescent="0.2">
      <c r="A868">
        <v>110</v>
      </c>
      <c r="B868" t="s">
        <v>2850</v>
      </c>
      <c r="C868" t="s">
        <v>2851</v>
      </c>
      <c r="D868" t="s">
        <v>2259</v>
      </c>
      <c r="E868">
        <v>3.7</v>
      </c>
    </row>
    <row r="869" spans="1:5" x14ac:dyDescent="0.2">
      <c r="A869">
        <v>111</v>
      </c>
      <c r="B869" t="s">
        <v>2852</v>
      </c>
      <c r="C869" t="s">
        <v>2853</v>
      </c>
      <c r="D869" t="s">
        <v>2259</v>
      </c>
      <c r="E869">
        <v>3.89</v>
      </c>
    </row>
    <row r="870" spans="1:5" x14ac:dyDescent="0.2">
      <c r="A870">
        <v>112</v>
      </c>
      <c r="B870" t="s">
        <v>2010</v>
      </c>
      <c r="C870" t="s">
        <v>2854</v>
      </c>
      <c r="D870" t="s">
        <v>2259</v>
      </c>
      <c r="E870">
        <v>2.1800000000000002</v>
      </c>
    </row>
    <row r="871" spans="1:5" x14ac:dyDescent="0.2">
      <c r="A871">
        <v>113</v>
      </c>
      <c r="B871" t="s">
        <v>2013</v>
      </c>
      <c r="C871" t="s">
        <v>2855</v>
      </c>
      <c r="D871" t="s">
        <v>2259</v>
      </c>
      <c r="E871">
        <v>2.59</v>
      </c>
    </row>
    <row r="872" spans="1:5" x14ac:dyDescent="0.2">
      <c r="A872">
        <v>114</v>
      </c>
      <c r="B872" t="s">
        <v>2016</v>
      </c>
      <c r="C872" t="s">
        <v>2856</v>
      </c>
      <c r="D872" t="s">
        <v>2259</v>
      </c>
      <c r="E872">
        <v>3.08</v>
      </c>
    </row>
    <row r="873" spans="1:5" x14ac:dyDescent="0.2">
      <c r="A873">
        <v>115</v>
      </c>
      <c r="B873" t="s">
        <v>2019</v>
      </c>
      <c r="C873" t="s">
        <v>2857</v>
      </c>
      <c r="D873" t="s">
        <v>2259</v>
      </c>
      <c r="E873">
        <v>3.73</v>
      </c>
    </row>
    <row r="874" spans="1:5" x14ac:dyDescent="0.2">
      <c r="A874">
        <v>116</v>
      </c>
      <c r="B874" t="s">
        <v>2022</v>
      </c>
      <c r="C874" t="s">
        <v>2858</v>
      </c>
      <c r="D874" t="s">
        <v>2259</v>
      </c>
      <c r="E874">
        <v>2.5099999999999998</v>
      </c>
    </row>
    <row r="875" spans="1:5" x14ac:dyDescent="0.2">
      <c r="A875">
        <v>117</v>
      </c>
      <c r="B875" t="s">
        <v>2025</v>
      </c>
      <c r="C875" t="s">
        <v>2859</v>
      </c>
      <c r="D875" t="s">
        <v>2259</v>
      </c>
      <c r="E875">
        <v>2.93</v>
      </c>
    </row>
    <row r="876" spans="1:5" x14ac:dyDescent="0.2">
      <c r="A876">
        <v>118</v>
      </c>
      <c r="B876" t="s">
        <v>2028</v>
      </c>
      <c r="C876" t="s">
        <v>2860</v>
      </c>
      <c r="D876" t="s">
        <v>2259</v>
      </c>
      <c r="E876">
        <v>3.49</v>
      </c>
    </row>
    <row r="877" spans="1:5" x14ac:dyDescent="0.2">
      <c r="A877">
        <v>119</v>
      </c>
      <c r="B877" t="s">
        <v>2031</v>
      </c>
      <c r="C877" t="s">
        <v>2861</v>
      </c>
      <c r="D877" t="s">
        <v>2259</v>
      </c>
      <c r="E877">
        <v>4.16</v>
      </c>
    </row>
    <row r="878" spans="1:5" x14ac:dyDescent="0.2">
      <c r="A878">
        <v>120</v>
      </c>
      <c r="B878" t="s">
        <v>2034</v>
      </c>
      <c r="C878" t="s">
        <v>2862</v>
      </c>
      <c r="D878" t="s">
        <v>2259</v>
      </c>
      <c r="E878">
        <v>2.35</v>
      </c>
    </row>
    <row r="879" spans="1:5" x14ac:dyDescent="0.2">
      <c r="A879">
        <v>121</v>
      </c>
      <c r="B879" t="s">
        <v>2037</v>
      </c>
      <c r="C879" t="s">
        <v>2863</v>
      </c>
      <c r="D879" t="s">
        <v>2259</v>
      </c>
      <c r="E879">
        <v>2.72</v>
      </c>
    </row>
    <row r="880" spans="1:5" x14ac:dyDescent="0.2">
      <c r="A880">
        <v>122</v>
      </c>
      <c r="B880" t="s">
        <v>2040</v>
      </c>
      <c r="C880" t="s">
        <v>2864</v>
      </c>
      <c r="D880" t="s">
        <v>2259</v>
      </c>
      <c r="E880">
        <v>3.25</v>
      </c>
    </row>
    <row r="881" spans="1:5" x14ac:dyDescent="0.2">
      <c r="A881">
        <v>123</v>
      </c>
      <c r="B881" t="s">
        <v>2043</v>
      </c>
      <c r="C881" t="s">
        <v>2865</v>
      </c>
      <c r="D881" t="s">
        <v>2259</v>
      </c>
      <c r="E881">
        <v>3.91</v>
      </c>
    </row>
    <row r="882" spans="1:5" x14ac:dyDescent="0.2">
      <c r="A882">
        <v>124</v>
      </c>
      <c r="B882" t="s">
        <v>2046</v>
      </c>
      <c r="C882" t="s">
        <v>2866</v>
      </c>
      <c r="D882" t="s">
        <v>2259</v>
      </c>
      <c r="E882">
        <v>1.75</v>
      </c>
    </row>
    <row r="883" spans="1:5" x14ac:dyDescent="0.2">
      <c r="A883">
        <v>125</v>
      </c>
      <c r="B883" t="s">
        <v>2049</v>
      </c>
      <c r="C883" t="s">
        <v>2867</v>
      </c>
      <c r="D883" t="s">
        <v>2259</v>
      </c>
      <c r="E883">
        <v>1.99</v>
      </c>
    </row>
    <row r="884" spans="1:5" x14ac:dyDescent="0.2">
      <c r="A884">
        <v>126</v>
      </c>
      <c r="B884" t="s">
        <v>2052</v>
      </c>
      <c r="C884" t="s">
        <v>2868</v>
      </c>
      <c r="D884" t="s">
        <v>2259</v>
      </c>
      <c r="E884">
        <v>2.35</v>
      </c>
    </row>
    <row r="885" spans="1:5" x14ac:dyDescent="0.2">
      <c r="A885">
        <v>127</v>
      </c>
      <c r="B885" t="s">
        <v>2055</v>
      </c>
      <c r="C885" t="s">
        <v>2869</v>
      </c>
      <c r="D885" t="s">
        <v>2259</v>
      </c>
      <c r="E885">
        <v>2.66</v>
      </c>
    </row>
    <row r="886" spans="1:5" x14ac:dyDescent="0.2">
      <c r="A886">
        <v>128</v>
      </c>
      <c r="B886" t="s">
        <v>2058</v>
      </c>
      <c r="C886" t="s">
        <v>2870</v>
      </c>
      <c r="D886" t="s">
        <v>2259</v>
      </c>
      <c r="E886">
        <v>1.93</v>
      </c>
    </row>
    <row r="887" spans="1:5" x14ac:dyDescent="0.2">
      <c r="A887">
        <v>129</v>
      </c>
      <c r="B887" t="s">
        <v>2061</v>
      </c>
      <c r="C887" t="s">
        <v>2871</v>
      </c>
      <c r="D887" t="s">
        <v>2259</v>
      </c>
      <c r="E887">
        <v>2.38</v>
      </c>
    </row>
    <row r="888" spans="1:5" x14ac:dyDescent="0.2">
      <c r="A888">
        <v>130</v>
      </c>
      <c r="B888" t="s">
        <v>2064</v>
      </c>
      <c r="C888" t="s">
        <v>2872</v>
      </c>
      <c r="D888" t="s">
        <v>2259</v>
      </c>
      <c r="E888">
        <v>2.74</v>
      </c>
    </row>
    <row r="889" spans="1:5" x14ac:dyDescent="0.2">
      <c r="A889">
        <v>131</v>
      </c>
      <c r="B889" t="s">
        <v>2067</v>
      </c>
      <c r="C889" t="s">
        <v>2873</v>
      </c>
      <c r="D889" t="s">
        <v>2259</v>
      </c>
      <c r="E889">
        <v>3.15</v>
      </c>
    </row>
    <row r="890" spans="1:5" x14ac:dyDescent="0.2">
      <c r="A890">
        <v>132</v>
      </c>
      <c r="B890" t="s">
        <v>2070</v>
      </c>
      <c r="C890" t="s">
        <v>2874</v>
      </c>
      <c r="D890" t="s">
        <v>2259</v>
      </c>
      <c r="E890">
        <v>1.93</v>
      </c>
    </row>
    <row r="891" spans="1:5" x14ac:dyDescent="0.2">
      <c r="A891">
        <v>133</v>
      </c>
      <c r="B891" t="s">
        <v>2073</v>
      </c>
      <c r="C891" t="s">
        <v>2875</v>
      </c>
      <c r="D891" t="s">
        <v>2259</v>
      </c>
      <c r="E891">
        <v>2.1800000000000002</v>
      </c>
    </row>
    <row r="892" spans="1:5" x14ac:dyDescent="0.2">
      <c r="A892">
        <v>134</v>
      </c>
      <c r="B892" t="s">
        <v>2076</v>
      </c>
      <c r="C892" t="s">
        <v>2876</v>
      </c>
      <c r="D892" t="s">
        <v>2259</v>
      </c>
      <c r="E892">
        <v>2.5099999999999998</v>
      </c>
    </row>
    <row r="893" spans="1:5" x14ac:dyDescent="0.2">
      <c r="A893">
        <v>135</v>
      </c>
      <c r="B893" t="s">
        <v>2079</v>
      </c>
      <c r="C893" t="s">
        <v>2877</v>
      </c>
      <c r="D893" t="s">
        <v>2259</v>
      </c>
      <c r="E893">
        <v>2.83</v>
      </c>
    </row>
    <row r="894" spans="1:5" x14ac:dyDescent="0.2">
      <c r="A894">
        <v>136</v>
      </c>
      <c r="B894" t="s">
        <v>2082</v>
      </c>
      <c r="C894" t="s">
        <v>2878</v>
      </c>
      <c r="D894" t="s">
        <v>2259</v>
      </c>
      <c r="E894">
        <v>2.12</v>
      </c>
    </row>
    <row r="895" spans="1:5" x14ac:dyDescent="0.2">
      <c r="A895">
        <v>137</v>
      </c>
      <c r="B895" t="s">
        <v>2085</v>
      </c>
      <c r="C895" t="s">
        <v>2879</v>
      </c>
      <c r="D895" t="s">
        <v>2259</v>
      </c>
      <c r="E895">
        <v>2.39</v>
      </c>
    </row>
    <row r="896" spans="1:5" x14ac:dyDescent="0.2">
      <c r="A896">
        <v>138</v>
      </c>
      <c r="B896" t="s">
        <v>2088</v>
      </c>
      <c r="C896" t="s">
        <v>2880</v>
      </c>
      <c r="D896" t="s">
        <v>2259</v>
      </c>
      <c r="E896">
        <v>2.76</v>
      </c>
    </row>
    <row r="897" spans="1:5" x14ac:dyDescent="0.2">
      <c r="A897">
        <v>139</v>
      </c>
      <c r="B897" t="s">
        <v>2091</v>
      </c>
      <c r="C897" t="s">
        <v>2881</v>
      </c>
      <c r="D897" t="s">
        <v>2259</v>
      </c>
      <c r="E897">
        <v>3.11</v>
      </c>
    </row>
    <row r="898" spans="1:5" x14ac:dyDescent="0.2">
      <c r="A898">
        <v>140</v>
      </c>
      <c r="B898" t="s">
        <v>2094</v>
      </c>
      <c r="C898" t="s">
        <v>2882</v>
      </c>
      <c r="D898" t="s">
        <v>2259</v>
      </c>
      <c r="E898">
        <v>2.0499999999999998</v>
      </c>
    </row>
    <row r="899" spans="1:5" x14ac:dyDescent="0.2">
      <c r="A899">
        <v>141</v>
      </c>
      <c r="B899" t="s">
        <v>2097</v>
      </c>
      <c r="C899" t="s">
        <v>2883</v>
      </c>
      <c r="D899" t="s">
        <v>2259</v>
      </c>
      <c r="E899">
        <v>2.35</v>
      </c>
    </row>
    <row r="900" spans="1:5" x14ac:dyDescent="0.2">
      <c r="A900">
        <v>142</v>
      </c>
      <c r="B900" t="s">
        <v>2100</v>
      </c>
      <c r="C900" t="s">
        <v>2884</v>
      </c>
      <c r="D900" t="s">
        <v>2259</v>
      </c>
      <c r="E900">
        <v>2.66</v>
      </c>
    </row>
    <row r="901" spans="1:5" x14ac:dyDescent="0.2">
      <c r="A901">
        <v>143</v>
      </c>
      <c r="B901" t="s">
        <v>2103</v>
      </c>
      <c r="C901" t="s">
        <v>2885</v>
      </c>
      <c r="D901" t="s">
        <v>2259</v>
      </c>
      <c r="E901">
        <v>2.99</v>
      </c>
    </row>
    <row r="902" spans="1:5" x14ac:dyDescent="0.2">
      <c r="A902">
        <v>144</v>
      </c>
      <c r="B902" t="s">
        <v>2106</v>
      </c>
      <c r="C902" t="s">
        <v>2886</v>
      </c>
      <c r="D902" t="s">
        <v>2259</v>
      </c>
      <c r="E902">
        <v>2.25</v>
      </c>
    </row>
    <row r="903" spans="1:5" x14ac:dyDescent="0.2">
      <c r="A903">
        <v>145</v>
      </c>
      <c r="B903" t="s">
        <v>2109</v>
      </c>
      <c r="C903" t="s">
        <v>2887</v>
      </c>
      <c r="D903" t="s">
        <v>2259</v>
      </c>
      <c r="E903">
        <v>2.58</v>
      </c>
    </row>
    <row r="904" spans="1:5" x14ac:dyDescent="0.2">
      <c r="A904">
        <v>146</v>
      </c>
      <c r="B904" t="s">
        <v>2112</v>
      </c>
      <c r="C904" t="s">
        <v>2888</v>
      </c>
      <c r="D904" t="s">
        <v>2259</v>
      </c>
      <c r="E904">
        <v>2.92</v>
      </c>
    </row>
    <row r="905" spans="1:5" x14ac:dyDescent="0.2">
      <c r="A905">
        <v>147</v>
      </c>
      <c r="B905" t="s">
        <v>2115</v>
      </c>
      <c r="C905" t="s">
        <v>2889</v>
      </c>
      <c r="D905" t="s">
        <v>2259</v>
      </c>
      <c r="E905">
        <v>3.28</v>
      </c>
    </row>
    <row r="906" spans="1:5" x14ac:dyDescent="0.2">
      <c r="A906">
        <v>148</v>
      </c>
      <c r="B906" t="s">
        <v>2118</v>
      </c>
      <c r="C906" t="s">
        <v>2866</v>
      </c>
      <c r="D906" t="s">
        <v>2259</v>
      </c>
      <c r="E906">
        <v>1.55</v>
      </c>
    </row>
    <row r="907" spans="1:5" x14ac:dyDescent="0.2">
      <c r="A907">
        <v>149</v>
      </c>
      <c r="B907" t="s">
        <v>2121</v>
      </c>
      <c r="C907" t="s">
        <v>2867</v>
      </c>
      <c r="D907" t="s">
        <v>2259</v>
      </c>
      <c r="E907">
        <v>1.75</v>
      </c>
    </row>
    <row r="908" spans="1:5" x14ac:dyDescent="0.2">
      <c r="A908">
        <v>150</v>
      </c>
      <c r="B908" t="s">
        <v>2124</v>
      </c>
      <c r="C908" t="s">
        <v>2890</v>
      </c>
      <c r="D908" t="s">
        <v>2259</v>
      </c>
      <c r="E908">
        <v>1.96</v>
      </c>
    </row>
    <row r="909" spans="1:5" x14ac:dyDescent="0.2">
      <c r="A909">
        <v>151</v>
      </c>
      <c r="B909" t="s">
        <v>2129</v>
      </c>
      <c r="C909" t="s">
        <v>2868</v>
      </c>
      <c r="D909" t="s">
        <v>2259</v>
      </c>
      <c r="E909">
        <v>2.0499999999999998</v>
      </c>
    </row>
    <row r="910" spans="1:5" x14ac:dyDescent="0.2">
      <c r="A910">
        <v>152</v>
      </c>
      <c r="B910" t="s">
        <v>2131</v>
      </c>
      <c r="C910" t="s">
        <v>2869</v>
      </c>
      <c r="D910" t="s">
        <v>2259</v>
      </c>
      <c r="E910">
        <v>2.35</v>
      </c>
    </row>
    <row r="911" spans="1:5" x14ac:dyDescent="0.2">
      <c r="A911">
        <v>153</v>
      </c>
      <c r="B911" t="s">
        <v>1942</v>
      </c>
      <c r="C911" t="s">
        <v>1944</v>
      </c>
      <c r="D911" t="s">
        <v>2259</v>
      </c>
      <c r="E911">
        <v>2.81</v>
      </c>
    </row>
    <row r="912" spans="1:5" x14ac:dyDescent="0.2">
      <c r="A912">
        <v>154</v>
      </c>
      <c r="B912" t="s">
        <v>1946</v>
      </c>
      <c r="C912" t="s">
        <v>1948</v>
      </c>
      <c r="D912" t="s">
        <v>2259</v>
      </c>
      <c r="E912">
        <v>2.99</v>
      </c>
    </row>
    <row r="913" spans="1:5" x14ac:dyDescent="0.2">
      <c r="A913">
        <v>155</v>
      </c>
      <c r="B913" t="s">
        <v>1968</v>
      </c>
      <c r="C913" t="s">
        <v>2891</v>
      </c>
      <c r="D913" t="s">
        <v>2259</v>
      </c>
      <c r="E913">
        <v>2.5099999999999998</v>
      </c>
    </row>
    <row r="914" spans="1:5" x14ac:dyDescent="0.2">
      <c r="A914">
        <v>156</v>
      </c>
      <c r="B914" t="s">
        <v>1971</v>
      </c>
      <c r="C914" t="s">
        <v>2892</v>
      </c>
      <c r="D914" t="s">
        <v>2259</v>
      </c>
      <c r="E914">
        <v>2.66</v>
      </c>
    </row>
    <row r="915" spans="1:5" x14ac:dyDescent="0.2">
      <c r="A915">
        <v>157</v>
      </c>
      <c r="B915" t="s">
        <v>1950</v>
      </c>
      <c r="C915" t="s">
        <v>2893</v>
      </c>
      <c r="D915" t="s">
        <v>2259</v>
      </c>
      <c r="E915">
        <v>3.73</v>
      </c>
    </row>
    <row r="916" spans="1:5" x14ac:dyDescent="0.2">
      <c r="A916">
        <v>158</v>
      </c>
      <c r="B916" t="s">
        <v>1953</v>
      </c>
      <c r="C916" t="s">
        <v>2894</v>
      </c>
      <c r="D916" t="s">
        <v>2259</v>
      </c>
      <c r="E916">
        <v>3.91</v>
      </c>
    </row>
    <row r="917" spans="1:5" x14ac:dyDescent="0.2">
      <c r="A917">
        <v>159</v>
      </c>
      <c r="B917" t="s">
        <v>1974</v>
      </c>
      <c r="C917" t="s">
        <v>2895</v>
      </c>
      <c r="D917" t="s">
        <v>2259</v>
      </c>
      <c r="E917">
        <v>3.17</v>
      </c>
    </row>
    <row r="918" spans="1:5" x14ac:dyDescent="0.2">
      <c r="A918">
        <v>160</v>
      </c>
      <c r="B918" t="s">
        <v>1977</v>
      </c>
      <c r="C918" t="s">
        <v>2896</v>
      </c>
      <c r="D918" t="s">
        <v>2259</v>
      </c>
      <c r="E918">
        <v>3.3</v>
      </c>
    </row>
    <row r="919" spans="1:5" x14ac:dyDescent="0.2">
      <c r="A919">
        <v>161</v>
      </c>
      <c r="B919" t="s">
        <v>1992</v>
      </c>
      <c r="C919" t="s">
        <v>2897</v>
      </c>
      <c r="D919" t="s">
        <v>2259</v>
      </c>
      <c r="E919">
        <v>2.66</v>
      </c>
    </row>
    <row r="920" spans="1:5" x14ac:dyDescent="0.2">
      <c r="A920">
        <v>162</v>
      </c>
      <c r="B920" t="s">
        <v>1995</v>
      </c>
      <c r="C920" t="s">
        <v>2898</v>
      </c>
      <c r="D920" t="s">
        <v>2259</v>
      </c>
      <c r="E920">
        <v>2.81</v>
      </c>
    </row>
    <row r="921" spans="1:5" x14ac:dyDescent="0.2">
      <c r="A921">
        <v>163</v>
      </c>
      <c r="B921" t="s">
        <v>1956</v>
      </c>
      <c r="C921" t="s">
        <v>2899</v>
      </c>
      <c r="D921" t="s">
        <v>2259</v>
      </c>
      <c r="E921">
        <v>4.1399999999999997</v>
      </c>
    </row>
    <row r="922" spans="1:5" x14ac:dyDescent="0.2">
      <c r="A922">
        <v>164</v>
      </c>
      <c r="B922" t="s">
        <v>1959</v>
      </c>
      <c r="C922" t="s">
        <v>2900</v>
      </c>
      <c r="D922" t="s">
        <v>2259</v>
      </c>
      <c r="E922">
        <v>4.3600000000000003</v>
      </c>
    </row>
    <row r="923" spans="1:5" x14ac:dyDescent="0.2">
      <c r="A923">
        <v>165</v>
      </c>
      <c r="B923" t="s">
        <v>1980</v>
      </c>
      <c r="C923" t="s">
        <v>2901</v>
      </c>
      <c r="D923" t="s">
        <v>2259</v>
      </c>
      <c r="E923">
        <v>3.55</v>
      </c>
    </row>
    <row r="924" spans="1:5" x14ac:dyDescent="0.2">
      <c r="A924">
        <v>166</v>
      </c>
      <c r="B924" t="s">
        <v>1983</v>
      </c>
      <c r="C924" t="s">
        <v>2902</v>
      </c>
      <c r="D924" t="s">
        <v>2259</v>
      </c>
      <c r="E924">
        <v>3.76</v>
      </c>
    </row>
    <row r="925" spans="1:5" x14ac:dyDescent="0.2">
      <c r="A925">
        <v>167</v>
      </c>
      <c r="B925" t="s">
        <v>1998</v>
      </c>
      <c r="C925" t="s">
        <v>2903</v>
      </c>
      <c r="D925" t="s">
        <v>2259</v>
      </c>
      <c r="E925">
        <v>2.93</v>
      </c>
    </row>
    <row r="926" spans="1:5" x14ac:dyDescent="0.2">
      <c r="A926">
        <v>168</v>
      </c>
      <c r="B926" t="s">
        <v>2001</v>
      </c>
      <c r="C926" t="s">
        <v>2904</v>
      </c>
      <c r="D926" t="s">
        <v>2259</v>
      </c>
      <c r="E926">
        <v>3.1</v>
      </c>
    </row>
    <row r="927" spans="1:5" x14ac:dyDescent="0.2">
      <c r="A927">
        <v>169</v>
      </c>
      <c r="B927" t="s">
        <v>1962</v>
      </c>
      <c r="C927" t="s">
        <v>2905</v>
      </c>
      <c r="D927" t="s">
        <v>2259</v>
      </c>
      <c r="E927">
        <v>4.68</v>
      </c>
    </row>
    <row r="928" spans="1:5" x14ac:dyDescent="0.2">
      <c r="A928">
        <v>170</v>
      </c>
      <c r="B928" t="s">
        <v>1965</v>
      </c>
      <c r="C928" t="s">
        <v>2906</v>
      </c>
      <c r="D928" t="s">
        <v>2259</v>
      </c>
      <c r="E928">
        <v>4.92</v>
      </c>
    </row>
    <row r="929" spans="1:5" x14ac:dyDescent="0.2">
      <c r="A929">
        <v>171</v>
      </c>
      <c r="B929" t="s">
        <v>1986</v>
      </c>
      <c r="C929" t="s">
        <v>2907</v>
      </c>
      <c r="D929" t="s">
        <v>2259</v>
      </c>
      <c r="E929">
        <v>4.16</v>
      </c>
    </row>
    <row r="930" spans="1:5" x14ac:dyDescent="0.2">
      <c r="A930">
        <v>172</v>
      </c>
      <c r="B930" t="s">
        <v>1989</v>
      </c>
      <c r="C930" t="s">
        <v>2908</v>
      </c>
      <c r="D930" t="s">
        <v>2259</v>
      </c>
      <c r="E930">
        <v>4.37</v>
      </c>
    </row>
    <row r="931" spans="1:5" x14ac:dyDescent="0.2">
      <c r="A931">
        <v>173</v>
      </c>
      <c r="B931" t="s">
        <v>2004</v>
      </c>
      <c r="C931" t="s">
        <v>2909</v>
      </c>
      <c r="D931" t="s">
        <v>2259</v>
      </c>
      <c r="E931">
        <v>3.55</v>
      </c>
    </row>
    <row r="932" spans="1:5" x14ac:dyDescent="0.2">
      <c r="A932">
        <v>174</v>
      </c>
      <c r="B932" t="s">
        <v>2007</v>
      </c>
      <c r="C932" t="s">
        <v>2910</v>
      </c>
      <c r="D932" t="s">
        <v>2259</v>
      </c>
      <c r="E932">
        <v>3.76</v>
      </c>
    </row>
    <row r="933" spans="1:5" x14ac:dyDescent="0.2">
      <c r="A933">
        <v>175</v>
      </c>
      <c r="B933" t="s">
        <v>2458</v>
      </c>
      <c r="C933" t="s">
        <v>2911</v>
      </c>
      <c r="D933" t="s">
        <v>2259</v>
      </c>
      <c r="E933">
        <v>2.99</v>
      </c>
    </row>
    <row r="934" spans="1:5" x14ac:dyDescent="0.2">
      <c r="A934">
        <v>176</v>
      </c>
      <c r="B934" t="s">
        <v>2459</v>
      </c>
      <c r="C934" t="s">
        <v>2912</v>
      </c>
      <c r="D934" t="s">
        <v>2259</v>
      </c>
      <c r="E934">
        <v>3.28</v>
      </c>
    </row>
    <row r="935" spans="1:5" x14ac:dyDescent="0.2">
      <c r="A935">
        <v>177</v>
      </c>
      <c r="B935" t="s">
        <v>2460</v>
      </c>
      <c r="C935" t="s">
        <v>2913</v>
      </c>
      <c r="D935" t="s">
        <v>2259</v>
      </c>
      <c r="E935">
        <v>3.72</v>
      </c>
    </row>
    <row r="936" spans="1:5" x14ac:dyDescent="0.2">
      <c r="A936">
        <v>178</v>
      </c>
      <c r="B936" t="s">
        <v>2462</v>
      </c>
      <c r="C936" t="s">
        <v>2914</v>
      </c>
      <c r="D936" t="s">
        <v>2259</v>
      </c>
      <c r="E936">
        <v>4.1500000000000004</v>
      </c>
    </row>
    <row r="937" spans="1:5" x14ac:dyDescent="0.2">
      <c r="A937">
        <v>179</v>
      </c>
      <c r="B937" t="s">
        <v>2135</v>
      </c>
      <c r="C937" t="s">
        <v>2915</v>
      </c>
      <c r="D937" t="s">
        <v>2259</v>
      </c>
      <c r="E937">
        <v>4.67</v>
      </c>
    </row>
    <row r="938" spans="1:5" x14ac:dyDescent="0.2">
      <c r="A938">
        <v>180</v>
      </c>
      <c r="B938" t="s">
        <v>2139</v>
      </c>
      <c r="C938" t="s">
        <v>2916</v>
      </c>
      <c r="D938" t="s">
        <v>2259</v>
      </c>
      <c r="E938">
        <v>5.27</v>
      </c>
    </row>
  </sheetData>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HMC_Goithau"/>
  <dimension ref="A1:H25"/>
  <sheetViews>
    <sheetView topLeftCell="B1" workbookViewId="0">
      <selection activeCell="C6" sqref="C6"/>
    </sheetView>
  </sheetViews>
  <sheetFormatPr defaultRowHeight="16.5" outlineLevelCol="1" x14ac:dyDescent="0.25"/>
  <cols>
    <col min="1" max="1" width="9.42578125" style="1048" hidden="1" customWidth="1" outlineLevel="1"/>
    <col min="2" max="2" width="7.5703125" style="879" bestFit="1" customWidth="1" collapsed="1"/>
    <col min="3" max="3" width="62.140625" style="887" customWidth="1"/>
    <col min="4" max="4" width="17.42578125" style="879" customWidth="1"/>
    <col min="5" max="6" width="11.5703125" style="879" customWidth="1"/>
    <col min="7" max="7" width="10" style="879" customWidth="1"/>
    <col min="8" max="8" width="13.85546875" style="879" customWidth="1"/>
    <col min="9" max="16384" width="9.140625" style="880"/>
  </cols>
  <sheetData>
    <row r="1" spans="1:8" s="350" customFormat="1" ht="20.25" x14ac:dyDescent="0.3">
      <c r="A1" s="976" t="s">
        <v>1372</v>
      </c>
      <c r="B1" s="868" t="s">
        <v>3410</v>
      </c>
      <c r="C1" s="889"/>
      <c r="D1" s="868"/>
      <c r="E1" s="868"/>
      <c r="F1" s="868"/>
      <c r="G1" s="868"/>
      <c r="H1" s="868"/>
    </row>
    <row r="2" spans="1:8" s="348" customFormat="1" ht="15.75" x14ac:dyDescent="0.25">
      <c r="A2" s="977" t="s">
        <v>3518</v>
      </c>
      <c r="B2" s="869" t="str">
        <f>"CÔNG TRÌNH : "&amp;'Bia du toan'!$G$12</f>
        <v>CÔNG TRÌNH : TRƯỜNG CAO ĐẲNG LÝ TỰ TRỌNG</v>
      </c>
      <c r="C2" s="890"/>
      <c r="D2" s="869"/>
      <c r="E2" s="869"/>
      <c r="F2" s="869"/>
      <c r="G2" s="869"/>
      <c r="H2" s="869"/>
    </row>
    <row r="3" spans="1:8" s="348" customFormat="1" ht="15.75" x14ac:dyDescent="0.25">
      <c r="A3" s="977" t="s">
        <v>3519</v>
      </c>
      <c r="B3" s="869" t="s">
        <v>3411</v>
      </c>
      <c r="C3" s="890"/>
      <c r="D3" s="869"/>
      <c r="E3" s="869"/>
      <c r="F3" s="869"/>
      <c r="G3" s="869"/>
      <c r="H3" s="869"/>
    </row>
    <row r="4" spans="1:8" s="1" customFormat="1" ht="12.75" x14ac:dyDescent="0.2">
      <c r="A4" s="1042"/>
      <c r="B4" s="891"/>
      <c r="C4" s="892"/>
      <c r="D4" s="891"/>
      <c r="E4" s="891"/>
      <c r="F4" s="891"/>
      <c r="G4" s="891"/>
      <c r="H4" s="891"/>
    </row>
    <row r="5" spans="1:8" s="350" customFormat="1" ht="28.5" x14ac:dyDescent="0.2">
      <c r="A5" s="1043" t="s">
        <v>15</v>
      </c>
      <c r="B5" s="870" t="s">
        <v>3412</v>
      </c>
      <c r="C5" s="870" t="s">
        <v>3413</v>
      </c>
      <c r="D5" s="871" t="s">
        <v>3414</v>
      </c>
      <c r="E5" s="870" t="s">
        <v>625</v>
      </c>
      <c r="F5" s="870" t="s">
        <v>3415</v>
      </c>
      <c r="G5" s="870" t="s">
        <v>1255</v>
      </c>
      <c r="H5" s="870" t="s">
        <v>485</v>
      </c>
    </row>
    <row r="6" spans="1:8" s="2" customFormat="1" ht="15" x14ac:dyDescent="0.25">
      <c r="A6" s="1044" t="s">
        <v>3416</v>
      </c>
      <c r="B6" s="872">
        <v>1</v>
      </c>
      <c r="C6" s="873" t="s">
        <v>3417</v>
      </c>
      <c r="D6" s="873"/>
      <c r="E6" s="872" t="s">
        <v>3418</v>
      </c>
      <c r="F6" s="872">
        <v>1</v>
      </c>
      <c r="G6" s="872"/>
      <c r="H6" s="874">
        <f>G6*F6</f>
        <v>0</v>
      </c>
    </row>
    <row r="7" spans="1:8" s="2" customFormat="1" ht="15" x14ac:dyDescent="0.25">
      <c r="A7" s="1044" t="s">
        <v>3419</v>
      </c>
      <c r="B7" s="872">
        <v>2</v>
      </c>
      <c r="C7" s="873" t="s">
        <v>3420</v>
      </c>
      <c r="D7" s="873"/>
      <c r="E7" s="872" t="s">
        <v>3418</v>
      </c>
      <c r="F7" s="872">
        <v>1</v>
      </c>
      <c r="G7" s="872"/>
      <c r="H7" s="874">
        <f t="shared" ref="H7:H15" si="0">G7*F7</f>
        <v>0</v>
      </c>
    </row>
    <row r="8" spans="1:8" s="2" customFormat="1" ht="15" x14ac:dyDescent="0.25">
      <c r="A8" s="1044" t="s">
        <v>3421</v>
      </c>
      <c r="B8" s="872">
        <v>3</v>
      </c>
      <c r="C8" s="873" t="s">
        <v>3422</v>
      </c>
      <c r="D8" s="873"/>
      <c r="E8" s="872" t="s">
        <v>3418</v>
      </c>
      <c r="F8" s="872">
        <v>1</v>
      </c>
      <c r="G8" s="872"/>
      <c r="H8" s="874">
        <f t="shared" si="0"/>
        <v>0</v>
      </c>
    </row>
    <row r="9" spans="1:8" s="2" customFormat="1" ht="15" x14ac:dyDescent="0.25">
      <c r="A9" s="1044" t="s">
        <v>3423</v>
      </c>
      <c r="B9" s="872">
        <v>4</v>
      </c>
      <c r="C9" s="873" t="s">
        <v>3424</v>
      </c>
      <c r="D9" s="873"/>
      <c r="E9" s="872" t="s">
        <v>3418</v>
      </c>
      <c r="F9" s="872">
        <v>1</v>
      </c>
      <c r="G9" s="872"/>
      <c r="H9" s="874">
        <f t="shared" si="0"/>
        <v>0</v>
      </c>
    </row>
    <row r="10" spans="1:8" s="2" customFormat="1" ht="15" x14ac:dyDescent="0.25">
      <c r="A10" s="1044" t="s">
        <v>3425</v>
      </c>
      <c r="B10" s="872">
        <v>5</v>
      </c>
      <c r="C10" s="873" t="s">
        <v>3426</v>
      </c>
      <c r="D10" s="873"/>
      <c r="E10" s="872" t="s">
        <v>3427</v>
      </c>
      <c r="F10" s="872">
        <v>12</v>
      </c>
      <c r="G10" s="872"/>
      <c r="H10" s="874">
        <f t="shared" si="0"/>
        <v>0</v>
      </c>
    </row>
    <row r="11" spans="1:8" s="2" customFormat="1" ht="15" x14ac:dyDescent="0.25">
      <c r="A11" s="1044" t="s">
        <v>3428</v>
      </c>
      <c r="B11" s="872">
        <v>6</v>
      </c>
      <c r="C11" s="873" t="s">
        <v>3429</v>
      </c>
      <c r="D11" s="873"/>
      <c r="E11" s="872" t="s">
        <v>3418</v>
      </c>
      <c r="F11" s="872">
        <v>1</v>
      </c>
      <c r="G11" s="872"/>
      <c r="H11" s="874">
        <f t="shared" si="0"/>
        <v>0</v>
      </c>
    </row>
    <row r="12" spans="1:8" s="2" customFormat="1" ht="30" x14ac:dyDescent="0.25">
      <c r="A12" s="1044" t="s">
        <v>3430</v>
      </c>
      <c r="B12" s="872">
        <v>7</v>
      </c>
      <c r="C12" s="873" t="s">
        <v>3431</v>
      </c>
      <c r="D12" s="873"/>
      <c r="E12" s="872" t="s">
        <v>3418</v>
      </c>
      <c r="F12" s="872">
        <v>1</v>
      </c>
      <c r="G12" s="872"/>
      <c r="H12" s="874">
        <f t="shared" si="0"/>
        <v>0</v>
      </c>
    </row>
    <row r="13" spans="1:8" s="2" customFormat="1" ht="15" x14ac:dyDescent="0.25">
      <c r="A13" s="1044" t="s">
        <v>3432</v>
      </c>
      <c r="B13" s="872">
        <v>8</v>
      </c>
      <c r="C13" s="873" t="s">
        <v>3433</v>
      </c>
      <c r="D13" s="873"/>
      <c r="E13" s="872" t="s">
        <v>3418</v>
      </c>
      <c r="F13" s="872">
        <v>1</v>
      </c>
      <c r="G13" s="872"/>
      <c r="H13" s="874">
        <f t="shared" si="0"/>
        <v>0</v>
      </c>
    </row>
    <row r="14" spans="1:8" s="2" customFormat="1" ht="15" x14ac:dyDescent="0.25">
      <c r="A14" s="1044" t="s">
        <v>3434</v>
      </c>
      <c r="B14" s="872">
        <v>9</v>
      </c>
      <c r="C14" s="873" t="s">
        <v>3435</v>
      </c>
      <c r="D14" s="873"/>
      <c r="E14" s="872" t="s">
        <v>3427</v>
      </c>
      <c r="F14" s="872">
        <v>24</v>
      </c>
      <c r="G14" s="872"/>
      <c r="H14" s="874">
        <f t="shared" si="0"/>
        <v>0</v>
      </c>
    </row>
    <row r="15" spans="1:8" s="2" customFormat="1" ht="15" x14ac:dyDescent="0.25">
      <c r="A15" s="1044" t="s">
        <v>3436</v>
      </c>
      <c r="B15" s="872">
        <v>10</v>
      </c>
      <c r="C15" s="873" t="s">
        <v>3437</v>
      </c>
      <c r="D15" s="873"/>
      <c r="E15" s="872" t="s">
        <v>3418</v>
      </c>
      <c r="F15" s="872">
        <v>1</v>
      </c>
      <c r="G15" s="872"/>
      <c r="H15" s="874">
        <f t="shared" si="0"/>
        <v>0</v>
      </c>
    </row>
    <row r="16" spans="1:8" s="878" customFormat="1" ht="42.75" x14ac:dyDescent="0.2">
      <c r="A16" s="1045" t="s">
        <v>106</v>
      </c>
      <c r="B16" s="875"/>
      <c r="C16" s="876" t="s">
        <v>3555</v>
      </c>
      <c r="D16" s="876"/>
      <c r="E16" s="876"/>
      <c r="F16" s="876"/>
      <c r="G16" s="877"/>
      <c r="H16" s="875">
        <f>SUM(H6:H15)</f>
        <v>0</v>
      </c>
    </row>
    <row r="17" spans="1:8" s="2" customFormat="1" ht="15" hidden="1" x14ac:dyDescent="0.25">
      <c r="A17" s="1044" t="s">
        <v>3556</v>
      </c>
      <c r="B17" s="872"/>
      <c r="C17" s="873" t="s">
        <v>3557</v>
      </c>
      <c r="D17" s="873"/>
      <c r="E17" s="872"/>
      <c r="F17" s="1038"/>
      <c r="G17" s="1039"/>
      <c r="H17" s="1039"/>
    </row>
    <row r="18" spans="1:8" s="2" customFormat="1" ht="15" x14ac:dyDescent="0.25">
      <c r="A18" s="1046"/>
      <c r="B18" s="118"/>
      <c r="C18" s="270"/>
      <c r="D18" s="118"/>
      <c r="E18" s="118"/>
      <c r="F18" s="118"/>
      <c r="G18" s="118"/>
      <c r="H18" s="118"/>
    </row>
    <row r="19" spans="1:8" s="2" customFormat="1" ht="31.5" customHeight="1" x14ac:dyDescent="0.25">
      <c r="A19" s="1046" t="s">
        <v>3520</v>
      </c>
      <c r="B19" s="118"/>
      <c r="C19" s="894" t="s">
        <v>3438</v>
      </c>
      <c r="D19" s="894"/>
      <c r="E19" s="895" t="s">
        <v>3439</v>
      </c>
      <c r="F19" s="895"/>
      <c r="G19" s="895"/>
      <c r="H19" s="895"/>
    </row>
    <row r="20" spans="1:8" s="2" customFormat="1" ht="15" x14ac:dyDescent="0.25">
      <c r="A20" s="1046"/>
      <c r="B20" s="118"/>
      <c r="C20" s="1040"/>
      <c r="D20" s="1040"/>
      <c r="E20" s="1041"/>
      <c r="F20" s="118"/>
      <c r="G20" s="118"/>
      <c r="H20" s="118"/>
    </row>
    <row r="21" spans="1:8" s="2" customFormat="1" ht="15" x14ac:dyDescent="0.25">
      <c r="A21" s="1046"/>
      <c r="B21" s="118"/>
      <c r="C21" s="270"/>
      <c r="D21" s="118"/>
      <c r="E21" s="708"/>
      <c r="F21" s="118"/>
      <c r="G21" s="118"/>
      <c r="H21" s="118"/>
    </row>
    <row r="22" spans="1:8" s="2" customFormat="1" ht="15" x14ac:dyDescent="0.25">
      <c r="A22" s="1046"/>
      <c r="B22" s="118"/>
      <c r="C22" s="270"/>
      <c r="D22" s="118"/>
      <c r="E22" s="708"/>
      <c r="F22" s="118"/>
      <c r="G22" s="118"/>
      <c r="H22" s="118"/>
    </row>
    <row r="23" spans="1:8" s="2" customFormat="1" ht="15" x14ac:dyDescent="0.25">
      <c r="A23" s="1046"/>
      <c r="B23" s="118"/>
      <c r="C23" s="270"/>
      <c r="D23" s="118"/>
      <c r="E23" s="708"/>
      <c r="F23" s="118"/>
      <c r="G23" s="118"/>
      <c r="H23" s="118"/>
    </row>
    <row r="24" spans="1:8" s="2" customFormat="1" ht="15" x14ac:dyDescent="0.25">
      <c r="A24" s="1046"/>
      <c r="B24" s="118"/>
      <c r="C24" s="270"/>
      <c r="D24" s="118"/>
      <c r="E24" s="708"/>
      <c r="F24" s="118"/>
      <c r="G24" s="118"/>
      <c r="H24" s="118"/>
    </row>
    <row r="25" spans="1:8" s="101" customFormat="1" ht="14.25" x14ac:dyDescent="0.2">
      <c r="A25" s="1047" t="s">
        <v>3521</v>
      </c>
      <c r="B25" s="192"/>
      <c r="C25" s="888" t="s">
        <v>3440</v>
      </c>
      <c r="D25" s="884"/>
      <c r="E25" s="1875" t="s">
        <v>3441</v>
      </c>
      <c r="F25" s="1875"/>
      <c r="G25" s="1875"/>
      <c r="H25" s="1875"/>
    </row>
  </sheetData>
  <mergeCells count="1">
    <mergeCell ref="E25:H25"/>
  </mergeCells>
  <dataValidations count="2">
    <dataValidation allowBlank="1" showInputMessage="1" showErrorMessage="1" promptTitle="Ghi chú" prompt="Không được xóa cột này" sqref="A4:A15 A16:A65536"/>
    <dataValidation allowBlank="1" showInputMessage="1" showErrorMessage="1" promptTitle="Ghi chú" prompt="Không xóa dòng này" sqref="A1:A3"/>
  </dataValidations>
  <pageMargins left="0.7" right="0.12" top="0.56999999999999995" bottom="0.6" header="0.3" footer="0.3"/>
  <pageSetup orientation="landscape" r:id="rId1"/>
  <headerFooter>
    <oddHeader>&amp;L&amp;"Arial,Bold"Dự toán Bắc Nam -  &amp;"Arial,Italic"ÐT: 0966.966.455</oddHeader>
    <oddFooter>&amp;RTrang &amp;P/&amp;N</oddFooter>
  </headerFooter>
  <legacyDrawing r:id="rId2"/>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CongNhat"/>
  <dimension ref="A1:J87"/>
  <sheetViews>
    <sheetView topLeftCell="B1" workbookViewId="0">
      <selection activeCell="C8" sqref="C8"/>
    </sheetView>
  </sheetViews>
  <sheetFormatPr defaultRowHeight="15" outlineLevelCol="1" x14ac:dyDescent="0.2"/>
  <cols>
    <col min="1" max="1" width="11.28515625" style="941" hidden="1" customWidth="1" outlineLevel="1"/>
    <col min="2" max="2" width="7.5703125" style="919" bestFit="1" customWidth="1" collapsed="1"/>
    <col min="3" max="3" width="66" style="919" customWidth="1"/>
    <col min="4" max="4" width="9.42578125" style="919" bestFit="1" customWidth="1"/>
    <col min="5" max="5" width="12.7109375" style="919" customWidth="1"/>
    <col min="6" max="6" width="9.7109375" style="942" customWidth="1"/>
    <col min="7" max="7" width="13.42578125" style="919" bestFit="1" customWidth="1"/>
    <col min="8" max="8" width="0" style="919" hidden="1" customWidth="1" outlineLevel="1"/>
    <col min="9" max="9" width="8.7109375" style="919" hidden="1" customWidth="1" outlineLevel="1"/>
    <col min="10" max="10" width="9.140625" style="919" collapsed="1"/>
    <col min="11" max="16384" width="9.140625" style="919"/>
  </cols>
  <sheetData>
    <row r="1" spans="1:9" s="915" customFormat="1" ht="18.75" x14ac:dyDescent="0.2">
      <c r="A1" s="1016" t="s">
        <v>3451</v>
      </c>
      <c r="B1" s="912" t="s">
        <v>3452</v>
      </c>
      <c r="C1" s="913"/>
      <c r="D1" s="913"/>
      <c r="E1" s="913"/>
      <c r="F1" s="914"/>
      <c r="G1" s="913"/>
    </row>
    <row r="2" spans="1:9" s="915" customFormat="1" ht="14.25" customHeight="1" x14ac:dyDescent="0.2">
      <c r="A2" s="1016"/>
      <c r="B2" s="916" t="str">
        <f>"CÔNG TRÌNH : "&amp;'Bia du toan'!$G$12</f>
        <v>CÔNG TRÌNH : TRƯỜNG CAO ĐẲNG LÝ TỰ TRỌNG</v>
      </c>
      <c r="C2" s="913"/>
      <c r="D2" s="913"/>
      <c r="E2" s="913"/>
      <c r="F2" s="914"/>
      <c r="G2" s="913"/>
    </row>
    <row r="3" spans="1:9" s="915" customFormat="1" ht="14.25" customHeight="1" x14ac:dyDescent="0.2">
      <c r="A3" s="1016"/>
      <c r="B3" s="916" t="str">
        <f>"HẠNG MỤC : "&amp; 'Bia du toan'!$G$13</f>
        <v>HẠNG MỤC : CẢI TẠO THƯ VIỆN GIAI ĐOẠN 2 - NĂM 2019</v>
      </c>
      <c r="C3" s="913"/>
      <c r="D3" s="913"/>
      <c r="E3" s="913"/>
      <c r="F3" s="914"/>
      <c r="G3" s="913"/>
    </row>
    <row r="4" spans="1:9" x14ac:dyDescent="0.2">
      <c r="A4" s="1015"/>
      <c r="B4" s="917"/>
      <c r="C4" s="917"/>
      <c r="D4" s="917"/>
      <c r="E4" s="917"/>
      <c r="F4" s="918"/>
      <c r="G4" s="917"/>
    </row>
    <row r="5" spans="1:9" s="925" customFormat="1" ht="49.5" customHeight="1" x14ac:dyDescent="0.2">
      <c r="A5" s="1017" t="s">
        <v>3453</v>
      </c>
      <c r="B5" s="920" t="s">
        <v>3412</v>
      </c>
      <c r="C5" s="921" t="s">
        <v>3454</v>
      </c>
      <c r="D5" s="663" t="s">
        <v>3455</v>
      </c>
      <c r="E5" s="663" t="s">
        <v>3456</v>
      </c>
      <c r="F5" s="922" t="s">
        <v>3457</v>
      </c>
      <c r="G5" s="922" t="s">
        <v>3458</v>
      </c>
      <c r="H5" s="923" t="s">
        <v>667</v>
      </c>
      <c r="I5" s="924" t="s">
        <v>712</v>
      </c>
    </row>
    <row r="6" spans="1:9" ht="15.75" x14ac:dyDescent="0.2">
      <c r="A6" s="1018"/>
      <c r="B6" s="926">
        <v>1</v>
      </c>
      <c r="C6" s="762" t="s">
        <v>3459</v>
      </c>
      <c r="D6" s="406" t="s">
        <v>3460</v>
      </c>
      <c r="E6" s="1024">
        <v>50</v>
      </c>
      <c r="F6" s="927"/>
      <c r="G6" s="927">
        <f>F6*E6</f>
        <v>0</v>
      </c>
      <c r="H6" s="928"/>
      <c r="I6" s="929"/>
    </row>
    <row r="7" spans="1:9" ht="15.75" x14ac:dyDescent="0.2">
      <c r="A7" s="1018"/>
      <c r="B7" s="926">
        <v>2</v>
      </c>
      <c r="C7" s="762" t="s">
        <v>3461</v>
      </c>
      <c r="D7" s="406" t="s">
        <v>3460</v>
      </c>
      <c r="E7" s="1024">
        <v>500</v>
      </c>
      <c r="F7" s="930"/>
      <c r="G7" s="927">
        <f t="shared" ref="G7:G13" si="0">F7*E7</f>
        <v>0</v>
      </c>
      <c r="H7" s="928"/>
      <c r="I7" s="929"/>
    </row>
    <row r="8" spans="1:9" ht="15.75" x14ac:dyDescent="0.2">
      <c r="A8" s="1018"/>
      <c r="B8" s="926">
        <v>3</v>
      </c>
      <c r="C8" s="762" t="s">
        <v>3462</v>
      </c>
      <c r="D8" s="406" t="s">
        <v>3460</v>
      </c>
      <c r="E8" s="1024">
        <v>200</v>
      </c>
      <c r="F8" s="930"/>
      <c r="G8" s="927">
        <f t="shared" si="0"/>
        <v>0</v>
      </c>
      <c r="H8" s="928"/>
      <c r="I8" s="929"/>
    </row>
    <row r="9" spans="1:9" ht="15.75" x14ac:dyDescent="0.2">
      <c r="A9" s="1018"/>
      <c r="B9" s="926">
        <v>4</v>
      </c>
      <c r="C9" s="762" t="s">
        <v>3463</v>
      </c>
      <c r="D9" s="406" t="s">
        <v>3460</v>
      </c>
      <c r="E9" s="1024">
        <v>200</v>
      </c>
      <c r="F9" s="930"/>
      <c r="G9" s="927">
        <f t="shared" si="0"/>
        <v>0</v>
      </c>
      <c r="H9" s="928"/>
      <c r="I9" s="929"/>
    </row>
    <row r="10" spans="1:9" s="935" customFormat="1" ht="15.75" x14ac:dyDescent="0.2">
      <c r="A10" s="1019"/>
      <c r="B10" s="926">
        <v>5</v>
      </c>
      <c r="C10" s="762" t="s">
        <v>3464</v>
      </c>
      <c r="D10" s="406" t="s">
        <v>3460</v>
      </c>
      <c r="E10" s="1024">
        <v>100</v>
      </c>
      <c r="F10" s="932"/>
      <c r="G10" s="927">
        <f t="shared" si="0"/>
        <v>0</v>
      </c>
      <c r="H10" s="933"/>
      <c r="I10" s="934"/>
    </row>
    <row r="11" spans="1:9" s="935" customFormat="1" ht="15.75" x14ac:dyDescent="0.2">
      <c r="A11" s="1019"/>
      <c r="B11" s="926">
        <v>6</v>
      </c>
      <c r="C11" s="762" t="s">
        <v>3465</v>
      </c>
      <c r="D11" s="406" t="s">
        <v>3460</v>
      </c>
      <c r="E11" s="1024">
        <v>100</v>
      </c>
      <c r="F11" s="932"/>
      <c r="G11" s="927">
        <f t="shared" si="0"/>
        <v>0</v>
      </c>
      <c r="H11" s="933"/>
      <c r="I11" s="934"/>
    </row>
    <row r="12" spans="1:9" ht="15.75" x14ac:dyDescent="0.2">
      <c r="A12" s="1018"/>
      <c r="B12" s="926">
        <v>7</v>
      </c>
      <c r="C12" s="762" t="s">
        <v>3466</v>
      </c>
      <c r="D12" s="406" t="s">
        <v>3460</v>
      </c>
      <c r="E12" s="1024">
        <v>100</v>
      </c>
      <c r="F12" s="930"/>
      <c r="G12" s="927">
        <f t="shared" si="0"/>
        <v>0</v>
      </c>
      <c r="H12" s="928"/>
      <c r="I12" s="929"/>
    </row>
    <row r="13" spans="1:9" ht="15.75" x14ac:dyDescent="0.2">
      <c r="A13" s="1018"/>
      <c r="B13" s="926" t="s">
        <v>3467</v>
      </c>
      <c r="C13" s="762" t="s">
        <v>3468</v>
      </c>
      <c r="D13" s="406"/>
      <c r="E13" s="406"/>
      <c r="F13" s="930"/>
      <c r="G13" s="927">
        <f t="shared" si="0"/>
        <v>0</v>
      </c>
      <c r="H13" s="928"/>
      <c r="I13" s="929"/>
    </row>
    <row r="14" spans="1:9" s="915" customFormat="1" ht="29.25" customHeight="1" x14ac:dyDescent="0.2">
      <c r="A14" s="1020" t="s">
        <v>3469</v>
      </c>
      <c r="B14" s="924"/>
      <c r="C14" s="1878" t="s">
        <v>3470</v>
      </c>
      <c r="D14" s="1879"/>
      <c r="E14" s="1880"/>
      <c r="F14" s="937"/>
      <c r="G14" s="938">
        <f xml:space="preserve"> SUM(G6:G13)</f>
        <v>0</v>
      </c>
      <c r="H14" s="939"/>
      <c r="I14" s="940"/>
    </row>
    <row r="16" spans="1:9" s="943" customFormat="1" ht="15.75" customHeight="1" x14ac:dyDescent="0.2">
      <c r="A16" s="1021" t="s">
        <v>3471</v>
      </c>
      <c r="D16" s="913" t="s">
        <v>3438</v>
      </c>
      <c r="E16" s="913"/>
      <c r="F16" s="914"/>
      <c r="G16" s="913"/>
      <c r="H16" s="944"/>
    </row>
    <row r="17" spans="1:8" x14ac:dyDescent="0.2">
      <c r="D17" s="917"/>
      <c r="E17" s="917"/>
      <c r="F17" s="918"/>
      <c r="G17" s="917"/>
    </row>
    <row r="18" spans="1:8" x14ac:dyDescent="0.2">
      <c r="D18" s="917"/>
      <c r="E18" s="917"/>
      <c r="F18" s="918"/>
      <c r="G18" s="917"/>
    </row>
    <row r="19" spans="1:8" x14ac:dyDescent="0.2">
      <c r="D19" s="917"/>
      <c r="E19" s="917"/>
      <c r="F19" s="918"/>
      <c r="G19" s="917"/>
    </row>
    <row r="20" spans="1:8" x14ac:dyDescent="0.2">
      <c r="D20" s="917"/>
      <c r="E20" s="917"/>
      <c r="F20" s="918"/>
      <c r="G20" s="917"/>
    </row>
    <row r="21" spans="1:8" s="915" customFormat="1" ht="14.25" x14ac:dyDescent="0.2">
      <c r="A21" s="1021" t="s">
        <v>3483</v>
      </c>
      <c r="D21" s="913" t="s">
        <v>3440</v>
      </c>
      <c r="E21" s="913"/>
      <c r="F21" s="914"/>
      <c r="G21" s="913"/>
      <c r="H21" s="1026"/>
    </row>
    <row r="26" spans="1:8" ht="18.75" x14ac:dyDescent="0.2">
      <c r="A26" s="1016" t="s">
        <v>3473</v>
      </c>
      <c r="B26" s="912" t="s">
        <v>3474</v>
      </c>
      <c r="C26" s="913"/>
      <c r="D26" s="913"/>
      <c r="E26" s="913"/>
      <c r="F26" s="914"/>
      <c r="G26" s="913"/>
    </row>
    <row r="27" spans="1:8" x14ac:dyDescent="0.2">
      <c r="A27" s="1016"/>
      <c r="B27" s="916" t="str">
        <f>"CÔNG TRÌNH : "&amp;'Bia du toan'!$G$12</f>
        <v>CÔNG TRÌNH : TRƯỜNG CAO ĐẲNG LÝ TỰ TRỌNG</v>
      </c>
      <c r="C27" s="913"/>
      <c r="D27" s="913"/>
      <c r="E27" s="913"/>
      <c r="F27" s="914"/>
      <c r="G27" s="913"/>
    </row>
    <row r="28" spans="1:8" x14ac:dyDescent="0.2">
      <c r="A28" s="1016"/>
      <c r="B28" s="916" t="str">
        <f>"HẠNG MỤC : "&amp; 'Bia du toan'!$G$13</f>
        <v>HẠNG MỤC : CẢI TẠO THƯ VIỆN GIAI ĐOẠN 2 - NĂM 2019</v>
      </c>
      <c r="C28" s="913"/>
      <c r="D28" s="913"/>
      <c r="E28" s="913"/>
      <c r="F28" s="914"/>
      <c r="G28" s="913"/>
    </row>
    <row r="29" spans="1:8" x14ac:dyDescent="0.2">
      <c r="A29" s="1015"/>
      <c r="B29" s="917"/>
      <c r="C29" s="917"/>
      <c r="D29" s="917"/>
      <c r="E29" s="917"/>
      <c r="F29" s="918"/>
      <c r="G29" s="917"/>
    </row>
    <row r="30" spans="1:8" ht="50.25" x14ac:dyDescent="0.2">
      <c r="A30" s="1017" t="s">
        <v>3475</v>
      </c>
      <c r="B30" s="920" t="s">
        <v>3412</v>
      </c>
      <c r="C30" s="921" t="s">
        <v>3454</v>
      </c>
      <c r="D30" s="663" t="s">
        <v>3455</v>
      </c>
      <c r="E30" s="663" t="s">
        <v>3456</v>
      </c>
      <c r="F30" s="922" t="s">
        <v>3457</v>
      </c>
      <c r="G30" s="922" t="s">
        <v>3458</v>
      </c>
    </row>
    <row r="31" spans="1:8" ht="15.75" x14ac:dyDescent="0.2">
      <c r="A31" s="1018"/>
      <c r="B31" s="926">
        <v>1</v>
      </c>
      <c r="C31" s="762" t="s">
        <v>3476</v>
      </c>
      <c r="D31" s="406" t="s">
        <v>644</v>
      </c>
      <c r="E31" s="1025">
        <v>0.5</v>
      </c>
      <c r="F31" s="927"/>
      <c r="G31" s="927">
        <f t="shared" ref="G31:G38" si="1">F31*E31</f>
        <v>0</v>
      </c>
    </row>
    <row r="32" spans="1:8" ht="31.5" x14ac:dyDescent="0.2">
      <c r="A32" s="1018"/>
      <c r="B32" s="926">
        <v>2</v>
      </c>
      <c r="C32" s="762" t="s">
        <v>3477</v>
      </c>
      <c r="D32" s="406" t="s">
        <v>3025</v>
      </c>
      <c r="E32" s="1025">
        <v>100</v>
      </c>
      <c r="F32" s="930"/>
      <c r="G32" s="927">
        <f t="shared" si="1"/>
        <v>0</v>
      </c>
    </row>
    <row r="33" spans="1:7" ht="15.75" x14ac:dyDescent="0.2">
      <c r="A33" s="1018"/>
      <c r="B33" s="926">
        <v>3</v>
      </c>
      <c r="C33" s="762" t="s">
        <v>3478</v>
      </c>
      <c r="D33" s="406" t="s">
        <v>3479</v>
      </c>
      <c r="E33" s="1025">
        <v>12</v>
      </c>
      <c r="F33" s="930"/>
      <c r="G33" s="927">
        <f t="shared" si="1"/>
        <v>0</v>
      </c>
    </row>
    <row r="34" spans="1:7" ht="15.75" x14ac:dyDescent="0.2">
      <c r="A34" s="1018"/>
      <c r="B34" s="926"/>
      <c r="C34" s="762"/>
      <c r="D34" s="406"/>
      <c r="E34" s="1025"/>
      <c r="F34" s="930"/>
      <c r="G34" s="927">
        <f t="shared" si="1"/>
        <v>0</v>
      </c>
    </row>
    <row r="35" spans="1:7" ht="15.75" x14ac:dyDescent="0.2">
      <c r="A35" s="1019"/>
      <c r="B35" s="926"/>
      <c r="C35" s="762"/>
      <c r="D35" s="406"/>
      <c r="E35" s="1025"/>
      <c r="F35" s="932"/>
      <c r="G35" s="927">
        <f t="shared" si="1"/>
        <v>0</v>
      </c>
    </row>
    <row r="36" spans="1:7" ht="15.75" x14ac:dyDescent="0.2">
      <c r="A36" s="1019"/>
      <c r="B36" s="926"/>
      <c r="C36" s="762"/>
      <c r="D36" s="406"/>
      <c r="E36" s="1025"/>
      <c r="F36" s="932"/>
      <c r="G36" s="927">
        <f t="shared" si="1"/>
        <v>0</v>
      </c>
    </row>
    <row r="37" spans="1:7" ht="15.75" x14ac:dyDescent="0.2">
      <c r="A37" s="1018"/>
      <c r="B37" s="926"/>
      <c r="C37" s="762"/>
      <c r="D37" s="406"/>
      <c r="E37" s="1025"/>
      <c r="F37" s="930"/>
      <c r="G37" s="927">
        <f t="shared" si="1"/>
        <v>0</v>
      </c>
    </row>
    <row r="38" spans="1:7" ht="15.75" x14ac:dyDescent="0.2">
      <c r="A38" s="1018"/>
      <c r="B38" s="926" t="s">
        <v>3467</v>
      </c>
      <c r="C38" s="762" t="s">
        <v>3468</v>
      </c>
      <c r="D38" s="406"/>
      <c r="E38" s="1025"/>
      <c r="F38" s="930"/>
      <c r="G38" s="927">
        <f t="shared" si="1"/>
        <v>0</v>
      </c>
    </row>
    <row r="39" spans="1:7" x14ac:dyDescent="0.2">
      <c r="A39" s="1020" t="s">
        <v>3480</v>
      </c>
      <c r="B39" s="924"/>
      <c r="C39" s="1878" t="s">
        <v>3481</v>
      </c>
      <c r="D39" s="1879"/>
      <c r="E39" s="1880"/>
      <c r="F39" s="937"/>
      <c r="G39" s="938">
        <f xml:space="preserve"> SUM(G31:G38)</f>
        <v>0</v>
      </c>
    </row>
    <row r="41" spans="1:7" x14ac:dyDescent="0.2">
      <c r="A41" s="1021" t="s">
        <v>3482</v>
      </c>
      <c r="B41" s="943"/>
      <c r="C41" s="943"/>
      <c r="D41" s="913" t="s">
        <v>3438</v>
      </c>
      <c r="E41" s="913"/>
      <c r="F41" s="914"/>
      <c r="G41" s="913"/>
    </row>
    <row r="42" spans="1:7" x14ac:dyDescent="0.2">
      <c r="D42" s="917"/>
      <c r="E42" s="917"/>
      <c r="F42" s="918"/>
      <c r="G42" s="917"/>
    </row>
    <row r="43" spans="1:7" x14ac:dyDescent="0.2">
      <c r="D43" s="917"/>
      <c r="E43" s="917"/>
      <c r="F43" s="918"/>
      <c r="G43" s="917"/>
    </row>
    <row r="44" spans="1:7" x14ac:dyDescent="0.2">
      <c r="D44" s="917"/>
      <c r="E44" s="917"/>
      <c r="F44" s="918"/>
      <c r="G44" s="917"/>
    </row>
    <row r="45" spans="1:7" x14ac:dyDescent="0.2">
      <c r="D45" s="917"/>
      <c r="E45" s="917"/>
      <c r="F45" s="918"/>
      <c r="G45" s="917"/>
    </row>
    <row r="46" spans="1:7" s="915" customFormat="1" ht="14.25" x14ac:dyDescent="0.2">
      <c r="A46" s="1021" t="s">
        <v>3472</v>
      </c>
      <c r="D46" s="913" t="s">
        <v>3440</v>
      </c>
      <c r="E46" s="913"/>
      <c r="F46" s="914"/>
      <c r="G46" s="913"/>
    </row>
    <row r="50" spans="1:7" ht="18.75" x14ac:dyDescent="0.2">
      <c r="A50" s="1016" t="s">
        <v>3484</v>
      </c>
      <c r="B50" s="912" t="s">
        <v>3485</v>
      </c>
      <c r="C50" s="913"/>
      <c r="D50" s="913"/>
      <c r="E50" s="913"/>
      <c r="F50" s="914"/>
      <c r="G50" s="913"/>
    </row>
    <row r="51" spans="1:7" x14ac:dyDescent="0.2">
      <c r="A51" s="1016"/>
      <c r="B51" s="916" t="str">
        <f>"CÔNG TRÌNH : "&amp;'Bia du toan'!$G$12</f>
        <v>CÔNG TRÌNH : TRƯỜNG CAO ĐẲNG LÝ TỰ TRỌNG</v>
      </c>
      <c r="C51" s="913"/>
      <c r="D51" s="913"/>
      <c r="E51" s="913"/>
      <c r="F51" s="914"/>
      <c r="G51" s="913"/>
    </row>
    <row r="52" spans="1:7" x14ac:dyDescent="0.2">
      <c r="A52" s="1016"/>
      <c r="B52" s="916" t="str">
        <f>"HẠNG MỤC : "&amp; 'Bia du toan'!$G$13</f>
        <v>HẠNG MỤC : CẢI TẠO THƯ VIỆN GIAI ĐOẠN 2 - NĂM 2019</v>
      </c>
      <c r="C52" s="913"/>
      <c r="D52" s="913"/>
      <c r="E52" s="913"/>
      <c r="F52" s="914"/>
      <c r="G52" s="913"/>
    </row>
    <row r="53" spans="1:7" x14ac:dyDescent="0.2">
      <c r="A53" s="1015"/>
      <c r="B53" s="917"/>
      <c r="C53" s="917"/>
      <c r="D53" s="917"/>
      <c r="E53" s="917"/>
      <c r="F53" s="918"/>
      <c r="G53" s="917"/>
    </row>
    <row r="54" spans="1:7" ht="50.25" x14ac:dyDescent="0.2">
      <c r="A54" s="1017" t="s">
        <v>3486</v>
      </c>
      <c r="B54" s="920" t="s">
        <v>3412</v>
      </c>
      <c r="C54" s="921" t="s">
        <v>3454</v>
      </c>
      <c r="D54" s="663" t="s">
        <v>3455</v>
      </c>
      <c r="E54" s="663" t="s">
        <v>3456</v>
      </c>
      <c r="F54" s="922" t="s">
        <v>3457</v>
      </c>
      <c r="G54" s="922" t="s">
        <v>3458</v>
      </c>
    </row>
    <row r="55" spans="1:7" ht="15.75" x14ac:dyDescent="0.2">
      <c r="A55" s="1022"/>
      <c r="B55" s="926">
        <v>1</v>
      </c>
      <c r="C55" s="762" t="s">
        <v>3487</v>
      </c>
      <c r="D55" s="406" t="s">
        <v>3460</v>
      </c>
      <c r="E55" s="406">
        <v>10</v>
      </c>
      <c r="F55" s="945"/>
      <c r="G55" s="927">
        <f t="shared" ref="G55:G62" si="2">F55*E55</f>
        <v>0</v>
      </c>
    </row>
    <row r="56" spans="1:7" ht="15.75" x14ac:dyDescent="0.2">
      <c r="A56" s="1022"/>
      <c r="B56" s="926">
        <v>2</v>
      </c>
      <c r="C56" s="762" t="s">
        <v>3488</v>
      </c>
      <c r="D56" s="406" t="s">
        <v>3460</v>
      </c>
      <c r="E56" s="406">
        <v>15</v>
      </c>
      <c r="F56" s="946"/>
      <c r="G56" s="927">
        <f t="shared" si="2"/>
        <v>0</v>
      </c>
    </row>
    <row r="57" spans="1:7" ht="15.75" x14ac:dyDescent="0.2">
      <c r="A57" s="1022"/>
      <c r="B57" s="926">
        <v>3</v>
      </c>
      <c r="C57" s="762" t="s">
        <v>3489</v>
      </c>
      <c r="D57" s="406" t="s">
        <v>3460</v>
      </c>
      <c r="E57" s="406">
        <v>10</v>
      </c>
      <c r="F57" s="946"/>
      <c r="G57" s="927">
        <f t="shared" si="2"/>
        <v>0</v>
      </c>
    </row>
    <row r="58" spans="1:7" ht="15.75" x14ac:dyDescent="0.2">
      <c r="A58" s="1022"/>
      <c r="B58" s="926">
        <v>4</v>
      </c>
      <c r="C58" s="762" t="s">
        <v>3490</v>
      </c>
      <c r="D58" s="406" t="s">
        <v>3460</v>
      </c>
      <c r="E58" s="406">
        <v>20</v>
      </c>
      <c r="F58" s="946"/>
      <c r="G58" s="927">
        <f t="shared" si="2"/>
        <v>0</v>
      </c>
    </row>
    <row r="59" spans="1:7" ht="15.75" x14ac:dyDescent="0.2">
      <c r="A59" s="1023"/>
      <c r="B59" s="926">
        <v>5</v>
      </c>
      <c r="C59" s="762" t="s">
        <v>3491</v>
      </c>
      <c r="D59" s="406" t="s">
        <v>3460</v>
      </c>
      <c r="E59" s="406">
        <v>30</v>
      </c>
      <c r="F59" s="947"/>
      <c r="G59" s="927">
        <f t="shared" si="2"/>
        <v>0</v>
      </c>
    </row>
    <row r="60" spans="1:7" ht="15.75" x14ac:dyDescent="0.2">
      <c r="A60" s="1023"/>
      <c r="B60" s="926">
        <v>6</v>
      </c>
      <c r="C60" s="762" t="s">
        <v>3492</v>
      </c>
      <c r="D60" s="406" t="s">
        <v>3460</v>
      </c>
      <c r="E60" s="406">
        <v>40</v>
      </c>
      <c r="F60" s="947"/>
      <c r="G60" s="927">
        <f t="shared" si="2"/>
        <v>0</v>
      </c>
    </row>
    <row r="61" spans="1:7" ht="15.75" x14ac:dyDescent="0.2">
      <c r="A61" s="1018"/>
      <c r="B61" s="926"/>
      <c r="C61" s="948"/>
      <c r="D61" s="949"/>
      <c r="E61" s="949"/>
      <c r="F61" s="930"/>
      <c r="G61" s="927">
        <f t="shared" si="2"/>
        <v>0</v>
      </c>
    </row>
    <row r="62" spans="1:7" ht="15.75" x14ac:dyDescent="0.2">
      <c r="A62" s="1018"/>
      <c r="B62" s="926" t="s">
        <v>3467</v>
      </c>
      <c r="C62" s="762" t="s">
        <v>3468</v>
      </c>
      <c r="D62" s="406"/>
      <c r="E62" s="406"/>
      <c r="F62" s="930"/>
      <c r="G62" s="927">
        <f t="shared" si="2"/>
        <v>0</v>
      </c>
    </row>
    <row r="63" spans="1:7" x14ac:dyDescent="0.2">
      <c r="A63" s="1020" t="s">
        <v>3493</v>
      </c>
      <c r="B63" s="924"/>
      <c r="C63" s="1878" t="s">
        <v>3494</v>
      </c>
      <c r="D63" s="1879"/>
      <c r="E63" s="1880"/>
      <c r="F63" s="937"/>
      <c r="G63" s="938">
        <f xml:space="preserve"> SUM(G55:G62)</f>
        <v>0</v>
      </c>
    </row>
    <row r="65" spans="1:7" x14ac:dyDescent="0.2">
      <c r="A65" s="1021" t="s">
        <v>3495</v>
      </c>
      <c r="B65" s="943"/>
      <c r="C65" s="943"/>
      <c r="D65" s="913" t="s">
        <v>3438</v>
      </c>
      <c r="E65" s="913"/>
      <c r="F65" s="914"/>
      <c r="G65" s="913"/>
    </row>
    <row r="66" spans="1:7" x14ac:dyDescent="0.2">
      <c r="D66" s="917"/>
      <c r="E66" s="917"/>
      <c r="F66" s="918"/>
      <c r="G66" s="917"/>
    </row>
    <row r="67" spans="1:7" x14ac:dyDescent="0.2">
      <c r="D67" s="917"/>
      <c r="E67" s="917"/>
      <c r="F67" s="918"/>
      <c r="G67" s="917"/>
    </row>
    <row r="68" spans="1:7" x14ac:dyDescent="0.2">
      <c r="D68" s="917"/>
      <c r="E68" s="917"/>
      <c r="F68" s="918"/>
      <c r="G68" s="917"/>
    </row>
    <row r="69" spans="1:7" x14ac:dyDescent="0.2">
      <c r="D69" s="917"/>
      <c r="E69" s="917"/>
      <c r="F69" s="918"/>
      <c r="G69" s="917"/>
    </row>
    <row r="70" spans="1:7" s="915" customFormat="1" ht="14.25" x14ac:dyDescent="0.2">
      <c r="A70" s="1021" t="s">
        <v>3496</v>
      </c>
      <c r="D70" s="913" t="s">
        <v>3440</v>
      </c>
      <c r="E70" s="913"/>
      <c r="F70" s="914"/>
      <c r="G70" s="913"/>
    </row>
    <row r="72" spans="1:7" ht="18.75" x14ac:dyDescent="0.2">
      <c r="A72" s="1016" t="s">
        <v>3497</v>
      </c>
      <c r="B72" s="912" t="s">
        <v>3498</v>
      </c>
      <c r="C72" s="913"/>
      <c r="D72" s="913"/>
      <c r="E72" s="913"/>
      <c r="F72" s="914"/>
      <c r="G72" s="913"/>
    </row>
    <row r="73" spans="1:7" x14ac:dyDescent="0.2">
      <c r="A73" s="1016"/>
      <c r="B73" s="916" t="str">
        <f>"CÔNG TRÌNH : "&amp;'Bia du toan'!$G$12</f>
        <v>CÔNG TRÌNH : TRƯỜNG CAO ĐẲNG LÝ TỰ TRỌNG</v>
      </c>
      <c r="C73" s="913"/>
      <c r="D73" s="913"/>
      <c r="E73" s="913"/>
      <c r="F73" s="914"/>
      <c r="G73" s="913"/>
    </row>
    <row r="74" spans="1:7" x14ac:dyDescent="0.2">
      <c r="A74" s="1016"/>
      <c r="B74" s="916" t="str">
        <f>"HẠNG MỤC : "&amp; 'Bia du toan'!$G$13</f>
        <v>HẠNG MỤC : CẢI TẠO THƯ VIỆN GIAI ĐOẠN 2 - NĂM 2019</v>
      </c>
      <c r="C74" s="913"/>
      <c r="D74" s="913"/>
      <c r="E74" s="913"/>
      <c r="F74" s="914"/>
      <c r="G74" s="913"/>
    </row>
    <row r="75" spans="1:7" x14ac:dyDescent="0.2">
      <c r="A75" s="1015"/>
      <c r="B75" s="917"/>
      <c r="C75" s="917"/>
      <c r="D75" s="917"/>
      <c r="E75" s="917"/>
      <c r="F75" s="918"/>
      <c r="G75" s="917"/>
    </row>
    <row r="76" spans="1:7" ht="34.5" x14ac:dyDescent="0.2">
      <c r="A76" s="1020" t="s">
        <v>3499</v>
      </c>
      <c r="B76" s="950" t="s">
        <v>15</v>
      </c>
      <c r="C76" s="1881" t="s">
        <v>1474</v>
      </c>
      <c r="D76" s="1882"/>
      <c r="E76" s="1882"/>
      <c r="F76" s="1883"/>
      <c r="G76" s="951" t="s">
        <v>3500</v>
      </c>
    </row>
    <row r="77" spans="1:7" ht="15.75" x14ac:dyDescent="0.2">
      <c r="A77" s="1018" t="s">
        <v>3501</v>
      </c>
      <c r="B77" s="926">
        <v>1</v>
      </c>
      <c r="C77" s="1876" t="s">
        <v>3502</v>
      </c>
      <c r="D77" s="1876"/>
      <c r="E77" s="1876"/>
      <c r="F77" s="1876"/>
      <c r="G77" s="927">
        <f xml:space="preserve"> G$14</f>
        <v>0</v>
      </c>
    </row>
    <row r="78" spans="1:7" ht="15.75" x14ac:dyDescent="0.2">
      <c r="A78" s="1018" t="s">
        <v>3503</v>
      </c>
      <c r="B78" s="926">
        <v>2</v>
      </c>
      <c r="C78" s="1876" t="s">
        <v>3504</v>
      </c>
      <c r="D78" s="1876"/>
      <c r="E78" s="1876"/>
      <c r="F78" s="1876"/>
      <c r="G78" s="927">
        <f xml:space="preserve"> G$39</f>
        <v>0</v>
      </c>
    </row>
    <row r="79" spans="1:7" ht="15.75" x14ac:dyDescent="0.2">
      <c r="A79" s="1018" t="s">
        <v>3505</v>
      </c>
      <c r="B79" s="926">
        <v>3</v>
      </c>
      <c r="C79" s="1876" t="s">
        <v>3506</v>
      </c>
      <c r="D79" s="1876"/>
      <c r="E79" s="1876"/>
      <c r="F79" s="1876"/>
      <c r="G79" s="927">
        <f xml:space="preserve"> G$63</f>
        <v>0</v>
      </c>
    </row>
    <row r="80" spans="1:7" ht="41.25" customHeight="1" x14ac:dyDescent="0.2">
      <c r="A80" s="1020" t="s">
        <v>3507</v>
      </c>
      <c r="B80" s="924"/>
      <c r="C80" s="1877" t="s">
        <v>3508</v>
      </c>
      <c r="D80" s="1877"/>
      <c r="E80" s="1877"/>
      <c r="F80" s="1877"/>
      <c r="G80" s="952">
        <f xml:space="preserve"> G$78+G$77+G$79</f>
        <v>0</v>
      </c>
    </row>
    <row r="81" spans="1:7" x14ac:dyDescent="0.2">
      <c r="C81" s="953"/>
      <c r="D81" s="953"/>
      <c r="E81" s="953"/>
      <c r="F81" s="953"/>
    </row>
    <row r="82" spans="1:7" x14ac:dyDescent="0.2">
      <c r="A82" s="1021"/>
      <c r="B82" s="943"/>
      <c r="C82" s="954"/>
      <c r="D82" s="955" t="s">
        <v>3438</v>
      </c>
      <c r="E82" s="955"/>
      <c r="F82" s="956"/>
      <c r="G82" s="913"/>
    </row>
    <row r="83" spans="1:7" x14ac:dyDescent="0.2">
      <c r="C83" s="953"/>
      <c r="D83" s="957"/>
      <c r="E83" s="957"/>
      <c r="F83" s="958"/>
      <c r="G83" s="917"/>
    </row>
    <row r="84" spans="1:7" x14ac:dyDescent="0.2">
      <c r="C84" s="953"/>
      <c r="D84" s="957"/>
      <c r="E84" s="957"/>
      <c r="F84" s="958"/>
      <c r="G84" s="917"/>
    </row>
    <row r="85" spans="1:7" x14ac:dyDescent="0.2">
      <c r="D85" s="917"/>
      <c r="E85" s="917"/>
      <c r="F85" s="918"/>
      <c r="G85" s="917"/>
    </row>
    <row r="86" spans="1:7" x14ac:dyDescent="0.2">
      <c r="D86" s="917"/>
      <c r="E86" s="917"/>
      <c r="F86" s="918"/>
      <c r="G86" s="917"/>
    </row>
    <row r="87" spans="1:7" s="915" customFormat="1" ht="14.25" x14ac:dyDescent="0.2">
      <c r="A87" s="1021" t="s">
        <v>3509</v>
      </c>
      <c r="D87" s="913" t="s">
        <v>3440</v>
      </c>
      <c r="E87" s="913"/>
      <c r="F87" s="914"/>
      <c r="G87" s="913"/>
    </row>
  </sheetData>
  <mergeCells count="8">
    <mergeCell ref="C79:F79"/>
    <mergeCell ref="C80:F80"/>
    <mergeCell ref="C14:E14"/>
    <mergeCell ref="C39:E39"/>
    <mergeCell ref="C63:E63"/>
    <mergeCell ref="C76:F76"/>
    <mergeCell ref="C77:F77"/>
    <mergeCell ref="C78:F78"/>
  </mergeCells>
  <pageMargins left="0.7" right="0.12" top="0.56999999999999995" bottom="0.6" header="0.3" footer="0.3"/>
  <pageSetup orientation="landscape" r:id="rId1"/>
  <headerFooter>
    <oddHeader>&amp;L&amp;"Arial,Bold"Dự toán Bắc Nam -  &amp;"Arial,Italic"ÐT: 0966.966.455</oddHeader>
    <oddFooter>&amp;RTrang &amp;P/&amp;N</oddFooter>
  </headerFooter>
  <legacyDrawing r:id="rId2"/>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Tamtinh"/>
  <dimension ref="A1:E17"/>
  <sheetViews>
    <sheetView topLeftCell="B1" workbookViewId="0">
      <selection activeCell="F12" sqref="F12"/>
    </sheetView>
  </sheetViews>
  <sheetFormatPr defaultRowHeight="12.75" outlineLevelCol="1" x14ac:dyDescent="0.2"/>
  <cols>
    <col min="1" max="1" width="7.140625" style="975" hidden="1" customWidth="1" outlineLevel="1"/>
    <col min="2" max="2" width="8.42578125" style="962" customWidth="1" collapsed="1"/>
    <col min="3" max="3" width="10.28515625" style="962" customWidth="1"/>
    <col min="4" max="4" width="79.5703125" style="962" customWidth="1"/>
    <col min="5" max="5" width="13.42578125" style="1037" customWidth="1"/>
    <col min="6" max="6" width="30.85546875" style="962" customWidth="1"/>
    <col min="7" max="16384" width="9.140625" style="962"/>
  </cols>
  <sheetData>
    <row r="1" spans="1:5" ht="18.75" customHeight="1" x14ac:dyDescent="0.2">
      <c r="A1" s="959"/>
      <c r="B1" s="960" t="s">
        <v>3510</v>
      </c>
      <c r="C1" s="961"/>
      <c r="D1" s="961"/>
      <c r="E1" s="961"/>
    </row>
    <row r="2" spans="1:5" ht="14.25" customHeight="1" x14ac:dyDescent="0.2">
      <c r="A2" s="959"/>
      <c r="B2" s="963" t="str">
        <f>"CÔNG TRÌNH : "&amp;'Bia du toan'!$G$12</f>
        <v>CÔNG TRÌNH : TRƯỜNG CAO ĐẲNG LÝ TỰ TRỌNG</v>
      </c>
      <c r="C2" s="961"/>
      <c r="D2" s="961"/>
      <c r="E2" s="961"/>
    </row>
    <row r="3" spans="1:5" ht="14.25" customHeight="1" x14ac:dyDescent="0.2">
      <c r="A3" s="959"/>
      <c r="B3" s="963" t="str">
        <f>"HẠNG MỤC : "&amp; 'Bia du toan'!$G$13</f>
        <v>HẠNG MỤC : CẢI TẠO THƯ VIỆN GIAI ĐOẠN 2 - NĂM 2019</v>
      </c>
      <c r="C3" s="961"/>
      <c r="D3" s="961"/>
      <c r="E3" s="961"/>
    </row>
    <row r="4" spans="1:5" ht="9.75" customHeight="1" x14ac:dyDescent="0.2">
      <c r="A4" s="964"/>
      <c r="B4" s="965"/>
      <c r="C4" s="965"/>
      <c r="D4" s="965"/>
      <c r="E4" s="965"/>
    </row>
    <row r="5" spans="1:5" ht="69.75" customHeight="1" x14ac:dyDescent="0.2">
      <c r="A5" s="966"/>
      <c r="B5" s="1884" t="s">
        <v>3511</v>
      </c>
      <c r="C5" s="1884"/>
      <c r="D5" s="1884"/>
      <c r="E5" s="1884"/>
    </row>
    <row r="6" spans="1:5" ht="15" x14ac:dyDescent="0.2">
      <c r="A6" s="964"/>
      <c r="B6" s="965"/>
      <c r="C6" s="965"/>
      <c r="D6" s="965"/>
      <c r="E6" s="965"/>
    </row>
    <row r="7" spans="1:5" ht="34.5" x14ac:dyDescent="0.2">
      <c r="A7" s="959" t="s">
        <v>3512</v>
      </c>
      <c r="B7" s="354" t="s">
        <v>3513</v>
      </c>
      <c r="C7" s="354" t="s">
        <v>3412</v>
      </c>
      <c r="D7" s="924" t="s">
        <v>3454</v>
      </c>
      <c r="E7" s="951" t="s">
        <v>3500</v>
      </c>
    </row>
    <row r="8" spans="1:5" ht="15.75" x14ac:dyDescent="0.2">
      <c r="A8" s="964"/>
      <c r="B8" s="926">
        <v>1</v>
      </c>
      <c r="C8" s="406">
        <v>15</v>
      </c>
      <c r="D8" s="967" t="s">
        <v>3514</v>
      </c>
      <c r="E8" s="927"/>
    </row>
    <row r="9" spans="1:5" ht="15.75" x14ac:dyDescent="0.2">
      <c r="A9" s="964"/>
      <c r="B9" s="926">
        <v>2</v>
      </c>
      <c r="C9" s="406">
        <v>19</v>
      </c>
      <c r="D9" s="967" t="s">
        <v>3515</v>
      </c>
      <c r="E9" s="927"/>
    </row>
    <row r="10" spans="1:5" ht="48.75" customHeight="1" x14ac:dyDescent="0.2">
      <c r="A10" s="1036" t="s">
        <v>3516</v>
      </c>
      <c r="B10" s="1877" t="s">
        <v>3517</v>
      </c>
      <c r="C10" s="1877"/>
      <c r="D10" s="1877"/>
      <c r="E10" s="952">
        <f>SUM(E8:E9)</f>
        <v>0</v>
      </c>
    </row>
    <row r="11" spans="1:5" ht="15" x14ac:dyDescent="0.2">
      <c r="A11" s="966"/>
      <c r="B11" s="968"/>
      <c r="C11" s="969"/>
      <c r="D11" s="969"/>
      <c r="E11" s="968"/>
    </row>
    <row r="12" spans="1:5" ht="14.25" x14ac:dyDescent="0.2">
      <c r="A12" s="970"/>
      <c r="B12" s="971"/>
      <c r="C12" s="972"/>
      <c r="D12" s="973" t="s">
        <v>3438</v>
      </c>
      <c r="E12" s="961"/>
    </row>
    <row r="13" spans="1:5" ht="15" x14ac:dyDescent="0.2">
      <c r="A13" s="966"/>
      <c r="B13" s="968"/>
      <c r="C13" s="969"/>
      <c r="D13" s="974"/>
      <c r="E13" s="965"/>
    </row>
    <row r="14" spans="1:5" ht="15" x14ac:dyDescent="0.2">
      <c r="A14" s="966"/>
      <c r="B14" s="968"/>
      <c r="C14" s="969"/>
      <c r="D14" s="974"/>
      <c r="E14" s="965"/>
    </row>
    <row r="15" spans="1:5" ht="15" x14ac:dyDescent="0.2">
      <c r="A15" s="966"/>
      <c r="B15" s="968"/>
      <c r="C15" s="968"/>
      <c r="D15" s="965"/>
      <c r="E15" s="965"/>
    </row>
    <row r="16" spans="1:5" ht="15" x14ac:dyDescent="0.2">
      <c r="A16" s="966"/>
      <c r="B16" s="968"/>
      <c r="C16" s="968"/>
      <c r="D16" s="965"/>
      <c r="E16" s="965"/>
    </row>
    <row r="17" spans="1:5" s="1028" customFormat="1" ht="14.25" x14ac:dyDescent="0.2">
      <c r="A17" s="970" t="s">
        <v>3521</v>
      </c>
      <c r="B17" s="1027"/>
      <c r="C17" s="1027"/>
      <c r="D17" s="961" t="s">
        <v>3440</v>
      </c>
      <c r="E17" s="961"/>
    </row>
  </sheetData>
  <mergeCells count="2">
    <mergeCell ref="B5:E5"/>
    <mergeCell ref="B10:D10"/>
  </mergeCells>
  <dataValidations count="1">
    <dataValidation allowBlank="1" showInputMessage="1" showErrorMessage="1" promptTitle="Ghi chú" prompt="Không xóa cột này" sqref="A1:A1048576"/>
  </dataValidations>
  <pageMargins left="0.7" right="0.12" top="0.56999999999999995" bottom="0.6" header="0.3" footer="0.3"/>
  <pageSetup orientation="landscape" r:id="rId1"/>
  <headerFooter>
    <oddHeader>&amp;L&amp;"Arial,Bold"Dự toán Bắc Nam -  &amp;"Arial,Italic"ÐT: 0966.966.455</oddHeader>
    <oddFooter>&amp;RTrang &amp;P/&amp;N</oddFooter>
  </headerFooter>
  <legacyDrawing r:id="rId2"/>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DGCG_Goithau"/>
  <dimension ref="A1:AC5"/>
  <sheetViews>
    <sheetView workbookViewId="0">
      <selection activeCell="E7" sqref="E7"/>
    </sheetView>
  </sheetViews>
  <sheetFormatPr defaultRowHeight="15" outlineLevelCol="1" x14ac:dyDescent="0.2"/>
  <cols>
    <col min="1" max="1" width="4.85546875" style="119" customWidth="1"/>
    <col min="2" max="2" width="11.28515625" style="119" customWidth="1"/>
    <col min="3" max="3" width="11.5703125" style="119" hidden="1" customWidth="1" outlineLevel="1"/>
    <col min="4" max="4" width="38.140625" style="119" customWidth="1" collapsed="1"/>
    <col min="5" max="5" width="7.140625" style="124" bestFit="1" customWidth="1"/>
    <col min="6" max="6" width="26.42578125" style="119" hidden="1" customWidth="1"/>
    <col min="7" max="7" width="11.140625" style="262" customWidth="1"/>
    <col min="8" max="8" width="6.140625" style="119" hidden="1" customWidth="1"/>
    <col min="9" max="9" width="8.140625" style="259" bestFit="1" customWidth="1"/>
    <col min="10" max="10" width="10.5703125" style="259" bestFit="1" customWidth="1"/>
    <col min="11" max="11" width="13.85546875" style="259" hidden="1" customWidth="1"/>
    <col min="12" max="12" width="10.7109375" style="259" hidden="1" customWidth="1"/>
    <col min="13" max="18" width="10.5703125" style="259" hidden="1" customWidth="1" outlineLevel="1"/>
    <col min="19" max="19" width="15.28515625" style="259" hidden="1" customWidth="1" outlineLevel="1"/>
    <col min="20" max="26" width="10.5703125" style="259" hidden="1" customWidth="1" outlineLevel="1"/>
    <col min="27" max="28" width="10.5703125" style="119" hidden="1" customWidth="1" outlineLevel="1"/>
    <col min="29" max="29" width="0" style="119" hidden="1" customWidth="1" collapsed="1"/>
    <col min="30" max="31" width="0" style="119" hidden="1" customWidth="1"/>
    <col min="32" max="16384" width="9.140625" style="119"/>
  </cols>
  <sheetData>
    <row r="1" spans="1:28" s="103" customFormat="1" ht="20.25" x14ac:dyDescent="0.3">
      <c r="A1" s="242" t="s">
        <v>3560</v>
      </c>
      <c r="B1" s="243"/>
      <c r="C1" s="243"/>
      <c r="D1" s="243"/>
      <c r="E1" s="243"/>
      <c r="F1" s="243"/>
      <c r="G1" s="260"/>
      <c r="H1" s="243" t="s">
        <v>421</v>
      </c>
      <c r="I1" s="244"/>
      <c r="J1" s="244"/>
      <c r="K1" s="244"/>
      <c r="L1" s="244"/>
      <c r="M1" s="244"/>
      <c r="N1" s="244"/>
      <c r="O1" s="244"/>
      <c r="P1" s="244"/>
      <c r="Q1" s="244"/>
      <c r="R1" s="244"/>
      <c r="S1" s="244"/>
      <c r="T1" s="244"/>
      <c r="U1" s="244"/>
      <c r="V1" s="244"/>
      <c r="W1" s="244"/>
      <c r="X1" s="244"/>
      <c r="Y1" s="244"/>
      <c r="Z1" s="244"/>
      <c r="AA1" s="243"/>
      <c r="AB1" s="243"/>
    </row>
    <row r="2" spans="1:28" s="264" customFormat="1" ht="14.25" x14ac:dyDescent="0.2">
      <c r="A2" s="263" t="str">
        <f>"CÔNG TRÌNH : "&amp;'Bia du toan'!$G$12</f>
        <v>CÔNG TRÌNH : TRƯỜNG CAO ĐẲNG LÝ TỰ TRỌNG</v>
      </c>
      <c r="B2" s="263"/>
      <c r="C2" s="263"/>
      <c r="D2" s="263"/>
      <c r="E2" s="263"/>
      <c r="F2" s="263"/>
      <c r="G2" s="265"/>
      <c r="H2" s="263"/>
      <c r="I2" s="266"/>
      <c r="J2" s="266"/>
      <c r="K2" s="266"/>
      <c r="L2" s="266"/>
      <c r="M2" s="266"/>
      <c r="N2" s="266"/>
      <c r="O2" s="266"/>
      <c r="P2" s="266"/>
      <c r="Q2" s="266"/>
      <c r="R2" s="266"/>
      <c r="S2" s="266"/>
      <c r="T2" s="266"/>
      <c r="U2" s="266"/>
      <c r="V2" s="266"/>
      <c r="W2" s="266"/>
      <c r="X2" s="266"/>
      <c r="Y2" s="266"/>
      <c r="Z2" s="266"/>
      <c r="AA2" s="263"/>
      <c r="AB2" s="263"/>
    </row>
    <row r="3" spans="1:28" s="264" customFormat="1" ht="14.25" x14ac:dyDescent="0.2">
      <c r="A3" s="263" t="str">
        <f>"HẠNG MỤC : "&amp; 'Bia du toan'!$G$13</f>
        <v>HẠNG MỤC : CẢI TẠO THƯ VIỆN GIAI ĐOẠN 2 - NĂM 2019</v>
      </c>
      <c r="B3" s="263"/>
      <c r="C3" s="263"/>
      <c r="D3" s="263"/>
      <c r="E3" s="263"/>
      <c r="F3" s="263"/>
      <c r="G3" s="265"/>
      <c r="H3" s="263"/>
      <c r="I3" s="266"/>
      <c r="J3" s="266"/>
      <c r="K3" s="266"/>
      <c r="L3" s="266"/>
      <c r="M3" s="266"/>
      <c r="N3" s="266"/>
      <c r="O3" s="266"/>
      <c r="P3" s="266"/>
      <c r="Q3" s="266"/>
      <c r="R3" s="266"/>
      <c r="S3" s="266"/>
      <c r="T3" s="266"/>
      <c r="U3" s="266"/>
      <c r="V3" s="266"/>
      <c r="W3" s="266"/>
      <c r="X3" s="266"/>
      <c r="Y3" s="266"/>
      <c r="Z3" s="266"/>
      <c r="AA3" s="263"/>
      <c r="AB3" s="263"/>
    </row>
    <row r="4" spans="1:28" s="103" customFormat="1" x14ac:dyDescent="0.25">
      <c r="A4" s="243"/>
      <c r="B4" s="243"/>
      <c r="C4" s="243"/>
      <c r="D4" s="243"/>
      <c r="E4" s="243"/>
      <c r="F4" s="243"/>
      <c r="G4" s="260"/>
      <c r="H4" s="243"/>
      <c r="I4" s="244"/>
      <c r="J4" s="244"/>
      <c r="K4" s="244"/>
      <c r="L4" s="244"/>
      <c r="M4" s="244"/>
      <c r="N4" s="244"/>
      <c r="O4" s="244"/>
      <c r="P4" s="244"/>
      <c r="Q4" s="244"/>
      <c r="R4" s="244"/>
      <c r="S4" s="244"/>
      <c r="T4" s="244"/>
      <c r="U4" s="244"/>
      <c r="V4" s="244"/>
      <c r="W4" s="244"/>
      <c r="X4" s="244"/>
      <c r="Y4" s="244"/>
      <c r="Z4" s="244"/>
      <c r="AA4" s="243"/>
      <c r="AB4" s="243"/>
    </row>
    <row r="5" spans="1:28" s="103" customFormat="1" ht="28.5" customHeight="1" x14ac:dyDescent="0.25">
      <c r="A5" s="1071" t="s">
        <v>15</v>
      </c>
      <c r="B5" s="395" t="s">
        <v>266</v>
      </c>
      <c r="C5" s="1071" t="s">
        <v>256</v>
      </c>
      <c r="D5" s="1071" t="s">
        <v>257</v>
      </c>
      <c r="E5" s="1071" t="s">
        <v>236</v>
      </c>
      <c r="F5" s="1071" t="s">
        <v>270</v>
      </c>
      <c r="G5" s="287" t="s">
        <v>233</v>
      </c>
      <c r="H5" s="1072" t="s">
        <v>241</v>
      </c>
      <c r="I5" s="1072" t="s">
        <v>238</v>
      </c>
      <c r="J5" s="1072" t="s">
        <v>239</v>
      </c>
      <c r="K5" s="1076" t="s">
        <v>271</v>
      </c>
      <c r="L5" s="1076" t="s">
        <v>272</v>
      </c>
      <c r="M5" s="1076" t="s">
        <v>273</v>
      </c>
      <c r="N5" s="1076" t="s">
        <v>274</v>
      </c>
      <c r="O5" s="1076" t="s">
        <v>275</v>
      </c>
      <c r="P5" s="1076" t="s">
        <v>276</v>
      </c>
      <c r="Q5" s="1076" t="s">
        <v>277</v>
      </c>
      <c r="R5" s="1076" t="s">
        <v>278</v>
      </c>
      <c r="S5" s="1076" t="s">
        <v>279</v>
      </c>
      <c r="T5" s="1076" t="s">
        <v>280</v>
      </c>
      <c r="U5" s="1076" t="s">
        <v>281</v>
      </c>
      <c r="V5" s="1076" t="s">
        <v>282</v>
      </c>
      <c r="W5" s="1076" t="s">
        <v>283</v>
      </c>
      <c r="X5" s="1076" t="s">
        <v>284</v>
      </c>
      <c r="Y5" s="1076" t="s">
        <v>285</v>
      </c>
      <c r="Z5" s="1076" t="s">
        <v>286</v>
      </c>
      <c r="AA5" s="1076" t="s">
        <v>252</v>
      </c>
      <c r="AB5" s="1076" t="s">
        <v>253</v>
      </c>
    </row>
  </sheetData>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DuthauHM"/>
  <dimension ref="A1:G8"/>
  <sheetViews>
    <sheetView workbookViewId="0"/>
  </sheetViews>
  <sheetFormatPr defaultRowHeight="15" x14ac:dyDescent="0.25"/>
  <cols>
    <col min="1" max="1" width="7.5703125" style="708" bestFit="1" customWidth="1"/>
    <col min="2" max="2" width="63.7109375" style="118" bestFit="1" customWidth="1"/>
    <col min="3" max="3" width="9.140625" style="708" customWidth="1"/>
    <col min="4" max="4" width="12" style="120" customWidth="1"/>
    <col min="5" max="5" width="11.28515625" style="118" customWidth="1"/>
    <col min="6" max="6" width="13.140625" style="508" customWidth="1"/>
    <col min="7" max="10" width="9.140625" style="2"/>
    <col min="11" max="11" width="10.28515625" style="2" bestFit="1" customWidth="1"/>
    <col min="12" max="16384" width="9.140625" style="2"/>
  </cols>
  <sheetData>
    <row r="1" spans="1:7" x14ac:dyDescent="0.25">
      <c r="A1"/>
      <c r="B1"/>
      <c r="C1"/>
      <c r="D1"/>
      <c r="E1"/>
      <c r="F1"/>
      <c r="G1"/>
    </row>
    <row r="2" spans="1:7" ht="16.5" x14ac:dyDescent="0.25">
      <c r="A2" s="883"/>
      <c r="B2" s="881"/>
      <c r="C2" s="1885"/>
      <c r="D2" s="1885"/>
      <c r="E2" s="1885"/>
      <c r="F2" s="1885"/>
      <c r="G2"/>
    </row>
    <row r="3" spans="1:7" ht="16.5" x14ac:dyDescent="0.25">
      <c r="A3" s="883"/>
      <c r="B3" s="882"/>
      <c r="C3" s="881"/>
      <c r="D3" s="979"/>
      <c r="E3" s="883"/>
      <c r="F3" s="883"/>
      <c r="G3"/>
    </row>
    <row r="4" spans="1:7" ht="16.5" x14ac:dyDescent="0.25">
      <c r="A4" s="883"/>
      <c r="B4" s="883"/>
      <c r="C4" s="883"/>
      <c r="D4" s="979"/>
      <c r="E4" s="883"/>
      <c r="F4" s="883"/>
      <c r="G4"/>
    </row>
    <row r="5" spans="1:7" ht="16.5" x14ac:dyDescent="0.25">
      <c r="A5" s="883"/>
      <c r="B5" s="883"/>
      <c r="C5" s="883"/>
      <c r="D5" s="979"/>
      <c r="E5" s="883"/>
      <c r="F5" s="883"/>
      <c r="G5"/>
    </row>
    <row r="6" spans="1:7" ht="16.5" x14ac:dyDescent="0.25">
      <c r="A6" s="883"/>
      <c r="B6" s="883"/>
      <c r="C6" s="883"/>
      <c r="D6" s="979"/>
      <c r="E6" s="883"/>
      <c r="F6" s="883"/>
      <c r="G6"/>
    </row>
    <row r="7" spans="1:7" ht="16.5" x14ac:dyDescent="0.25">
      <c r="A7" s="883"/>
      <c r="B7" s="883"/>
      <c r="C7" s="883"/>
      <c r="D7" s="979"/>
      <c r="E7" s="883"/>
      <c r="F7" s="883"/>
      <c r="G7"/>
    </row>
    <row r="8" spans="1:7" x14ac:dyDescent="0.25">
      <c r="A8" s="884"/>
      <c r="B8" s="884"/>
      <c r="C8" s="1875"/>
      <c r="D8" s="1875"/>
      <c r="E8" s="1875"/>
      <c r="F8" s="1875"/>
      <c r="G8"/>
    </row>
  </sheetData>
  <mergeCells count="2">
    <mergeCell ref="C2:F2"/>
    <mergeCell ref="C8:F8"/>
  </mergeCells>
  <pageMargins left="0.7" right="0.7" top="0.75" bottom="0.75" header="0.3" footer="0.3"/>
  <pageSetup orientation="landscape"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HDTG"/>
  <dimension ref="A1:I14"/>
  <sheetViews>
    <sheetView topLeftCell="B1" workbookViewId="0">
      <selection activeCell="C7" sqref="C7"/>
    </sheetView>
  </sheetViews>
  <sheetFormatPr defaultRowHeight="15" outlineLevelCol="1" x14ac:dyDescent="0.25"/>
  <cols>
    <col min="1" max="1" width="8.7109375" style="893" hidden="1" customWidth="1" outlineLevel="1"/>
    <col min="2" max="2" width="5" style="118" bestFit="1" customWidth="1" collapsed="1"/>
    <col min="3" max="3" width="46.42578125" style="118" customWidth="1"/>
    <col min="4" max="4" width="21.28515625" style="118" customWidth="1"/>
    <col min="5" max="5" width="9.140625" style="708"/>
    <col min="6" max="6" width="13.28515625" style="120" customWidth="1"/>
    <col min="7" max="7" width="12.140625" style="904" customWidth="1"/>
    <col min="8" max="8" width="11" style="904" bestFit="1" customWidth="1"/>
    <col min="9" max="16384" width="9.140625" style="118"/>
  </cols>
  <sheetData>
    <row r="1" spans="1:9" s="192" customFormat="1" ht="33" customHeight="1" x14ac:dyDescent="0.2">
      <c r="A1" s="907" t="s">
        <v>1372</v>
      </c>
      <c r="B1" s="266" t="s">
        <v>3442</v>
      </c>
      <c r="C1" s="125"/>
      <c r="D1" s="125"/>
      <c r="E1" s="125"/>
      <c r="F1" s="491"/>
      <c r="G1" s="896"/>
      <c r="H1" s="896"/>
      <c r="I1" s="125"/>
    </row>
    <row r="2" spans="1:9" s="192" customFormat="1" ht="14.25" customHeight="1" x14ac:dyDescent="0.2">
      <c r="A2" s="907" t="s">
        <v>3518</v>
      </c>
      <c r="B2" s="266" t="str">
        <f>"CÔNG TRÌNH : "&amp;'Bia du toan'!$G$12</f>
        <v>CÔNG TRÌNH : TRƯỜNG CAO ĐẲNG LÝ TỰ TRỌNG</v>
      </c>
      <c r="C2" s="125"/>
      <c r="D2" s="125"/>
      <c r="E2" s="125"/>
      <c r="F2" s="491"/>
      <c r="G2" s="896"/>
      <c r="H2" s="896"/>
      <c r="I2" s="125"/>
    </row>
    <row r="3" spans="1:9" s="192" customFormat="1" ht="14.25" customHeight="1" x14ac:dyDescent="0.2">
      <c r="A3" s="907" t="s">
        <v>3519</v>
      </c>
      <c r="B3" s="266" t="str">
        <f>"HẠNG MỤC : "&amp; 'Bia du toan'!$G$13</f>
        <v>HẠNG MỤC : CẢI TẠO THƯ VIỆN GIAI ĐOẠN 2 - NĂM 2019</v>
      </c>
      <c r="C3" s="125"/>
      <c r="D3" s="125"/>
      <c r="E3" s="125"/>
      <c r="F3" s="491"/>
      <c r="G3" s="896"/>
      <c r="H3" s="896"/>
      <c r="I3" s="125"/>
    </row>
    <row r="4" spans="1:9" x14ac:dyDescent="0.25">
      <c r="A4" s="908"/>
      <c r="B4" s="117"/>
      <c r="C4" s="117"/>
      <c r="D4" s="117"/>
      <c r="E4" s="117"/>
      <c r="F4" s="493"/>
      <c r="G4" s="897"/>
      <c r="H4" s="897"/>
      <c r="I4" s="117"/>
    </row>
    <row r="5" spans="1:9" ht="46.5" customHeight="1" x14ac:dyDescent="0.25">
      <c r="A5" s="885" t="s">
        <v>335</v>
      </c>
      <c r="B5" s="870" t="s">
        <v>15</v>
      </c>
      <c r="C5" s="870" t="s">
        <v>3443</v>
      </c>
      <c r="D5" s="870" t="s">
        <v>3444</v>
      </c>
      <c r="E5" s="870" t="s">
        <v>625</v>
      </c>
      <c r="F5" s="978" t="s">
        <v>3445</v>
      </c>
      <c r="G5" s="1011" t="s">
        <v>3446</v>
      </c>
      <c r="H5" s="1011" t="s">
        <v>485</v>
      </c>
      <c r="I5" s="870" t="s">
        <v>667</v>
      </c>
    </row>
    <row r="6" spans="1:9" s="192" customFormat="1" ht="14.25" x14ac:dyDescent="0.2">
      <c r="A6" s="909" t="s">
        <v>1088</v>
      </c>
      <c r="B6" s="898" t="s">
        <v>59</v>
      </c>
      <c r="C6" s="899" t="s">
        <v>3447</v>
      </c>
      <c r="D6" s="899"/>
      <c r="E6" s="898"/>
      <c r="F6" s="1012"/>
      <c r="G6" s="900"/>
      <c r="H6" s="900"/>
      <c r="I6" s="898" t="s">
        <v>3448</v>
      </c>
    </row>
    <row r="7" spans="1:9" s="192" customFormat="1" ht="51" customHeight="1" x14ac:dyDescent="0.2">
      <c r="A7" s="910" t="s">
        <v>3449</v>
      </c>
      <c r="B7" s="901"/>
      <c r="C7" s="902" t="s">
        <v>3450</v>
      </c>
      <c r="D7" s="901"/>
      <c r="E7" s="901"/>
      <c r="F7" s="1013"/>
      <c r="G7" s="903"/>
      <c r="H7" s="903"/>
      <c r="I7" s="901"/>
    </row>
    <row r="9" spans="1:9" s="905" customFormat="1" ht="15.75" customHeight="1" x14ac:dyDescent="0.2">
      <c r="A9" s="911" t="s">
        <v>3520</v>
      </c>
      <c r="D9" s="661" t="s">
        <v>3438</v>
      </c>
      <c r="E9" s="661"/>
      <c r="F9" s="1014"/>
      <c r="G9" s="906"/>
      <c r="H9" s="906"/>
    </row>
    <row r="10" spans="1:9" x14ac:dyDescent="0.25">
      <c r="D10" s="117"/>
      <c r="E10" s="117"/>
      <c r="F10" s="493"/>
    </row>
    <row r="11" spans="1:9" x14ac:dyDescent="0.25">
      <c r="D11" s="117"/>
      <c r="E11" s="117"/>
      <c r="F11" s="493"/>
    </row>
    <row r="12" spans="1:9" x14ac:dyDescent="0.25">
      <c r="D12" s="117"/>
      <c r="E12" s="117"/>
      <c r="F12" s="493"/>
    </row>
    <row r="13" spans="1:9" x14ac:dyDescent="0.25">
      <c r="D13" s="117"/>
      <c r="E13" s="117"/>
      <c r="F13" s="493"/>
    </row>
    <row r="14" spans="1:9" s="192" customFormat="1" ht="14.25" x14ac:dyDescent="0.2">
      <c r="A14" s="886" t="s">
        <v>3521</v>
      </c>
      <c r="D14" s="125" t="s">
        <v>3440</v>
      </c>
      <c r="E14" s="125"/>
      <c r="F14" s="491"/>
      <c r="G14" s="1049"/>
      <c r="H14" s="1049"/>
    </row>
  </sheetData>
  <dataValidations count="1">
    <dataValidation allowBlank="1" showInputMessage="1" showErrorMessage="1" promptTitle="Lưu ý" prompt="Không xóa cột này" sqref="A1:A1048576"/>
  </dataValidations>
  <pageMargins left="0.7" right="0.12" top="0.56999999999999995" bottom="0.6" header="0.3" footer="0.3"/>
  <pageSetup orientation="landscape" r:id="rId1"/>
  <headerFooter>
    <oddHeader>&amp;L&amp;"Arial,Bold"Dự toán Bắc Nam -  &amp;"Arial,Italic"ÐT: 0966.966.455</oddHeader>
    <oddFooter>&amp;RTrang &amp;P/&amp;N</odd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HD_DGCD"/>
  <dimension ref="A1:J20"/>
  <sheetViews>
    <sheetView topLeftCell="B1" workbookViewId="0">
      <selection activeCell="D6" sqref="D6"/>
    </sheetView>
  </sheetViews>
  <sheetFormatPr defaultRowHeight="15" outlineLevelCol="1" x14ac:dyDescent="0.25"/>
  <cols>
    <col min="1" max="1" width="8.7109375" style="1050" hidden="1" customWidth="1" outlineLevel="1"/>
    <col min="2" max="2" width="5" style="984" bestFit="1" customWidth="1" collapsed="1"/>
    <col min="3" max="3" width="47.85546875" style="984" customWidth="1"/>
    <col min="4" max="4" width="17.42578125" style="984" bestFit="1" customWidth="1"/>
    <col min="5" max="5" width="9.28515625" style="984" bestFit="1" customWidth="1"/>
    <col min="6" max="6" width="13.5703125" style="985" customWidth="1"/>
    <col min="7" max="7" width="26" style="984" customWidth="1"/>
    <col min="8" max="8" width="9.140625" style="984" hidden="1" customWidth="1" outlineLevel="1"/>
    <col min="9" max="9" width="8.7109375" style="984" hidden="1" customWidth="1" outlineLevel="1"/>
    <col min="10" max="10" width="9.140625" style="984" collapsed="1"/>
    <col min="11" max="16384" width="9.140625" style="984"/>
  </cols>
  <sheetData>
    <row r="1" spans="1:9" s="983" customFormat="1" ht="33" customHeight="1" x14ac:dyDescent="0.2">
      <c r="A1" s="1031"/>
      <c r="B1" s="980" t="s">
        <v>3522</v>
      </c>
      <c r="C1" s="981"/>
      <c r="D1" s="981"/>
      <c r="E1" s="981"/>
      <c r="F1" s="982"/>
      <c r="G1" s="981"/>
      <c r="H1" s="981"/>
      <c r="I1" s="981"/>
    </row>
    <row r="2" spans="1:9" s="983" customFormat="1" ht="14.25" customHeight="1" x14ac:dyDescent="0.2">
      <c r="A2" s="1031"/>
      <c r="B2" s="980" t="str">
        <f>"CÔNG TRÌNH : "&amp;'Bia du toan'!$G$12</f>
        <v>CÔNG TRÌNH : TRƯỜNG CAO ĐẲNG LÝ TỰ TRỌNG</v>
      </c>
      <c r="C2" s="981"/>
      <c r="D2" s="981"/>
      <c r="E2" s="981"/>
      <c r="F2" s="982"/>
      <c r="G2" s="981"/>
      <c r="H2" s="981"/>
      <c r="I2" s="981"/>
    </row>
    <row r="3" spans="1:9" s="983" customFormat="1" ht="14.25" customHeight="1" x14ac:dyDescent="0.2">
      <c r="A3" s="1031"/>
      <c r="B3" s="980" t="str">
        <f>"HẠNG MỤC : "&amp; 'Bia du toan'!$G$13</f>
        <v>HẠNG MỤC : CẢI TẠO THƯ VIỆN GIAI ĐOẠN 2 - NĂM 2019</v>
      </c>
      <c r="C3" s="981"/>
      <c r="D3" s="981"/>
      <c r="E3" s="981"/>
      <c r="F3" s="982"/>
      <c r="G3" s="981"/>
      <c r="H3" s="981"/>
      <c r="I3" s="981"/>
    </row>
    <row r="4" spans="1:9" x14ac:dyDescent="0.25">
      <c r="A4" s="1032"/>
      <c r="B4" s="1001"/>
      <c r="C4" s="1001"/>
      <c r="D4" s="1001"/>
      <c r="E4" s="1001"/>
      <c r="F4" s="1002"/>
      <c r="G4" s="1001"/>
      <c r="H4" s="1001"/>
      <c r="I4" s="1001"/>
    </row>
    <row r="5" spans="1:9" ht="28.5" x14ac:dyDescent="0.25">
      <c r="A5" s="936" t="s">
        <v>335</v>
      </c>
      <c r="B5" s="924" t="s">
        <v>15</v>
      </c>
      <c r="C5" s="924" t="s">
        <v>3443</v>
      </c>
      <c r="D5" s="924" t="s">
        <v>3414</v>
      </c>
      <c r="E5" s="924" t="s">
        <v>3523</v>
      </c>
      <c r="F5" s="986" t="s">
        <v>3524</v>
      </c>
      <c r="G5" s="924" t="s">
        <v>554</v>
      </c>
      <c r="H5" s="924" t="s">
        <v>667</v>
      </c>
      <c r="I5" s="924" t="s">
        <v>712</v>
      </c>
    </row>
    <row r="6" spans="1:9" x14ac:dyDescent="0.25">
      <c r="A6" s="936" t="s">
        <v>1076</v>
      </c>
      <c r="B6" s="924" t="s">
        <v>59</v>
      </c>
      <c r="C6" s="952" t="s">
        <v>3525</v>
      </c>
      <c r="D6" s="952"/>
      <c r="E6" s="952"/>
      <c r="F6" s="987"/>
      <c r="G6" s="924" t="s">
        <v>3526</v>
      </c>
      <c r="H6" s="988" t="s">
        <v>3448</v>
      </c>
      <c r="I6" s="989"/>
    </row>
    <row r="7" spans="1:9" s="1004" customFormat="1" x14ac:dyDescent="0.25">
      <c r="A7" s="936" t="s">
        <v>3527</v>
      </c>
      <c r="B7" s="924">
        <v>1</v>
      </c>
      <c r="C7" s="952" t="s">
        <v>3447</v>
      </c>
      <c r="D7" s="952"/>
      <c r="E7" s="952"/>
      <c r="F7" s="937">
        <f xml:space="preserve"> HMC_Goithau!$H$16</f>
        <v>0</v>
      </c>
      <c r="G7" s="1029" t="s">
        <v>3528</v>
      </c>
      <c r="H7" s="988" t="s">
        <v>296</v>
      </c>
      <c r="I7" s="1006"/>
    </row>
    <row r="8" spans="1:9" ht="15.75" x14ac:dyDescent="0.25">
      <c r="A8" s="936" t="s">
        <v>1075</v>
      </c>
      <c r="B8" s="924" t="s">
        <v>64</v>
      </c>
      <c r="C8" s="990" t="s">
        <v>3529</v>
      </c>
      <c r="D8" s="952"/>
      <c r="E8" s="952"/>
      <c r="F8" s="937">
        <f xml:space="preserve"> F$9+F$12</f>
        <v>0</v>
      </c>
      <c r="G8" s="924" t="s">
        <v>3530</v>
      </c>
      <c r="H8" s="988" t="s">
        <v>66</v>
      </c>
      <c r="I8" s="989"/>
    </row>
    <row r="9" spans="1:9" ht="15.75" x14ac:dyDescent="0.25">
      <c r="A9" s="936" t="s">
        <v>534</v>
      </c>
      <c r="B9" s="924">
        <v>1</v>
      </c>
      <c r="C9" s="991" t="s">
        <v>3531</v>
      </c>
      <c r="D9" s="952"/>
      <c r="E9" s="952"/>
      <c r="F9" s="937">
        <f xml:space="preserve"> F$10+F$11</f>
        <v>0</v>
      </c>
      <c r="G9" s="924" t="s">
        <v>3532</v>
      </c>
      <c r="H9" s="988" t="s">
        <v>299</v>
      </c>
      <c r="I9" s="989"/>
    </row>
    <row r="10" spans="1:9" s="997" customFormat="1" ht="15.75" x14ac:dyDescent="0.25">
      <c r="A10" s="931" t="s">
        <v>3533</v>
      </c>
      <c r="B10" s="992" t="s">
        <v>3103</v>
      </c>
      <c r="C10" s="993" t="s">
        <v>3534</v>
      </c>
      <c r="D10" s="994"/>
      <c r="E10" s="994"/>
      <c r="F10" s="932">
        <f xml:space="preserve"> CongNhat!$G$80</f>
        <v>0</v>
      </c>
      <c r="G10" s="1029" t="s">
        <v>3535</v>
      </c>
      <c r="H10" s="995" t="s">
        <v>3536</v>
      </c>
      <c r="I10" s="996"/>
    </row>
    <row r="11" spans="1:9" s="997" customFormat="1" ht="15.75" x14ac:dyDescent="0.25">
      <c r="A11" s="931" t="s">
        <v>3102</v>
      </c>
      <c r="B11" s="992" t="s">
        <v>3125</v>
      </c>
      <c r="C11" s="993" t="s">
        <v>3537</v>
      </c>
      <c r="D11" s="994"/>
      <c r="E11" s="994"/>
      <c r="F11" s="932">
        <f xml:space="preserve"> Tamtinh!$E$10</f>
        <v>0</v>
      </c>
      <c r="G11" s="1029" t="s">
        <v>3538</v>
      </c>
      <c r="H11" s="995" t="s">
        <v>3539</v>
      </c>
      <c r="I11" s="996"/>
    </row>
    <row r="12" spans="1:9" ht="15.75" x14ac:dyDescent="0.25">
      <c r="A12" s="936" t="s">
        <v>535</v>
      </c>
      <c r="B12" s="924">
        <v>2</v>
      </c>
      <c r="C12" s="991" t="s">
        <v>3540</v>
      </c>
      <c r="D12" s="952"/>
      <c r="E12" s="952"/>
      <c r="F12" s="937"/>
      <c r="G12" s="924" t="str">
        <f>I12&amp;"% x A"</f>
        <v>10% x A</v>
      </c>
      <c r="H12" s="988" t="s">
        <v>3541</v>
      </c>
      <c r="I12" s="989">
        <v>10</v>
      </c>
    </row>
    <row r="13" spans="1:9" s="983" customFormat="1" ht="14.25" x14ac:dyDescent="0.2">
      <c r="A13" s="936" t="s">
        <v>106</v>
      </c>
      <c r="B13" s="924"/>
      <c r="C13" s="998" t="s">
        <v>3542</v>
      </c>
      <c r="D13" s="924"/>
      <c r="E13" s="924"/>
      <c r="F13" s="937">
        <f xml:space="preserve"> F$6+F$8</f>
        <v>0</v>
      </c>
      <c r="G13" s="924" t="s">
        <v>3543</v>
      </c>
      <c r="H13" s="999"/>
      <c r="I13" s="999"/>
    </row>
    <row r="15" spans="1:9" s="1000" customFormat="1" ht="15.75" customHeight="1" x14ac:dyDescent="0.2">
      <c r="A15" s="1034"/>
      <c r="D15" s="913" t="s">
        <v>3438</v>
      </c>
      <c r="E15" s="913"/>
      <c r="F15" s="914"/>
      <c r="G15" s="913"/>
      <c r="H15" s="980"/>
    </row>
    <row r="20" spans="1:8" s="983" customFormat="1" ht="14.25" x14ac:dyDescent="0.2">
      <c r="A20" s="1051" t="s">
        <v>3521</v>
      </c>
      <c r="D20" s="981" t="s">
        <v>3440</v>
      </c>
      <c r="E20" s="981"/>
      <c r="F20" s="982"/>
      <c r="G20" s="981"/>
      <c r="H20" s="981"/>
    </row>
  </sheetData>
  <dataValidations count="1">
    <dataValidation allowBlank="1" showInputMessage="1" showErrorMessage="1" promptTitle="Ghi chú" prompt="Không được xóa cột này" sqref="A1:A1048576"/>
  </dataValidations>
  <hyperlinks>
    <hyperlink ref="G10" location="CongNhat!G80" display="Bảng chi phí công nhật"/>
    <hyperlink ref="G11" location="Tamtinh!E10" display="Bảng chi phí tạm tính"/>
    <hyperlink ref="G7" location="HMC_Goithau!H16" display="Bảng CP HMC"/>
  </hyperlinks>
  <pageMargins left="0.7" right="0.12" top="0.56999999999999995" bottom="0.6" header="0.3" footer="0.3"/>
  <pageSetup orientation="landscape" r:id="rId1"/>
  <headerFooter>
    <oddHeader>&amp;L&amp;"Arial,Bold"Dự toán Bắc Nam -  &amp;"Arial,Italic"ÐT: 0966.966.455</oddHeader>
    <oddFooter>&amp;RTrang &amp;P/&amp;N</oddFooter>
  </headerFooter>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HD_DGDC"/>
  <dimension ref="A1:J21"/>
  <sheetViews>
    <sheetView topLeftCell="B1" workbookViewId="0">
      <selection activeCell="C12" sqref="C12"/>
    </sheetView>
  </sheetViews>
  <sheetFormatPr defaultRowHeight="15" outlineLevelCol="1" x14ac:dyDescent="0.25"/>
  <cols>
    <col min="1" max="1" width="8.7109375" style="1033" hidden="1" customWidth="1" outlineLevel="1"/>
    <col min="2" max="2" width="6.28515625" style="1004" customWidth="1" collapsed="1"/>
    <col min="3" max="3" width="46" style="1004" customWidth="1"/>
    <col min="4" max="4" width="17.42578125" style="1004" bestFit="1" customWidth="1"/>
    <col min="5" max="5" width="9.28515625" style="1004" bestFit="1" customWidth="1"/>
    <col min="6" max="6" width="14.5703125" style="1005" customWidth="1"/>
    <col min="7" max="7" width="21.85546875" style="1004" bestFit="1" customWidth="1"/>
    <col min="8" max="8" width="8.28515625" style="1004" hidden="1" customWidth="1" outlineLevel="1"/>
    <col min="9" max="9" width="8.7109375" style="1004" hidden="1" customWidth="1" outlineLevel="1"/>
    <col min="10" max="10" width="9.140625" style="1004" collapsed="1"/>
    <col min="11" max="16384" width="9.140625" style="1004"/>
  </cols>
  <sheetData>
    <row r="1" spans="1:9" s="1003" customFormat="1" ht="33" x14ac:dyDescent="0.2">
      <c r="A1" s="1031"/>
      <c r="B1" s="980" t="s">
        <v>3544</v>
      </c>
      <c r="C1" s="981"/>
      <c r="D1" s="981"/>
      <c r="E1" s="981"/>
      <c r="F1" s="982"/>
      <c r="G1" s="981"/>
      <c r="H1" s="981"/>
      <c r="I1" s="981"/>
    </row>
    <row r="2" spans="1:9" s="1003" customFormat="1" ht="14.25" x14ac:dyDescent="0.2">
      <c r="A2" s="1031"/>
      <c r="B2" s="980" t="str">
        <f>"CÔNG TRÌNH : "&amp;'Bia du toan'!$G$12</f>
        <v>CÔNG TRÌNH : TRƯỜNG CAO ĐẲNG LÝ TỰ TRỌNG</v>
      </c>
      <c r="C2" s="981"/>
      <c r="D2" s="981"/>
      <c r="E2" s="981"/>
      <c r="F2" s="982"/>
      <c r="G2" s="981"/>
      <c r="H2" s="981"/>
      <c r="I2" s="981"/>
    </row>
    <row r="3" spans="1:9" s="1003" customFormat="1" ht="14.25" x14ac:dyDescent="0.2">
      <c r="A3" s="1031"/>
      <c r="B3" s="980" t="str">
        <f>"HẠNG MỤC : "&amp; 'Bia du toan'!$G$13</f>
        <v>HẠNG MỤC : CẢI TẠO THƯ VIỆN GIAI ĐOẠN 2 - NĂM 2019</v>
      </c>
      <c r="C3" s="981"/>
      <c r="D3" s="981"/>
      <c r="E3" s="981"/>
      <c r="F3" s="982"/>
      <c r="G3" s="981"/>
      <c r="H3" s="981"/>
      <c r="I3" s="981"/>
    </row>
    <row r="4" spans="1:9" x14ac:dyDescent="0.25">
      <c r="A4" s="1032"/>
      <c r="B4" s="1001"/>
      <c r="C4" s="1001"/>
      <c r="D4" s="1001"/>
      <c r="E4" s="1001"/>
      <c r="F4" s="1002"/>
      <c r="G4" s="1001"/>
      <c r="H4" s="1001"/>
      <c r="I4" s="1001"/>
    </row>
    <row r="5" spans="1:9" ht="28.5" x14ac:dyDescent="0.25">
      <c r="A5" s="936" t="s">
        <v>335</v>
      </c>
      <c r="B5" s="924" t="s">
        <v>15</v>
      </c>
      <c r="C5" s="924" t="s">
        <v>3443</v>
      </c>
      <c r="D5" s="924" t="s">
        <v>3414</v>
      </c>
      <c r="E5" s="924" t="s">
        <v>3523</v>
      </c>
      <c r="F5" s="986" t="s">
        <v>3524</v>
      </c>
      <c r="G5" s="924" t="s">
        <v>554</v>
      </c>
      <c r="H5" s="924" t="s">
        <v>667</v>
      </c>
      <c r="I5" s="924" t="s">
        <v>712</v>
      </c>
    </row>
    <row r="6" spans="1:9" x14ac:dyDescent="0.25">
      <c r="A6" s="936" t="s">
        <v>1076</v>
      </c>
      <c r="B6" s="924" t="s">
        <v>59</v>
      </c>
      <c r="C6" s="952" t="s">
        <v>3525</v>
      </c>
      <c r="D6" s="952"/>
      <c r="E6" s="952"/>
      <c r="F6" s="937">
        <f xml:space="preserve"> SUM(HD_DGCodinh!F7:F$7)</f>
        <v>0</v>
      </c>
      <c r="G6" s="924" t="s">
        <v>3526</v>
      </c>
      <c r="H6" s="988" t="s">
        <v>3448</v>
      </c>
      <c r="I6" s="1006"/>
    </row>
    <row r="7" spans="1:9" x14ac:dyDescent="0.25">
      <c r="A7" s="936" t="s">
        <v>3527</v>
      </c>
      <c r="B7" s="924">
        <v>1</v>
      </c>
      <c r="C7" s="952" t="s">
        <v>3447</v>
      </c>
      <c r="D7" s="952"/>
      <c r="E7" s="952"/>
      <c r="F7" s="937">
        <f xml:space="preserve"> HMC_Goithau!$H$16</f>
        <v>0</v>
      </c>
      <c r="G7" s="1029" t="s">
        <v>3528</v>
      </c>
      <c r="H7" s="988" t="s">
        <v>296</v>
      </c>
      <c r="I7" s="1006"/>
    </row>
    <row r="8" spans="1:9" ht="15.75" x14ac:dyDescent="0.25">
      <c r="A8" s="936" t="s">
        <v>1075</v>
      </c>
      <c r="B8" s="924" t="s">
        <v>64</v>
      </c>
      <c r="C8" s="990" t="s">
        <v>3529</v>
      </c>
      <c r="D8" s="952"/>
      <c r="E8" s="952"/>
      <c r="F8" s="937">
        <f xml:space="preserve"> F$9+F$12+F$13</f>
        <v>0</v>
      </c>
      <c r="G8" s="924" t="s">
        <v>3545</v>
      </c>
      <c r="H8" s="988" t="s">
        <v>66</v>
      </c>
      <c r="I8" s="1006"/>
    </row>
    <row r="9" spans="1:9" ht="15.75" x14ac:dyDescent="0.25">
      <c r="A9" s="936" t="s">
        <v>534</v>
      </c>
      <c r="B9" s="924">
        <v>1</v>
      </c>
      <c r="C9" s="991" t="s">
        <v>3531</v>
      </c>
      <c r="D9" s="952"/>
      <c r="E9" s="952"/>
      <c r="F9" s="937">
        <f xml:space="preserve"> F$10+F$11</f>
        <v>0</v>
      </c>
      <c r="G9" s="924" t="s">
        <v>3532</v>
      </c>
      <c r="H9" s="988" t="s">
        <v>299</v>
      </c>
      <c r="I9" s="1006"/>
    </row>
    <row r="10" spans="1:9" s="1008" customFormat="1" ht="15.75" x14ac:dyDescent="0.25">
      <c r="A10" s="931" t="s">
        <v>3533</v>
      </c>
      <c r="B10" s="992" t="s">
        <v>3103</v>
      </c>
      <c r="C10" s="993" t="s">
        <v>3534</v>
      </c>
      <c r="D10" s="994"/>
      <c r="E10" s="994"/>
      <c r="F10" s="932">
        <f xml:space="preserve"> CongNhat!$G$80</f>
        <v>0</v>
      </c>
      <c r="G10" s="1029" t="s">
        <v>3535</v>
      </c>
      <c r="H10" s="995" t="s">
        <v>3536</v>
      </c>
      <c r="I10" s="1007"/>
    </row>
    <row r="11" spans="1:9" s="1008" customFormat="1" ht="15.75" x14ac:dyDescent="0.25">
      <c r="A11" s="931" t="s">
        <v>3102</v>
      </c>
      <c r="B11" s="992" t="s">
        <v>3125</v>
      </c>
      <c r="C11" s="993" t="s">
        <v>3537</v>
      </c>
      <c r="D11" s="994"/>
      <c r="E11" s="994"/>
      <c r="F11" s="932">
        <f xml:space="preserve"> Tamtinh!$E$10</f>
        <v>0</v>
      </c>
      <c r="G11" s="1029" t="s">
        <v>3538</v>
      </c>
      <c r="H11" s="995" t="s">
        <v>3539</v>
      </c>
      <c r="I11" s="1007"/>
    </row>
    <row r="12" spans="1:9" ht="15.75" x14ac:dyDescent="0.25">
      <c r="A12" s="936" t="s">
        <v>535</v>
      </c>
      <c r="B12" s="924">
        <v>2</v>
      </c>
      <c r="C12" s="991" t="s">
        <v>3540</v>
      </c>
      <c r="D12" s="952"/>
      <c r="E12" s="952"/>
      <c r="F12" s="937">
        <f>I12%*F6</f>
        <v>0</v>
      </c>
      <c r="G12" s="924" t="str">
        <f>I12&amp;"% x A"</f>
        <v>10% x A</v>
      </c>
      <c r="H12" s="988" t="s">
        <v>3541</v>
      </c>
      <c r="I12" s="1030">
        <v>10</v>
      </c>
    </row>
    <row r="13" spans="1:9" ht="15.75" x14ac:dyDescent="0.25">
      <c r="A13" s="936" t="s">
        <v>1384</v>
      </c>
      <c r="B13" s="924">
        <v>3</v>
      </c>
      <c r="C13" s="991" t="s">
        <v>3546</v>
      </c>
      <c r="D13" s="952"/>
      <c r="E13" s="952"/>
      <c r="F13" s="937">
        <f>I13%*$F$6</f>
        <v>0</v>
      </c>
      <c r="G13" s="924" t="str">
        <f>I13&amp;"% x A"</f>
        <v>10% x A</v>
      </c>
      <c r="H13" s="988" t="s">
        <v>3547</v>
      </c>
      <c r="I13" s="1030">
        <v>10</v>
      </c>
    </row>
    <row r="14" spans="1:9" s="1003" customFormat="1" ht="14.25" x14ac:dyDescent="0.2">
      <c r="A14" s="936" t="s">
        <v>106</v>
      </c>
      <c r="B14" s="924"/>
      <c r="C14" s="998" t="s">
        <v>3542</v>
      </c>
      <c r="D14" s="924"/>
      <c r="E14" s="924"/>
      <c r="F14" s="937">
        <f xml:space="preserve"> F$6+F$8</f>
        <v>0</v>
      </c>
      <c r="G14" s="924" t="s">
        <v>3543</v>
      </c>
      <c r="H14" s="1009"/>
      <c r="I14" s="1009"/>
    </row>
    <row r="16" spans="1:9" s="1000" customFormat="1" ht="14.25" x14ac:dyDescent="0.2">
      <c r="A16" s="1034" t="s">
        <v>3520</v>
      </c>
      <c r="D16" s="913" t="s">
        <v>3438</v>
      </c>
      <c r="E16" s="913"/>
      <c r="F16" s="914"/>
      <c r="G16" s="913"/>
      <c r="H16" s="980"/>
    </row>
    <row r="21" spans="1:8" s="1003" customFormat="1" ht="14.25" x14ac:dyDescent="0.2">
      <c r="A21" s="1035" t="s">
        <v>3521</v>
      </c>
      <c r="D21" s="981" t="s">
        <v>3440</v>
      </c>
      <c r="E21" s="981"/>
      <c r="F21" s="982"/>
      <c r="G21" s="981"/>
      <c r="H21" s="981"/>
    </row>
  </sheetData>
  <dataValidations count="1">
    <dataValidation allowBlank="1" showInputMessage="1" showErrorMessage="1" promptTitle="Lưu ý" prompt="Không xóa cột này" sqref="A1:A1048576"/>
  </dataValidations>
  <hyperlinks>
    <hyperlink ref="G10" location="CongNhat!G80" display="Bảng chi phí công nhật"/>
    <hyperlink ref="G11" location="Tamtinh!E10" display="Bảng chi phí tạm tính"/>
    <hyperlink ref="G7" location="HMC_Goithau!H16" display="Bảng CP HMC"/>
  </hyperlinks>
  <pageMargins left="0.7" right="0.12" top="0.56999999999999995" bottom="0.6" header="0.3" footer="0.3"/>
  <pageSetup orientation="landscape" r:id="rId1"/>
  <headerFooter>
    <oddHeader>&amp;L&amp;"Arial,Bold"Dự toán Bắc Nam -  &amp;"Arial,Italic"ÐT: 0966.966.455</oddHeader>
    <oddFooter>&amp;RTrang &amp;P/&amp;N</oddFooter>
  </headerFooter>
  <legacyDrawing r:id="rId2"/>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NTGD"/>
  <dimension ref="A1:F6"/>
  <sheetViews>
    <sheetView workbookViewId="0">
      <selection activeCell="C13" sqref="C13"/>
    </sheetView>
  </sheetViews>
  <sheetFormatPr defaultRowHeight="15" x14ac:dyDescent="0.25"/>
  <cols>
    <col min="1" max="1" width="4.42578125" style="103" customWidth="1"/>
    <col min="2" max="2" width="9.28515625" style="103" bestFit="1" customWidth="1"/>
    <col min="3" max="3" width="38.28515625" style="103" customWidth="1"/>
    <col min="4" max="4" width="7.140625" style="140" customWidth="1"/>
    <col min="5" max="5" width="10.140625" style="269" bestFit="1" customWidth="1"/>
    <col min="6" max="6" width="10" style="269" bestFit="1" customWidth="1"/>
    <col min="7" max="16384" width="9.140625" style="103"/>
  </cols>
  <sheetData>
    <row r="1" spans="1:6" ht="20.25" x14ac:dyDescent="0.3">
      <c r="A1" s="242" t="s">
        <v>3608</v>
      </c>
      <c r="B1" s="243"/>
      <c r="C1" s="243"/>
      <c r="D1" s="243"/>
      <c r="E1" s="267"/>
      <c r="F1" s="267"/>
    </row>
    <row r="2" spans="1:6" s="264" customFormat="1" ht="14.25" x14ac:dyDescent="0.2">
      <c r="A2" s="263" t="str">
        <f>"CÔNG TRÌNH : "&amp;'Bia du toan'!$G$12</f>
        <v>CÔNG TRÌNH : TRƯỜNG CAO ĐẲNG LÝ TỰ TRỌNG</v>
      </c>
      <c r="B2" s="263"/>
      <c r="C2" s="263"/>
      <c r="D2" s="263"/>
      <c r="E2" s="268"/>
      <c r="F2" s="268"/>
    </row>
    <row r="3" spans="1:6" s="264" customFormat="1" ht="14.25" x14ac:dyDescent="0.2">
      <c r="A3" s="263" t="str">
        <f>"HẠNG MỤC : "&amp; 'Bia du toan'!$G$13</f>
        <v>HẠNG MỤC : CẢI TẠO THƯ VIỆN GIAI ĐOẠN 2 - NĂM 2019</v>
      </c>
      <c r="B3" s="263"/>
      <c r="C3" s="263"/>
      <c r="D3" s="263"/>
      <c r="E3" s="268"/>
      <c r="F3" s="268"/>
    </row>
    <row r="4" spans="1:6" x14ac:dyDescent="0.25">
      <c r="A4" s="243"/>
      <c r="B4" s="243"/>
      <c r="C4" s="243"/>
      <c r="D4" s="243"/>
      <c r="E4" s="267"/>
      <c r="F4" s="267"/>
    </row>
    <row r="5" spans="1:6" ht="15" customHeight="1" x14ac:dyDescent="0.25">
      <c r="A5" s="1753" t="s">
        <v>15</v>
      </c>
      <c r="B5" s="1752" t="s">
        <v>234</v>
      </c>
      <c r="C5" s="1753" t="s">
        <v>235</v>
      </c>
      <c r="D5" s="1753" t="s">
        <v>236</v>
      </c>
      <c r="E5" s="1886" t="s">
        <v>237</v>
      </c>
      <c r="F5" s="1887"/>
    </row>
    <row r="6" spans="1:6" x14ac:dyDescent="0.25">
      <c r="A6" s="1754"/>
      <c r="B6" s="1747"/>
      <c r="C6" s="1754"/>
      <c r="D6" s="1754"/>
      <c r="E6" s="1115" t="s">
        <v>3609</v>
      </c>
      <c r="F6" s="1115" t="s">
        <v>3610</v>
      </c>
    </row>
  </sheetData>
  <mergeCells count="5">
    <mergeCell ref="E5:F5"/>
    <mergeCell ref="A5:A6"/>
    <mergeCell ref="B5:B6"/>
    <mergeCell ref="C5:C6"/>
    <mergeCell ref="D5:D6"/>
  </mergeCell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QLNT"/>
  <dimension ref="A1:I6"/>
  <sheetViews>
    <sheetView workbookViewId="0">
      <selection activeCell="G7" sqref="G7"/>
    </sheetView>
  </sheetViews>
  <sheetFormatPr defaultRowHeight="15" outlineLevelCol="1" x14ac:dyDescent="0.25"/>
  <cols>
    <col min="1" max="1" width="4.42578125" style="103" customWidth="1"/>
    <col min="2" max="2" width="9.28515625" style="103" bestFit="1" customWidth="1"/>
    <col min="3" max="3" width="38.28515625" style="103" customWidth="1"/>
    <col min="4" max="4" width="7.140625" style="140" customWidth="1"/>
    <col min="5" max="5" width="11.5703125" style="140" hidden="1" customWidth="1" outlineLevel="1"/>
    <col min="6" max="6" width="10.140625" style="269" bestFit="1" customWidth="1" collapsed="1"/>
    <col min="7" max="7" width="17.7109375" style="269" customWidth="1"/>
    <col min="8" max="8" width="12" style="269" customWidth="1"/>
    <col min="9" max="9" width="12.42578125" style="269" customWidth="1"/>
    <col min="10" max="16384" width="9.140625" style="103"/>
  </cols>
  <sheetData>
    <row r="1" spans="1:9" ht="20.25" x14ac:dyDescent="0.3">
      <c r="A1" s="242" t="s">
        <v>3614</v>
      </c>
      <c r="B1" s="243"/>
      <c r="C1" s="243"/>
      <c r="D1" s="243"/>
      <c r="E1" s="243"/>
      <c r="F1" s="267"/>
      <c r="G1" s="267"/>
      <c r="H1" s="267"/>
      <c r="I1" s="267"/>
    </row>
    <row r="2" spans="1:9" s="264" customFormat="1" ht="14.25" x14ac:dyDescent="0.2">
      <c r="A2" s="263" t="str">
        <f>"CÔNG TRÌNH : "&amp;'Bia du toan'!$G$12</f>
        <v>CÔNG TRÌNH : TRƯỜNG CAO ĐẲNG LÝ TỰ TRỌNG</v>
      </c>
      <c r="B2" s="263"/>
      <c r="C2" s="263"/>
      <c r="D2" s="263"/>
      <c r="E2" s="263"/>
      <c r="F2" s="268"/>
      <c r="G2" s="268"/>
      <c r="H2" s="268"/>
      <c r="I2" s="268"/>
    </row>
    <row r="3" spans="1:9" s="264" customFormat="1" ht="14.25" x14ac:dyDescent="0.2">
      <c r="A3" s="263" t="str">
        <f>"HẠNG MỤC : "&amp; 'Bia du toan'!$G$13</f>
        <v>HẠNG MỤC : CẢI TẠO THƯ VIỆN GIAI ĐOẠN 2 - NĂM 2019</v>
      </c>
      <c r="B3" s="263"/>
      <c r="C3" s="263"/>
      <c r="D3" s="263"/>
      <c r="E3" s="263"/>
      <c r="F3" s="268"/>
      <c r="G3" s="268"/>
      <c r="H3" s="268"/>
      <c r="I3" s="268"/>
    </row>
    <row r="4" spans="1:9" x14ac:dyDescent="0.25">
      <c r="A4" s="243"/>
      <c r="B4" s="243"/>
      <c r="C4" s="243"/>
      <c r="D4" s="243"/>
      <c r="E4" s="243"/>
      <c r="F4" s="267"/>
      <c r="G4" s="267"/>
      <c r="H4" s="267"/>
      <c r="I4" s="267"/>
    </row>
    <row r="5" spans="1:9" ht="15" customHeight="1" x14ac:dyDescent="0.25">
      <c r="A5" s="1753" t="s">
        <v>15</v>
      </c>
      <c r="B5" s="1752" t="s">
        <v>234</v>
      </c>
      <c r="C5" s="1753" t="s">
        <v>235</v>
      </c>
      <c r="D5" s="1753" t="s">
        <v>236</v>
      </c>
      <c r="E5" s="1152" t="s">
        <v>238</v>
      </c>
      <c r="F5" s="1886" t="s">
        <v>237</v>
      </c>
      <c r="G5" s="1888"/>
      <c r="H5" s="1888"/>
      <c r="I5" s="1887"/>
    </row>
    <row r="6" spans="1:9" ht="21" x14ac:dyDescent="0.25">
      <c r="A6" s="1754"/>
      <c r="B6" s="1747"/>
      <c r="C6" s="1754"/>
      <c r="D6" s="1754"/>
      <c r="E6" s="1174" t="s">
        <v>3609</v>
      </c>
      <c r="F6" s="1114" t="s">
        <v>3609</v>
      </c>
      <c r="G6" s="1114" t="s">
        <v>3611</v>
      </c>
      <c r="H6" s="1114" t="s">
        <v>3612</v>
      </c>
      <c r="I6" s="1114" t="s">
        <v>3613</v>
      </c>
    </row>
  </sheetData>
  <mergeCells count="5">
    <mergeCell ref="A5:A6"/>
    <mergeCell ref="B5:B6"/>
    <mergeCell ref="C5:C6"/>
    <mergeCell ref="D5:D6"/>
    <mergeCell ref="F5:I5"/>
  </mergeCells>
  <pageMargins left="0.7" right="0.7" top="0.75" bottom="0.75" header="0.3" footer="0.3"/>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PL03a_A">
    <pageSetUpPr fitToPage="1"/>
  </sheetPr>
  <dimension ref="A1:P35"/>
  <sheetViews>
    <sheetView topLeftCell="B1" workbookViewId="0">
      <selection activeCell="E6" sqref="E6"/>
    </sheetView>
  </sheetViews>
  <sheetFormatPr defaultRowHeight="18.75" outlineLevelCol="1" x14ac:dyDescent="0.3"/>
  <cols>
    <col min="1" max="1" width="9.140625" style="1084" hidden="1" customWidth="1" outlineLevel="1"/>
    <col min="2" max="2" width="9.7109375" style="99" customWidth="1" collapsed="1"/>
    <col min="3" max="3" width="27.7109375" style="1085" customWidth="1"/>
    <col min="4" max="4" width="9.140625" style="99"/>
    <col min="5" max="5" width="11.5703125" style="1086" customWidth="1"/>
    <col min="6" max="6" width="15" style="1086" customWidth="1"/>
    <col min="7" max="7" width="12.85546875" style="1086" customWidth="1"/>
    <col min="8" max="8" width="9.140625" style="1087"/>
    <col min="9" max="9" width="12.140625" style="1088" customWidth="1"/>
    <col min="10" max="10" width="14" style="1087" customWidth="1"/>
    <col min="11" max="11" width="14.85546875" style="1087" customWidth="1"/>
    <col min="12" max="12" width="17.5703125" style="99" customWidth="1"/>
    <col min="13" max="16384" width="9.140625" style="99"/>
  </cols>
  <sheetData>
    <row r="1" spans="1:16" x14ac:dyDescent="0.3">
      <c r="L1" s="1083" t="s">
        <v>3594</v>
      </c>
    </row>
    <row r="2" spans="1:16" x14ac:dyDescent="0.3">
      <c r="B2" s="1895" t="s">
        <v>3593</v>
      </c>
      <c r="C2" s="1895"/>
      <c r="D2" s="1895"/>
      <c r="E2" s="1895"/>
      <c r="F2" s="1895"/>
      <c r="G2" s="1895"/>
      <c r="H2" s="1895"/>
      <c r="I2" s="1895"/>
      <c r="J2" s="1895"/>
      <c r="K2" s="1895"/>
      <c r="L2" s="1895"/>
    </row>
    <row r="3" spans="1:16" x14ac:dyDescent="0.3">
      <c r="B3" s="880" t="s">
        <v>3597</v>
      </c>
      <c r="C3" s="1089"/>
      <c r="D3" s="880"/>
      <c r="E3" s="1090"/>
      <c r="F3" s="1090"/>
      <c r="G3" s="1086" t="s">
        <v>3598</v>
      </c>
    </row>
    <row r="4" spans="1:16" x14ac:dyDescent="0.3">
      <c r="B4" s="880" t="s">
        <v>3592</v>
      </c>
      <c r="C4" s="1089"/>
      <c r="D4" s="880"/>
      <c r="E4" s="1090"/>
      <c r="F4" s="1090"/>
    </row>
    <row r="5" spans="1:16" x14ac:dyDescent="0.3">
      <c r="B5" s="880" t="s">
        <v>3591</v>
      </c>
      <c r="C5" s="1089"/>
      <c r="D5" s="880"/>
      <c r="E5" s="1090"/>
      <c r="F5" s="1090"/>
    </row>
    <row r="6" spans="1:16" x14ac:dyDescent="0.3">
      <c r="B6" s="880" t="s">
        <v>3590</v>
      </c>
      <c r="C6" s="1089"/>
      <c r="D6" s="880"/>
      <c r="E6" s="1090"/>
      <c r="F6" s="1090"/>
    </row>
    <row r="7" spans="1:16" x14ac:dyDescent="0.3">
      <c r="B7" s="880" t="s">
        <v>3589</v>
      </c>
      <c r="C7" s="1089"/>
      <c r="D7" s="880"/>
      <c r="E7" s="1090"/>
      <c r="F7" s="1090"/>
    </row>
    <row r="8" spans="1:16" x14ac:dyDescent="0.3">
      <c r="B8" s="880" t="s">
        <v>3588</v>
      </c>
      <c r="C8" s="1089"/>
      <c r="D8" s="880"/>
      <c r="E8" s="1090"/>
      <c r="F8" s="1090"/>
    </row>
    <row r="9" spans="1:16" x14ac:dyDescent="0.3">
      <c r="B9" s="880" t="s">
        <v>3587</v>
      </c>
      <c r="C9" s="1089"/>
      <c r="D9" s="880"/>
      <c r="E9" s="1090"/>
      <c r="F9" s="1090"/>
    </row>
    <row r="10" spans="1:16" x14ac:dyDescent="0.3">
      <c r="B10" s="880" t="s">
        <v>3586</v>
      </c>
      <c r="C10" s="1089"/>
      <c r="D10" s="880"/>
      <c r="E10" s="1090"/>
      <c r="F10" s="1090"/>
      <c r="L10" s="1082"/>
    </row>
    <row r="11" spans="1:16" x14ac:dyDescent="0.3">
      <c r="B11" s="880"/>
      <c r="C11" s="1089"/>
      <c r="D11" s="880"/>
      <c r="E11" s="1090"/>
      <c r="F11" s="1090"/>
      <c r="L11" s="1082"/>
    </row>
    <row r="12" spans="1:16" hidden="1" x14ac:dyDescent="0.3">
      <c r="A12" s="1084" t="s">
        <v>3615</v>
      </c>
      <c r="B12" s="617">
        <v>1</v>
      </c>
      <c r="C12" s="1129" t="s">
        <v>3616</v>
      </c>
      <c r="D12" s="617">
        <v>3</v>
      </c>
      <c r="E12" s="1130">
        <v>4</v>
      </c>
      <c r="F12" s="1130">
        <v>5</v>
      </c>
      <c r="G12" s="1130">
        <v>6</v>
      </c>
      <c r="H12" s="1131">
        <v>8</v>
      </c>
      <c r="I12" s="1131">
        <v>9</v>
      </c>
      <c r="J12" s="1131">
        <v>10</v>
      </c>
      <c r="K12" s="1131">
        <v>11</v>
      </c>
      <c r="L12" s="1131">
        <v>11</v>
      </c>
      <c r="M12" s="351"/>
      <c r="P12" s="351"/>
    </row>
    <row r="13" spans="1:16" ht="22.5" customHeight="1" x14ac:dyDescent="0.3">
      <c r="B13" s="1896" t="s">
        <v>3585</v>
      </c>
      <c r="C13" s="1896" t="s">
        <v>3584</v>
      </c>
      <c r="D13" s="1896" t="s">
        <v>625</v>
      </c>
      <c r="E13" s="1899" t="s">
        <v>3583</v>
      </c>
      <c r="F13" s="1900"/>
      <c r="G13" s="1901"/>
      <c r="H13" s="1902" t="s">
        <v>3582</v>
      </c>
      <c r="I13" s="1905" t="s">
        <v>485</v>
      </c>
      <c r="J13" s="1906"/>
      <c r="K13" s="1907"/>
      <c r="L13" s="1896" t="s">
        <v>3581</v>
      </c>
      <c r="M13" s="351"/>
    </row>
    <row r="14" spans="1:16" ht="18.75" customHeight="1" x14ac:dyDescent="0.3">
      <c r="B14" s="1897"/>
      <c r="C14" s="1897"/>
      <c r="D14" s="1897"/>
      <c r="E14" s="1908" t="s">
        <v>3580</v>
      </c>
      <c r="F14" s="1910" t="s">
        <v>3579</v>
      </c>
      <c r="G14" s="1911"/>
      <c r="H14" s="1903"/>
      <c r="I14" s="1890" t="s">
        <v>3580</v>
      </c>
      <c r="J14" s="1892" t="s">
        <v>3579</v>
      </c>
      <c r="K14" s="1893"/>
      <c r="L14" s="1897"/>
      <c r="M14" s="351"/>
    </row>
    <row r="15" spans="1:16" ht="31.5" x14ac:dyDescent="0.3">
      <c r="B15" s="1898"/>
      <c r="C15" s="1898"/>
      <c r="D15" s="1898"/>
      <c r="E15" s="1909"/>
      <c r="F15" s="1091" t="s">
        <v>3577</v>
      </c>
      <c r="G15" s="1091" t="s">
        <v>3578</v>
      </c>
      <c r="H15" s="1904"/>
      <c r="I15" s="1891"/>
      <c r="J15" s="1092" t="s">
        <v>3577</v>
      </c>
      <c r="K15" s="1092" t="s">
        <v>3576</v>
      </c>
      <c r="L15" s="1898"/>
      <c r="M15" s="351"/>
    </row>
    <row r="16" spans="1:16" x14ac:dyDescent="0.3">
      <c r="A16" s="1084" t="s">
        <v>15</v>
      </c>
      <c r="B16" s="1093">
        <v>1</v>
      </c>
      <c r="C16" s="1132">
        <v>2</v>
      </c>
      <c r="D16" s="1093">
        <v>3</v>
      </c>
      <c r="E16" s="1093">
        <v>4</v>
      </c>
      <c r="F16" s="1093">
        <v>5</v>
      </c>
      <c r="G16" s="1093">
        <v>6</v>
      </c>
      <c r="H16" s="1093">
        <v>7</v>
      </c>
      <c r="I16" s="1133">
        <v>8</v>
      </c>
      <c r="J16" s="1093">
        <v>9</v>
      </c>
      <c r="K16" s="1093">
        <v>10</v>
      </c>
      <c r="L16" s="1093">
        <v>11</v>
      </c>
      <c r="M16" s="351"/>
    </row>
    <row r="17" spans="1:15" s="835" customFormat="1" x14ac:dyDescent="0.3">
      <c r="A17" s="1094" t="s">
        <v>106</v>
      </c>
      <c r="B17" s="1135"/>
      <c r="C17" s="1136" t="s">
        <v>3575</v>
      </c>
      <c r="D17" s="1135"/>
      <c r="E17" s="1135"/>
      <c r="F17" s="1135"/>
      <c r="G17" s="1135"/>
      <c r="H17" s="1135"/>
      <c r="I17" s="1137"/>
      <c r="J17" s="1135"/>
      <c r="K17" s="1135"/>
      <c r="L17" s="1135"/>
      <c r="M17" s="1138"/>
      <c r="N17" s="1139"/>
      <c r="O17" s="1139"/>
    </row>
    <row r="18" spans="1:15" x14ac:dyDescent="0.3">
      <c r="B18" s="1079"/>
      <c r="C18" s="1098"/>
      <c r="D18" s="1079"/>
      <c r="E18" s="1099"/>
      <c r="F18" s="1099"/>
      <c r="G18" s="1099"/>
      <c r="H18" s="1100"/>
      <c r="I18" s="1101"/>
      <c r="J18" s="1100"/>
      <c r="K18" s="1100"/>
      <c r="L18" s="1079"/>
      <c r="M18" s="351"/>
    </row>
    <row r="19" spans="1:15" x14ac:dyDescent="0.3">
      <c r="A19" s="1084">
        <v>1</v>
      </c>
      <c r="B19" s="1080" t="s">
        <v>3574</v>
      </c>
      <c r="C19" s="1102"/>
      <c r="D19" s="1077"/>
      <c r="E19" s="1103"/>
      <c r="F19" s="1103"/>
      <c r="G19" s="1103"/>
      <c r="H19" s="1104"/>
      <c r="I19" s="1105">
        <f>I17</f>
        <v>0</v>
      </c>
      <c r="J19" s="1100" t="s">
        <v>3599</v>
      </c>
      <c r="K19" s="1100"/>
      <c r="L19" s="1079"/>
      <c r="M19" s="351"/>
    </row>
    <row r="20" spans="1:15" x14ac:dyDescent="0.3">
      <c r="A20" s="1084">
        <v>2</v>
      </c>
      <c r="B20" s="1080" t="s">
        <v>3573</v>
      </c>
      <c r="C20" s="1102"/>
      <c r="D20" s="1077"/>
      <c r="E20" s="1103"/>
      <c r="F20" s="1103"/>
      <c r="G20" s="1103"/>
      <c r="H20" s="1104"/>
      <c r="I20" s="1106"/>
      <c r="J20" s="1100" t="s">
        <v>3599</v>
      </c>
      <c r="K20" s="1100"/>
      <c r="L20" s="1079"/>
      <c r="M20" s="351"/>
    </row>
    <row r="21" spans="1:15" x14ac:dyDescent="0.3">
      <c r="A21" s="1084">
        <v>3</v>
      </c>
      <c r="B21" s="1080" t="s">
        <v>3572</v>
      </c>
      <c r="C21" s="1102"/>
      <c r="D21" s="1077"/>
      <c r="E21" s="1103"/>
      <c r="F21" s="1103"/>
      <c r="G21" s="1103"/>
      <c r="H21" s="1104"/>
      <c r="I21" s="1106"/>
      <c r="J21" s="1100" t="s">
        <v>3599</v>
      </c>
      <c r="K21" s="1100"/>
      <c r="L21" s="1079"/>
      <c r="M21" s="351"/>
    </row>
    <row r="22" spans="1:15" x14ac:dyDescent="0.3">
      <c r="A22" s="1084">
        <v>4</v>
      </c>
      <c r="B22" s="1078" t="s">
        <v>3571</v>
      </c>
      <c r="C22" s="1102"/>
      <c r="D22" s="1077"/>
      <c r="E22" s="1103"/>
      <c r="F22" s="1103"/>
      <c r="G22" s="1103"/>
      <c r="H22" s="1104"/>
      <c r="I22" s="1106">
        <f>J17+K17</f>
        <v>0</v>
      </c>
      <c r="J22" s="1100" t="s">
        <v>3599</v>
      </c>
      <c r="K22" s="1100"/>
      <c r="L22" s="1079"/>
      <c r="M22" s="351"/>
    </row>
    <row r="23" spans="1:15" x14ac:dyDescent="0.3">
      <c r="A23" s="1084">
        <v>5</v>
      </c>
      <c r="B23" s="1080" t="s">
        <v>3570</v>
      </c>
      <c r="C23" s="1102"/>
      <c r="D23" s="1077"/>
      <c r="E23" s="1103"/>
      <c r="F23" s="1103"/>
      <c r="G23" s="1103"/>
      <c r="H23" s="1104"/>
      <c r="I23" s="1106"/>
      <c r="J23" s="1100" t="s">
        <v>3599</v>
      </c>
      <c r="K23" s="1100"/>
      <c r="L23" s="1079"/>
      <c r="M23" s="351"/>
    </row>
    <row r="24" spans="1:15" x14ac:dyDescent="0.3">
      <c r="A24" s="1084">
        <v>6</v>
      </c>
      <c r="B24" s="1080" t="s">
        <v>3569</v>
      </c>
      <c r="C24" s="1102"/>
      <c r="D24" s="1077"/>
      <c r="E24" s="1103"/>
      <c r="F24" s="1103"/>
      <c r="G24" s="1103"/>
      <c r="H24" s="1104"/>
      <c r="I24" s="1105">
        <f>I26+I25</f>
        <v>0</v>
      </c>
      <c r="J24" s="1100" t="s">
        <v>3599</v>
      </c>
      <c r="K24" s="1100"/>
      <c r="L24" s="1079"/>
      <c r="M24" s="351"/>
    </row>
    <row r="25" spans="1:15" x14ac:dyDescent="0.3">
      <c r="A25" s="1084" t="s">
        <v>3624</v>
      </c>
      <c r="B25" s="1078" t="s">
        <v>3568</v>
      </c>
      <c r="C25" s="1102"/>
      <c r="D25" s="1077"/>
      <c r="E25" s="1103"/>
      <c r="F25" s="1103"/>
      <c r="G25" s="1103"/>
      <c r="H25" s="1104"/>
      <c r="I25" s="1106"/>
      <c r="J25" s="1100" t="s">
        <v>3599</v>
      </c>
      <c r="K25" s="1100"/>
      <c r="L25" s="1079"/>
      <c r="M25" s="351"/>
    </row>
    <row r="26" spans="1:15" x14ac:dyDescent="0.3">
      <c r="A26" s="1084" t="s">
        <v>3625</v>
      </c>
      <c r="B26" s="1078" t="s">
        <v>3567</v>
      </c>
      <c r="C26" s="1102"/>
      <c r="D26" s="1077"/>
      <c r="E26" s="1103"/>
      <c r="F26" s="1103"/>
      <c r="G26" s="1103"/>
      <c r="H26" s="1104"/>
      <c r="I26" s="1106">
        <f>K17-I23</f>
        <v>0</v>
      </c>
      <c r="J26" s="1100" t="s">
        <v>3599</v>
      </c>
      <c r="K26" s="1100"/>
      <c r="L26" s="1079"/>
      <c r="M26" s="351"/>
    </row>
    <row r="27" spans="1:15" x14ac:dyDescent="0.3">
      <c r="A27" s="1084" t="s">
        <v>1396</v>
      </c>
      <c r="B27" s="1107" t="s">
        <v>3651</v>
      </c>
      <c r="C27" s="1102"/>
      <c r="D27" s="1077"/>
      <c r="E27" s="1103"/>
      <c r="F27" s="1103"/>
      <c r="G27" s="1103"/>
      <c r="H27" s="1104"/>
      <c r="I27" s="1106"/>
      <c r="J27" s="1100"/>
      <c r="K27" s="1100"/>
      <c r="L27" s="1079"/>
      <c r="M27" s="351"/>
    </row>
    <row r="28" spans="1:15" x14ac:dyDescent="0.3">
      <c r="A28" s="1084">
        <v>7</v>
      </c>
      <c r="B28" s="1078" t="s">
        <v>3566</v>
      </c>
      <c r="C28" s="1102"/>
      <c r="D28" s="1077"/>
      <c r="E28" s="1103"/>
      <c r="F28" s="1103"/>
      <c r="G28" s="1103"/>
      <c r="H28" s="879"/>
      <c r="I28" s="1108">
        <f>I21+I23+I24</f>
        <v>0</v>
      </c>
      <c r="J28" s="1109"/>
      <c r="K28" s="1109"/>
      <c r="L28" s="351"/>
      <c r="M28" s="351"/>
    </row>
    <row r="29" spans="1:15" x14ac:dyDescent="0.3">
      <c r="B29" s="351"/>
      <c r="C29" s="604"/>
      <c r="D29" s="351"/>
      <c r="E29" s="1110"/>
      <c r="F29" s="1110"/>
      <c r="G29" s="1110"/>
      <c r="H29" s="1109"/>
      <c r="I29" s="1111"/>
      <c r="J29" s="1894" t="s">
        <v>3565</v>
      </c>
      <c r="K29" s="1894"/>
      <c r="L29" s="1894"/>
      <c r="M29" s="1894"/>
    </row>
    <row r="30" spans="1:15" x14ac:dyDescent="0.3">
      <c r="A30" s="1084" t="s">
        <v>3520</v>
      </c>
      <c r="B30" s="1895" t="s">
        <v>3564</v>
      </c>
      <c r="C30" s="1895"/>
      <c r="D30" s="1895" t="s">
        <v>3563</v>
      </c>
      <c r="E30" s="1895"/>
      <c r="F30" s="1895"/>
      <c r="G30" s="1895"/>
      <c r="H30" s="1895"/>
      <c r="I30" s="1112"/>
      <c r="J30" s="1895" t="s">
        <v>3562</v>
      </c>
      <c r="K30" s="1895"/>
      <c r="L30" s="1895"/>
      <c r="M30" s="1895"/>
    </row>
    <row r="35" spans="1:13" ht="18.75" customHeight="1" x14ac:dyDescent="0.3">
      <c r="A35" s="1084" t="s">
        <v>3521</v>
      </c>
      <c r="B35" s="1889" t="s">
        <v>3561</v>
      </c>
      <c r="C35" s="1889"/>
      <c r="D35" s="1889" t="s">
        <v>3561</v>
      </c>
      <c r="E35" s="1889"/>
      <c r="F35" s="1889"/>
      <c r="G35" s="1889"/>
      <c r="H35" s="1889"/>
      <c r="I35" s="1113"/>
      <c r="J35" s="1889" t="s">
        <v>3561</v>
      </c>
      <c r="K35" s="1889"/>
      <c r="L35" s="1889"/>
      <c r="M35" s="1889"/>
    </row>
  </sheetData>
  <mergeCells count="19">
    <mergeCell ref="B2:L2"/>
    <mergeCell ref="B13:B15"/>
    <mergeCell ref="C13:C15"/>
    <mergeCell ref="D13:D15"/>
    <mergeCell ref="E13:G13"/>
    <mergeCell ref="H13:H15"/>
    <mergeCell ref="I13:K13"/>
    <mergeCell ref="L13:L15"/>
    <mergeCell ref="E14:E15"/>
    <mergeCell ref="F14:G14"/>
    <mergeCell ref="B35:C35"/>
    <mergeCell ref="D35:H35"/>
    <mergeCell ref="J35:M35"/>
    <mergeCell ref="I14:I15"/>
    <mergeCell ref="J14:K14"/>
    <mergeCell ref="J29:M29"/>
    <mergeCell ref="B30:C30"/>
    <mergeCell ref="D30:H30"/>
    <mergeCell ref="J30:M30"/>
  </mergeCells>
  <dataValidations count="1">
    <dataValidation allowBlank="1" showInputMessage="1" showErrorMessage="1" promptTitle="Ghi chú" prompt="Không được xóa cột này" sqref="A32:A65536 A1:A30"/>
  </dataValidations>
  <printOptions horizontalCentered="1"/>
  <pageMargins left="0.31" right="0.17" top="0.37" bottom="0.41" header="0.19" footer="0.28999999999999998"/>
  <pageSetup paperSize="9" scale="93" orientation="landscape" cellComments="atEnd" r:id="rId1"/>
  <headerFooter alignWithMargins="0"/>
  <legacyDrawing r:id="rId2"/>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PL03A"/>
  <dimension ref="A1:P36"/>
  <sheetViews>
    <sheetView topLeftCell="B1" zoomScale="85" zoomScaleNormal="85" workbookViewId="0">
      <selection activeCell="G8" sqref="G8"/>
    </sheetView>
  </sheetViews>
  <sheetFormatPr defaultRowHeight="18.75" outlineLevelCol="1" x14ac:dyDescent="0.3"/>
  <cols>
    <col min="1" max="1" width="9.140625" style="1084" hidden="1" customWidth="1" outlineLevel="1"/>
    <col min="2" max="2" width="9.7109375" style="99" customWidth="1" collapsed="1"/>
    <col min="3" max="3" width="27.7109375" style="1085" customWidth="1"/>
    <col min="4" max="4" width="9.140625" style="99"/>
    <col min="5" max="5" width="11.5703125" style="1086" customWidth="1"/>
    <col min="6" max="7" width="15" style="1086" customWidth="1"/>
    <col min="8" max="8" width="12.85546875" style="1086" customWidth="1"/>
    <col min="9" max="9" width="15.28515625" style="1087" bestFit="1" customWidth="1"/>
    <col min="10" max="10" width="14.140625" style="1087" bestFit="1" customWidth="1"/>
    <col min="11" max="11" width="15.85546875" style="1116" bestFit="1" customWidth="1"/>
    <col min="12" max="13" width="14" style="1087" customWidth="1"/>
    <col min="14" max="14" width="14.85546875" style="1087" customWidth="1"/>
    <col min="15" max="15" width="17.5703125" style="1087" customWidth="1"/>
    <col min="16" max="16384" width="9.140625" style="99"/>
  </cols>
  <sheetData>
    <row r="1" spans="1:16" x14ac:dyDescent="0.3">
      <c r="O1" s="1117" t="s">
        <v>3594</v>
      </c>
    </row>
    <row r="2" spans="1:16" x14ac:dyDescent="0.3">
      <c r="B2" s="1895" t="s">
        <v>3593</v>
      </c>
      <c r="C2" s="1895"/>
      <c r="D2" s="1895"/>
      <c r="E2" s="1895"/>
      <c r="F2" s="1895"/>
      <c r="G2" s="1895"/>
      <c r="H2" s="1895"/>
      <c r="I2" s="1895"/>
      <c r="J2" s="1895"/>
      <c r="K2" s="1895"/>
      <c r="L2" s="1895"/>
      <c r="M2" s="1895"/>
      <c r="N2" s="1895"/>
      <c r="O2" s="1895"/>
    </row>
    <row r="3" spans="1:16" x14ac:dyDescent="0.3">
      <c r="B3" s="880" t="s">
        <v>3597</v>
      </c>
      <c r="C3" s="1089"/>
      <c r="D3" s="880"/>
      <c r="E3" s="1090"/>
      <c r="F3" s="1090"/>
      <c r="G3" s="1090"/>
      <c r="H3" s="1086" t="s">
        <v>3598</v>
      </c>
    </row>
    <row r="4" spans="1:16" x14ac:dyDescent="0.3">
      <c r="B4" s="880" t="s">
        <v>3592</v>
      </c>
      <c r="C4" s="1089"/>
      <c r="D4" s="880"/>
      <c r="E4" s="1090"/>
      <c r="F4" s="1090"/>
      <c r="G4" s="1090"/>
    </row>
    <row r="5" spans="1:16" x14ac:dyDescent="0.3">
      <c r="B5" s="880" t="s">
        <v>3591</v>
      </c>
      <c r="C5" s="1089"/>
      <c r="D5" s="880"/>
      <c r="E5" s="1090"/>
      <c r="F5" s="1090"/>
      <c r="G5" s="1090"/>
    </row>
    <row r="6" spans="1:16" x14ac:dyDescent="0.3">
      <c r="B6" s="880" t="s">
        <v>3601</v>
      </c>
      <c r="C6" s="1089"/>
      <c r="D6" s="880"/>
      <c r="E6" s="1090"/>
      <c r="F6" s="1090"/>
      <c r="G6" s="1090"/>
    </row>
    <row r="7" spans="1:16" x14ac:dyDescent="0.3">
      <c r="B7" s="880" t="s">
        <v>3602</v>
      </c>
      <c r="C7" s="1089"/>
      <c r="D7" s="880"/>
      <c r="E7" s="1090"/>
      <c r="F7" s="1090"/>
      <c r="G7" s="1090"/>
    </row>
    <row r="8" spans="1:16" x14ac:dyDescent="0.3">
      <c r="B8" s="880" t="s">
        <v>3603</v>
      </c>
      <c r="C8" s="1089"/>
      <c r="D8" s="880"/>
      <c r="E8" s="1090"/>
      <c r="F8" s="1090"/>
      <c r="G8" s="1090"/>
    </row>
    <row r="9" spans="1:16" x14ac:dyDescent="0.3">
      <c r="B9" s="880" t="s">
        <v>3588</v>
      </c>
      <c r="C9" s="1089"/>
      <c r="D9" s="880"/>
      <c r="E9" s="1090"/>
      <c r="F9" s="1090"/>
      <c r="G9" s="1090"/>
    </row>
    <row r="10" spans="1:16" x14ac:dyDescent="0.3">
      <c r="B10" s="880" t="s">
        <v>3587</v>
      </c>
      <c r="C10" s="1089"/>
      <c r="D10" s="880"/>
      <c r="E10" s="1090"/>
      <c r="F10" s="1090"/>
      <c r="G10" s="1090"/>
    </row>
    <row r="11" spans="1:16" x14ac:dyDescent="0.3">
      <c r="B11" s="880" t="s">
        <v>3586</v>
      </c>
      <c r="C11" s="1089"/>
      <c r="D11" s="880"/>
      <c r="E11" s="1090"/>
      <c r="F11" s="1090"/>
      <c r="G11" s="1090"/>
      <c r="O11" s="1118"/>
    </row>
    <row r="12" spans="1:16" x14ac:dyDescent="0.3">
      <c r="B12" s="880"/>
      <c r="C12" s="1089"/>
      <c r="D12" s="880"/>
      <c r="E12" s="1090"/>
      <c r="F12" s="1090"/>
      <c r="G12" s="1090"/>
      <c r="O12" s="1118"/>
    </row>
    <row r="13" spans="1:16" hidden="1" x14ac:dyDescent="0.3">
      <c r="A13" s="1084" t="s">
        <v>3615</v>
      </c>
      <c r="B13" s="617">
        <v>1</v>
      </c>
      <c r="C13" s="1129" t="s">
        <v>3616</v>
      </c>
      <c r="D13" s="617">
        <v>3</v>
      </c>
      <c r="E13" s="1130">
        <v>4</v>
      </c>
      <c r="F13" s="1130">
        <v>5</v>
      </c>
      <c r="G13" s="1130">
        <v>6</v>
      </c>
      <c r="H13" s="1130">
        <v>7</v>
      </c>
      <c r="I13" s="1131">
        <v>8</v>
      </c>
      <c r="J13" s="1131">
        <v>9</v>
      </c>
      <c r="K13" s="1131">
        <v>10</v>
      </c>
      <c r="L13" s="1131">
        <v>11</v>
      </c>
      <c r="M13" s="1131">
        <v>11</v>
      </c>
      <c r="N13" s="1131">
        <v>12</v>
      </c>
      <c r="O13" s="1131">
        <v>13</v>
      </c>
      <c r="P13" s="351"/>
    </row>
    <row r="14" spans="1:16" x14ac:dyDescent="0.3">
      <c r="B14" s="1896" t="s">
        <v>3585</v>
      </c>
      <c r="C14" s="1896" t="s">
        <v>3584</v>
      </c>
      <c r="D14" s="1896" t="s">
        <v>625</v>
      </c>
      <c r="E14" s="1917" t="s">
        <v>3583</v>
      </c>
      <c r="F14" s="1918"/>
      <c r="G14" s="1918"/>
      <c r="H14" s="1919"/>
      <c r="I14" s="1914" t="s">
        <v>3582</v>
      </c>
      <c r="J14" s="1915"/>
      <c r="K14" s="1905" t="s">
        <v>485</v>
      </c>
      <c r="L14" s="1906"/>
      <c r="M14" s="1906"/>
      <c r="N14" s="1907"/>
      <c r="O14" s="1902" t="s">
        <v>3581</v>
      </c>
      <c r="P14" s="351"/>
    </row>
    <row r="15" spans="1:16" ht="18.75" customHeight="1" x14ac:dyDescent="0.3">
      <c r="B15" s="1897"/>
      <c r="C15" s="1897"/>
      <c r="D15" s="1897"/>
      <c r="E15" s="1908" t="s">
        <v>3580</v>
      </c>
      <c r="F15" s="1910" t="s">
        <v>3579</v>
      </c>
      <c r="G15" s="1913"/>
      <c r="H15" s="1911"/>
      <c r="I15" s="1902" t="s">
        <v>3580</v>
      </c>
      <c r="J15" s="1902" t="s">
        <v>3604</v>
      </c>
      <c r="K15" s="1920" t="s">
        <v>3580</v>
      </c>
      <c r="L15" s="1892" t="s">
        <v>3579</v>
      </c>
      <c r="M15" s="1916"/>
      <c r="N15" s="1893"/>
      <c r="O15" s="1903"/>
      <c r="P15" s="351"/>
    </row>
    <row r="16" spans="1:16" ht="31.5" x14ac:dyDescent="0.3">
      <c r="B16" s="1912"/>
      <c r="C16" s="1912"/>
      <c r="D16" s="1912"/>
      <c r="E16" s="1912"/>
      <c r="F16" s="1134" t="s">
        <v>3577</v>
      </c>
      <c r="G16" s="1134" t="s">
        <v>3578</v>
      </c>
      <c r="H16" s="1134" t="s">
        <v>3605</v>
      </c>
      <c r="I16" s="1912"/>
      <c r="J16" s="1912"/>
      <c r="K16" s="1921"/>
      <c r="L16" s="1134" t="s">
        <v>3577</v>
      </c>
      <c r="M16" s="1092" t="s">
        <v>3578</v>
      </c>
      <c r="N16" s="1092" t="s">
        <v>3605</v>
      </c>
      <c r="O16" s="1904"/>
      <c r="P16" s="351"/>
    </row>
    <row r="17" spans="1:16" x14ac:dyDescent="0.3">
      <c r="A17" s="1084" t="s">
        <v>15</v>
      </c>
      <c r="B17" s="1093">
        <v>1</v>
      </c>
      <c r="C17" s="1132">
        <v>2</v>
      </c>
      <c r="D17" s="1093">
        <v>3</v>
      </c>
      <c r="E17" s="1093">
        <v>4</v>
      </c>
      <c r="F17" s="1093">
        <v>5</v>
      </c>
      <c r="G17" s="1093">
        <v>6</v>
      </c>
      <c r="H17" s="1093">
        <v>7</v>
      </c>
      <c r="I17" s="1133">
        <v>8</v>
      </c>
      <c r="J17" s="1093">
        <v>9</v>
      </c>
      <c r="K17" s="1093">
        <v>10</v>
      </c>
      <c r="L17" s="1093">
        <v>11</v>
      </c>
      <c r="M17" s="1093">
        <v>11</v>
      </c>
      <c r="N17" s="1093">
        <v>12</v>
      </c>
      <c r="O17" s="1093">
        <v>13</v>
      </c>
      <c r="P17" s="351"/>
    </row>
    <row r="18" spans="1:16" s="835" customFormat="1" x14ac:dyDescent="0.3">
      <c r="A18" s="1094" t="s">
        <v>106</v>
      </c>
      <c r="B18" s="1081"/>
      <c r="C18" s="1095" t="s">
        <v>3575</v>
      </c>
      <c r="D18" s="1081"/>
      <c r="E18" s="1096"/>
      <c r="F18" s="1096"/>
      <c r="G18" s="1096"/>
      <c r="H18" s="1096"/>
      <c r="I18" s="1097"/>
      <c r="J18" s="1097"/>
      <c r="K18" s="1119" t="e">
        <f xml:space="preserve"> SUM(#REF!)</f>
        <v>#REF!</v>
      </c>
      <c r="L18" s="1097" t="e">
        <f xml:space="preserve"> SUM(#REF!)</f>
        <v>#REF!</v>
      </c>
      <c r="M18" s="1097"/>
      <c r="N18" s="1097" t="e">
        <f xml:space="preserve"> SUM(#REF!)</f>
        <v>#REF!</v>
      </c>
      <c r="O18" s="1097"/>
      <c r="P18" s="348"/>
    </row>
    <row r="19" spans="1:16" x14ac:dyDescent="0.3">
      <c r="B19" s="1079"/>
      <c r="C19" s="1098"/>
      <c r="D19" s="1079"/>
      <c r="E19" s="1099"/>
      <c r="F19" s="1099"/>
      <c r="G19" s="1099"/>
      <c r="H19" s="1099"/>
      <c r="I19" s="1100"/>
      <c r="J19" s="1100"/>
      <c r="K19" s="1120"/>
      <c r="L19" s="1100"/>
      <c r="M19" s="1100"/>
      <c r="N19" s="1100"/>
      <c r="O19" s="1100"/>
      <c r="P19" s="351"/>
    </row>
    <row r="20" spans="1:16" x14ac:dyDescent="0.3">
      <c r="A20" s="1084">
        <v>1</v>
      </c>
      <c r="B20" s="1080" t="s">
        <v>3574</v>
      </c>
      <c r="C20" s="1102"/>
      <c r="D20" s="1077"/>
      <c r="E20" s="1103"/>
      <c r="F20" s="1103"/>
      <c r="G20" s="1103"/>
      <c r="H20" s="1103"/>
      <c r="I20" s="1104"/>
      <c r="J20" s="1104"/>
      <c r="K20" s="1121" t="e">
        <f>K18</f>
        <v>#REF!</v>
      </c>
      <c r="L20" s="1100" t="s">
        <v>3599</v>
      </c>
      <c r="M20" s="1100"/>
      <c r="N20" s="1100"/>
      <c r="O20" s="1100"/>
      <c r="P20" s="351"/>
    </row>
    <row r="21" spans="1:16" x14ac:dyDescent="0.3">
      <c r="A21" s="1084">
        <v>2</v>
      </c>
      <c r="B21" s="1080" t="s">
        <v>3573</v>
      </c>
      <c r="C21" s="1102"/>
      <c r="D21" s="1077"/>
      <c r="E21" s="1103"/>
      <c r="F21" s="1103"/>
      <c r="G21" s="1103"/>
      <c r="H21" s="1103"/>
      <c r="I21" s="1104"/>
      <c r="J21" s="1104"/>
      <c r="K21" s="1122"/>
      <c r="L21" s="1100" t="s">
        <v>3599</v>
      </c>
      <c r="M21" s="1100"/>
      <c r="N21" s="1100"/>
      <c r="O21" s="1100"/>
      <c r="P21" s="351"/>
    </row>
    <row r="22" spans="1:16" x14ac:dyDescent="0.3">
      <c r="A22" s="1084">
        <v>3</v>
      </c>
      <c r="B22" s="1080" t="s">
        <v>3572</v>
      </c>
      <c r="C22" s="1102"/>
      <c r="D22" s="1077"/>
      <c r="E22" s="1103"/>
      <c r="F22" s="1103"/>
      <c r="G22" s="1103"/>
      <c r="H22" s="1103"/>
      <c r="I22" s="1104"/>
      <c r="J22" s="1104"/>
      <c r="K22" s="1122"/>
      <c r="L22" s="1100" t="s">
        <v>3599</v>
      </c>
      <c r="M22" s="1100"/>
      <c r="N22" s="1100"/>
      <c r="O22" s="1100"/>
      <c r="P22" s="351"/>
    </row>
    <row r="23" spans="1:16" x14ac:dyDescent="0.3">
      <c r="A23" s="1084">
        <v>4</v>
      </c>
      <c r="B23" s="1078" t="s">
        <v>3571</v>
      </c>
      <c r="C23" s="1102"/>
      <c r="D23" s="1077"/>
      <c r="E23" s="1103"/>
      <c r="F23" s="1103"/>
      <c r="G23" s="1103"/>
      <c r="H23" s="1103"/>
      <c r="I23" s="1104"/>
      <c r="J23" s="1104"/>
      <c r="K23" s="1122" t="e">
        <f>L18+N18</f>
        <v>#REF!</v>
      </c>
      <c r="L23" s="1100" t="s">
        <v>3599</v>
      </c>
      <c r="M23" s="1100"/>
      <c r="N23" s="1100"/>
      <c r="O23" s="1100"/>
      <c r="P23" s="351"/>
    </row>
    <row r="24" spans="1:16" x14ac:dyDescent="0.3">
      <c r="A24" s="1084">
        <v>5</v>
      </c>
      <c r="B24" s="1080" t="s">
        <v>3606</v>
      </c>
      <c r="C24" s="1102"/>
      <c r="D24" s="1077"/>
      <c r="E24" s="1103"/>
      <c r="F24" s="1103"/>
      <c r="G24" s="1103"/>
      <c r="H24" s="1103"/>
      <c r="I24" s="1104"/>
      <c r="J24" s="1104"/>
      <c r="K24" s="1122"/>
      <c r="L24" s="1100" t="s">
        <v>3599</v>
      </c>
      <c r="M24" s="1100"/>
      <c r="N24" s="1100"/>
      <c r="O24" s="1100"/>
      <c r="P24" s="351"/>
    </row>
    <row r="25" spans="1:16" x14ac:dyDescent="0.3">
      <c r="A25" s="1084">
        <v>6</v>
      </c>
      <c r="B25" s="1080" t="s">
        <v>3569</v>
      </c>
      <c r="C25" s="1102"/>
      <c r="D25" s="1077"/>
      <c r="E25" s="1103"/>
      <c r="F25" s="1103"/>
      <c r="G25" s="1103"/>
      <c r="H25" s="1103"/>
      <c r="I25" s="1104"/>
      <c r="J25" s="1104"/>
      <c r="K25" s="1121" t="e">
        <f>K27+K26</f>
        <v>#REF!</v>
      </c>
      <c r="L25" s="1100" t="s">
        <v>3599</v>
      </c>
      <c r="M25" s="1100"/>
      <c r="N25" s="1100"/>
      <c r="O25" s="1100"/>
      <c r="P25" s="351"/>
    </row>
    <row r="26" spans="1:16" x14ac:dyDescent="0.3">
      <c r="A26" s="1084" t="s">
        <v>3624</v>
      </c>
      <c r="B26" s="1078" t="s">
        <v>3568</v>
      </c>
      <c r="C26" s="1102"/>
      <c r="D26" s="1077"/>
      <c r="E26" s="1103"/>
      <c r="F26" s="1103"/>
      <c r="G26" s="1103"/>
      <c r="H26" s="1103"/>
      <c r="I26" s="1104"/>
      <c r="J26" s="1104"/>
      <c r="K26" s="1122"/>
      <c r="L26" s="1100" t="s">
        <v>3599</v>
      </c>
      <c r="M26" s="1100"/>
      <c r="N26" s="1100"/>
      <c r="O26" s="1100"/>
      <c r="P26" s="351"/>
    </row>
    <row r="27" spans="1:16" x14ac:dyDescent="0.3">
      <c r="A27" s="1084" t="s">
        <v>3625</v>
      </c>
      <c r="B27" s="1078" t="s">
        <v>3567</v>
      </c>
      <c r="C27" s="1102"/>
      <c r="D27" s="1077"/>
      <c r="E27" s="1103"/>
      <c r="F27" s="1103"/>
      <c r="G27" s="1103"/>
      <c r="H27" s="1103"/>
      <c r="I27" s="1104"/>
      <c r="J27" s="1104"/>
      <c r="K27" s="1122" t="e">
        <f>N18-K24</f>
        <v>#REF!</v>
      </c>
      <c r="L27" s="1100" t="s">
        <v>3599</v>
      </c>
      <c r="M27" s="1100"/>
      <c r="N27" s="1100"/>
      <c r="O27" s="1100"/>
      <c r="P27" s="351"/>
    </row>
    <row r="28" spans="1:16" x14ac:dyDescent="0.3">
      <c r="A28" s="1084" t="s">
        <v>1396</v>
      </c>
      <c r="B28" s="1107" t="s">
        <v>3652</v>
      </c>
      <c r="C28" s="1102"/>
      <c r="D28" s="1077"/>
      <c r="E28" s="1103"/>
      <c r="F28" s="1103"/>
      <c r="G28" s="1103"/>
      <c r="H28" s="1103"/>
      <c r="I28" s="1104"/>
      <c r="J28" s="1104"/>
      <c r="K28" s="1122"/>
      <c r="L28" s="1100"/>
      <c r="M28" s="1100"/>
      <c r="N28" s="1100"/>
      <c r="O28" s="1100"/>
      <c r="P28" s="351"/>
    </row>
    <row r="29" spans="1:16" x14ac:dyDescent="0.3">
      <c r="A29" s="1084">
        <v>7</v>
      </c>
      <c r="B29" s="1078" t="s">
        <v>3607</v>
      </c>
      <c r="C29" s="1102"/>
      <c r="D29" s="1077"/>
      <c r="E29" s="1103"/>
      <c r="F29" s="1103"/>
      <c r="G29" s="1103"/>
      <c r="H29" s="1103"/>
      <c r="I29" s="879"/>
      <c r="J29" s="879"/>
      <c r="K29" s="1123" t="e">
        <f>K22+K24+K25</f>
        <v>#REF!</v>
      </c>
      <c r="L29" s="1109"/>
      <c r="M29" s="1109"/>
      <c r="N29" s="1109"/>
      <c r="O29" s="1109"/>
      <c r="P29" s="351"/>
    </row>
    <row r="30" spans="1:16" x14ac:dyDescent="0.3">
      <c r="B30" s="351"/>
      <c r="C30" s="604"/>
      <c r="D30" s="351"/>
      <c r="E30" s="1110"/>
      <c r="F30" s="1110"/>
      <c r="G30" s="1110"/>
      <c r="H30" s="1110"/>
      <c r="I30" s="1109"/>
      <c r="J30" s="1109"/>
      <c r="K30" s="1124"/>
      <c r="L30" s="1894" t="s">
        <v>3565</v>
      </c>
      <c r="M30" s="1894"/>
      <c r="N30" s="1894"/>
      <c r="O30" s="1894"/>
      <c r="P30" s="1894"/>
    </row>
    <row r="31" spans="1:16" x14ac:dyDescent="0.3">
      <c r="A31" s="1084" t="s">
        <v>3520</v>
      </c>
      <c r="B31" s="1895" t="s">
        <v>3564</v>
      </c>
      <c r="C31" s="1895"/>
      <c r="D31" s="1895"/>
      <c r="E31" s="1895"/>
      <c r="F31" s="1895"/>
      <c r="G31" s="1895"/>
      <c r="H31" s="1895"/>
      <c r="I31" s="1895"/>
      <c r="J31" s="1125"/>
      <c r="K31" s="1126"/>
      <c r="L31" s="1895" t="s">
        <v>3562</v>
      </c>
      <c r="M31" s="1895"/>
      <c r="N31" s="1895"/>
      <c r="O31" s="1895"/>
      <c r="P31" s="1895"/>
    </row>
    <row r="36" spans="1:16" ht="18.75" customHeight="1" x14ac:dyDescent="0.3">
      <c r="A36" s="1084" t="s">
        <v>3521</v>
      </c>
      <c r="B36" s="1889" t="s">
        <v>3561</v>
      </c>
      <c r="C36" s="1889"/>
      <c r="D36" s="1889"/>
      <c r="E36" s="1889"/>
      <c r="F36" s="1889"/>
      <c r="G36" s="1889"/>
      <c r="H36" s="1889"/>
      <c r="I36" s="1889"/>
      <c r="J36" s="1127"/>
      <c r="K36" s="1128"/>
      <c r="L36" s="1889" t="s">
        <v>3561</v>
      </c>
      <c r="M36" s="1889"/>
      <c r="N36" s="1889"/>
      <c r="O36" s="1889"/>
      <c r="P36" s="1889"/>
    </row>
  </sheetData>
  <mergeCells count="21">
    <mergeCell ref="B2:O2"/>
    <mergeCell ref="B14:B16"/>
    <mergeCell ref="C14:C16"/>
    <mergeCell ref="D14:D16"/>
    <mergeCell ref="E14:H14"/>
    <mergeCell ref="K15:K16"/>
    <mergeCell ref="B36:C36"/>
    <mergeCell ref="D36:I36"/>
    <mergeCell ref="L36:P36"/>
    <mergeCell ref="I15:I16"/>
    <mergeCell ref="J15:J16"/>
    <mergeCell ref="B31:C31"/>
    <mergeCell ref="E15:E16"/>
    <mergeCell ref="D31:I31"/>
    <mergeCell ref="L31:P31"/>
    <mergeCell ref="L30:P30"/>
    <mergeCell ref="O14:O16"/>
    <mergeCell ref="F15:H15"/>
    <mergeCell ref="I14:J14"/>
    <mergeCell ref="K14:N14"/>
    <mergeCell ref="L15:N15"/>
  </mergeCells>
  <dataValidations disablePrompts="1" count="9">
    <dataValidation allowBlank="1" showInputMessage="1" showErrorMessage="1" promptTitle="Ghi chú:" prompt="là số tiền đã thanh toán khối lượng XDCB hoàn thành đến hết kỳ trước (dòng số 3) cộng với thu hồi tạm ứng (dòng số 5), cộng phần thanh toán giá trị khối lượng XDCB hoàn thành kỳ này (dòng số 6)" sqref="B27"/>
    <dataValidation allowBlank="1" showInputMessage="1" showErrorMessage="1" promptTitle="Ghi chú:" prompt="là số tiền mà chủ đầu tư đã tạm ứng cho nhà thầu theo điều khoản của hợp đồng chưa được thu hồi đến hết kỳ trước (dòng số 2) trừ thu hồi tạm ứng (dòng số 5) cộng phần tạm ứng (nếu có) của dòng số 6" sqref="B26"/>
    <dataValidation allowBlank="1" showInputMessage="1" showErrorMessage="1" promptTitle="Ghi chú" prompt="là số tiền mà chủ đầu tư đề nghị Kho bạc Nhà nước thanh toán cho nhà thầu theo điều khoản thanh toán của hợp đồng đã ký kết (sau khi trừ số tiền thu hồi tạm ứng tại dòng số 5 nêu trên). Trong đó gồm tạm ứng (nếu có) và thanh toán khối lượng hoàn thành" sqref="B25"/>
    <dataValidation allowBlank="1" showInputMessage="1" showErrorMessage="1" promptTitle="Ghi chú" prompt="là số tiền mà chủ đầu tư và nhà thầu thống nhất thanh toán để thu hồi một phần hay toàn bộ số tiền tạm ứng theo hợp đồng còn lại chưa thu hồi đến cuối kỳ trước  theo điều khoản thanh toán của hợp đồng đã ký kết " sqref="B24"/>
    <dataValidation allowBlank="1" showInputMessage="1" showErrorMessage="1" promptTitle="Ghi chú" prompt="là luỹ kế giá trị khối lượng thực hiện theo hợp đồng đến cuối kỳ trước cộng với giá trị khối lượng thực hiện theo hợp đồng trong kỳ phù hợp với biên bản nghiệm thu đề nghị thanh toán (cột 9 cộng cột 10 của bảng xác định)" sqref="B23"/>
    <dataValidation allowBlank="1" showInputMessage="1" showErrorMessage="1" promptTitle="Ghi chú:" prompt="Là số tiền mà chủ đầu tư đã thanh toán cho nhà thầu phần giá trị khối lượng đã hoàn thành đến cuối kỳ trước (không bao gồm số tiền đã tạm ứng)" sqref="B22"/>
    <dataValidation allowBlank="1" showInputMessage="1" showErrorMessage="1" promptTitle="Ghi chú" prompt="là số tiền mà chủ đầu tư đã tạm ứng cho nhà thầu theo điều khoản của hợp đồng cho nhà thầu chưa được thu hồi đến cuối kỳ trước" sqref="B21"/>
    <dataValidation allowBlank="1" showInputMessage="1" showErrorMessage="1" promptTitle="1. Giá trị hợp đồng" prompt="Là giá trị hợp đồng mà chủ đầu tư và nhà thầu đã ký kết theo quy định của pháp luật" sqref="B20"/>
    <dataValidation allowBlank="1" showInputMessage="1" showErrorMessage="1" promptTitle="Ghi chú" prompt="Không được xóa cột này" sqref="A33:A65536 A1:A31"/>
  </dataValidations>
  <pageMargins left="0.7" right="0.7" top="0.75" bottom="0.75" header="0.3" footer="0.3"/>
  <legacyDrawing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QLTU"/>
  <dimension ref="A1:G19"/>
  <sheetViews>
    <sheetView workbookViewId="0">
      <selection activeCell="B18" sqref="B18"/>
    </sheetView>
  </sheetViews>
  <sheetFormatPr defaultRowHeight="15" x14ac:dyDescent="0.25"/>
  <cols>
    <col min="1" max="1" width="7.42578125" style="103" customWidth="1"/>
    <col min="2" max="2" width="38.28515625" style="103" customWidth="1"/>
    <col min="3" max="3" width="9.140625" style="1185"/>
    <col min="4" max="7" width="9.5703125" style="103" bestFit="1" customWidth="1"/>
    <col min="8" max="16384" width="9.140625" style="103"/>
  </cols>
  <sheetData>
    <row r="1" spans="1:7" ht="20.25" x14ac:dyDescent="0.3">
      <c r="A1" s="242" t="s">
        <v>3617</v>
      </c>
      <c r="B1" s="243"/>
      <c r="C1" s="1180"/>
      <c r="D1" s="243"/>
      <c r="E1" s="243"/>
      <c r="F1" s="243"/>
      <c r="G1" s="243"/>
    </row>
    <row r="2" spans="1:7" s="264" customFormat="1" ht="14.25" x14ac:dyDescent="0.2">
      <c r="A2" s="263" t="str">
        <f>"CÔNG TRÌNH : "&amp;'Bia du toan'!$G$12</f>
        <v>CÔNG TRÌNH : TRƯỜNG CAO ĐẲNG LÝ TỰ TRỌNG</v>
      </c>
      <c r="B2" s="263"/>
      <c r="C2" s="1181"/>
      <c r="D2" s="263"/>
      <c r="E2" s="263"/>
      <c r="F2" s="263"/>
      <c r="G2" s="263"/>
    </row>
    <row r="3" spans="1:7" s="264" customFormat="1" ht="14.25" x14ac:dyDescent="0.2">
      <c r="A3" s="263" t="str">
        <f>"HẠNG MỤC : "&amp; 'Bia du toan'!$G$13</f>
        <v>HẠNG MỤC : CẢI TẠO THƯ VIỆN GIAI ĐOẠN 2 - NĂM 2019</v>
      </c>
      <c r="B3" s="263"/>
      <c r="C3" s="1181"/>
      <c r="D3" s="263"/>
      <c r="E3" s="263"/>
      <c r="F3" s="263"/>
      <c r="G3" s="263"/>
    </row>
    <row r="4" spans="1:7" x14ac:dyDescent="0.25">
      <c r="A4" s="243"/>
      <c r="B4" s="243"/>
      <c r="C4" s="1180"/>
      <c r="D4" s="243"/>
      <c r="E4" s="243"/>
      <c r="F4" s="243"/>
      <c r="G4" s="243"/>
    </row>
    <row r="5" spans="1:7" ht="15" customHeight="1" x14ac:dyDescent="0.25">
      <c r="A5" s="1753" t="s">
        <v>15</v>
      </c>
      <c r="B5" s="1753" t="s">
        <v>3618</v>
      </c>
      <c r="C5" s="1787" t="s">
        <v>466</v>
      </c>
      <c r="D5" s="1753" t="s">
        <v>3619</v>
      </c>
      <c r="E5" s="1753"/>
      <c r="F5" s="1753"/>
      <c r="G5" s="1753"/>
    </row>
    <row r="6" spans="1:7" x14ac:dyDescent="0.25">
      <c r="A6" s="1754"/>
      <c r="B6" s="1754"/>
      <c r="C6" s="1922"/>
      <c r="D6" s="1175" t="s">
        <v>3620</v>
      </c>
      <c r="E6" s="1175" t="s">
        <v>3621</v>
      </c>
      <c r="F6" s="1175" t="s">
        <v>3622</v>
      </c>
      <c r="G6" s="1175" t="s">
        <v>3623</v>
      </c>
    </row>
    <row r="7" spans="1:7" x14ac:dyDescent="0.25">
      <c r="A7" s="1176"/>
      <c r="B7" s="1176"/>
      <c r="C7" s="1182"/>
      <c r="D7" s="1176"/>
      <c r="E7" s="1176"/>
      <c r="F7" s="1176"/>
      <c r="G7" s="1176"/>
    </row>
    <row r="8" spans="1:7" x14ac:dyDescent="0.25">
      <c r="A8" s="1177"/>
      <c r="B8" s="1177"/>
      <c r="C8" s="1183"/>
      <c r="D8" s="1177"/>
      <c r="E8" s="1177"/>
      <c r="F8" s="1177"/>
      <c r="G8" s="1177"/>
    </row>
    <row r="9" spans="1:7" x14ac:dyDescent="0.25">
      <c r="A9" s="1177"/>
      <c r="B9" s="1177"/>
      <c r="C9" s="1183"/>
      <c r="D9" s="1177"/>
      <c r="E9" s="1177"/>
      <c r="F9" s="1177"/>
      <c r="G9" s="1177"/>
    </row>
    <row r="10" spans="1:7" x14ac:dyDescent="0.25">
      <c r="A10" s="1177"/>
      <c r="B10" s="1177"/>
      <c r="C10" s="1183"/>
      <c r="D10" s="1177"/>
      <c r="E10" s="1177"/>
      <c r="F10" s="1177"/>
      <c r="G10" s="1177"/>
    </row>
    <row r="11" spans="1:7" x14ac:dyDescent="0.25">
      <c r="A11" s="1177"/>
      <c r="B11" s="1177"/>
      <c r="C11" s="1183"/>
      <c r="D11" s="1177"/>
      <c r="E11" s="1177"/>
      <c r="F11" s="1177"/>
      <c r="G11" s="1177"/>
    </row>
    <row r="12" spans="1:7" x14ac:dyDescent="0.25">
      <c r="A12" s="1177"/>
      <c r="B12" s="1177"/>
      <c r="C12" s="1183"/>
      <c r="D12" s="1177"/>
      <c r="E12" s="1177"/>
      <c r="F12" s="1177"/>
      <c r="G12" s="1177"/>
    </row>
    <row r="13" spans="1:7" x14ac:dyDescent="0.25">
      <c r="A13" s="1177"/>
      <c r="B13" s="1177"/>
      <c r="C13" s="1183"/>
      <c r="D13" s="1177"/>
      <c r="E13" s="1177"/>
      <c r="F13" s="1177"/>
      <c r="G13" s="1177"/>
    </row>
    <row r="14" spans="1:7" x14ac:dyDescent="0.25">
      <c r="A14" s="1177"/>
      <c r="B14" s="1177"/>
      <c r="C14" s="1183"/>
      <c r="D14" s="1177"/>
      <c r="E14" s="1177"/>
      <c r="F14" s="1177"/>
      <c r="G14" s="1177"/>
    </row>
    <row r="15" spans="1:7" x14ac:dyDescent="0.25">
      <c r="A15" s="1177"/>
      <c r="B15" s="1177"/>
      <c r="C15" s="1183"/>
      <c r="D15" s="1177"/>
      <c r="E15" s="1177"/>
      <c r="F15" s="1177"/>
      <c r="G15" s="1177"/>
    </row>
    <row r="16" spans="1:7" x14ac:dyDescent="0.25">
      <c r="A16" s="1177"/>
      <c r="B16" s="1177"/>
      <c r="C16" s="1183"/>
      <c r="D16" s="1177"/>
      <c r="E16" s="1177"/>
      <c r="F16" s="1177"/>
      <c r="G16" s="1177"/>
    </row>
    <row r="17" spans="1:7" x14ac:dyDescent="0.25">
      <c r="A17" s="1177"/>
      <c r="B17" s="1177"/>
      <c r="C17" s="1183"/>
      <c r="D17" s="1177"/>
      <c r="E17" s="1177"/>
      <c r="F17" s="1177"/>
      <c r="G17" s="1177"/>
    </row>
    <row r="18" spans="1:7" x14ac:dyDescent="0.25">
      <c r="A18" s="1177"/>
      <c r="B18" s="1177"/>
      <c r="C18" s="1183"/>
      <c r="D18" s="1177"/>
      <c r="E18" s="1177"/>
      <c r="F18" s="1177"/>
      <c r="G18" s="1177"/>
    </row>
    <row r="19" spans="1:7" ht="15" customHeight="1" x14ac:dyDescent="0.25">
      <c r="A19" s="1179" t="s">
        <v>255</v>
      </c>
      <c r="B19" s="1178" t="s">
        <v>3657</v>
      </c>
      <c r="C19" s="1184">
        <f>SUM(C7:C18)</f>
        <v>0</v>
      </c>
      <c r="D19" s="1923"/>
      <c r="E19" s="1923"/>
      <c r="F19" s="1923"/>
      <c r="G19" s="1923"/>
    </row>
  </sheetData>
  <mergeCells count="5">
    <mergeCell ref="A5:A6"/>
    <mergeCell ref="B5:B6"/>
    <mergeCell ref="C5:C6"/>
    <mergeCell ref="D5:G5"/>
    <mergeCell ref="D19:G19"/>
  </mergeCell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THKP2_KS1"/>
  <dimension ref="A1:J43"/>
  <sheetViews>
    <sheetView topLeftCell="A19" workbookViewId="0">
      <selection activeCell="A7" sqref="A7:IV17"/>
    </sheetView>
  </sheetViews>
  <sheetFormatPr defaultRowHeight="15" outlineLevelCol="1" x14ac:dyDescent="0.25"/>
  <cols>
    <col min="1" max="1" width="5.5703125" style="2" customWidth="1"/>
    <col min="2" max="2" width="10.5703125" style="2" hidden="1" customWidth="1" outlineLevel="1"/>
    <col min="3" max="3" width="43.42578125" style="2" customWidth="1" collapsed="1"/>
    <col min="4" max="4" width="8.7109375" style="2" bestFit="1" customWidth="1"/>
    <col min="5" max="5" width="8.7109375" style="611" customWidth="1"/>
    <col min="6" max="6" width="24.5703125" style="2" bestFit="1" customWidth="1"/>
    <col min="7" max="7" width="10" style="591" bestFit="1" customWidth="1"/>
    <col min="8" max="9" width="9.140625" style="591"/>
    <col min="10" max="10" width="14.28515625" style="591" bestFit="1" customWidth="1"/>
    <col min="11" max="16384" width="9.140625" style="591"/>
  </cols>
  <sheetData>
    <row r="1" spans="1:10" ht="20.25" x14ac:dyDescent="0.25">
      <c r="A1" s="58" t="s">
        <v>1336</v>
      </c>
      <c r="B1" s="40"/>
      <c r="C1" s="40"/>
      <c r="D1" s="40"/>
      <c r="E1" s="489"/>
      <c r="F1" s="40"/>
      <c r="G1" s="660"/>
    </row>
    <row r="2" spans="1:10" s="662" customFormat="1" ht="14.25" x14ac:dyDescent="0.2">
      <c r="A2" s="105" t="str">
        <f>"CÔNG TRÌNH : "&amp;'Bia du toan'!$G$12</f>
        <v>CÔNG TRÌNH : TRƯỜNG CAO ĐẲNG LÝ TỰ TRỌNG</v>
      </c>
      <c r="B2" s="105"/>
      <c r="C2" s="105"/>
      <c r="D2" s="105"/>
      <c r="E2" s="615"/>
      <c r="F2" s="105"/>
      <c r="G2" s="661"/>
    </row>
    <row r="3" spans="1:10" s="662" customFormat="1" ht="14.25" x14ac:dyDescent="0.2">
      <c r="A3" s="105" t="str">
        <f>"HẠNG MỤC : "&amp; 'Bia du toan'!$G$13</f>
        <v>HẠNG MỤC : CẢI TẠO THƯ VIỆN GIAI ĐOẠN 2 - NĂM 2019</v>
      </c>
      <c r="B3" s="105"/>
      <c r="C3" s="105"/>
      <c r="D3" s="105"/>
      <c r="E3" s="615"/>
      <c r="F3" s="105"/>
      <c r="G3" s="661"/>
    </row>
    <row r="4" spans="1:10" x14ac:dyDescent="0.25">
      <c r="A4" s="40"/>
      <c r="B4" s="40"/>
      <c r="C4" s="40"/>
      <c r="D4" s="40"/>
      <c r="E4" s="489"/>
      <c r="F4" s="40"/>
      <c r="G4" s="660"/>
    </row>
    <row r="5" spans="1:10" s="844" customFormat="1" ht="12.75" x14ac:dyDescent="0.2">
      <c r="A5" s="842" t="s">
        <v>15</v>
      </c>
      <c r="B5" s="842" t="s">
        <v>293</v>
      </c>
      <c r="C5" s="842" t="s">
        <v>294</v>
      </c>
      <c r="D5" s="842" t="s">
        <v>272</v>
      </c>
      <c r="E5" s="1527" t="s">
        <v>241</v>
      </c>
      <c r="F5" s="842" t="s">
        <v>270</v>
      </c>
      <c r="G5" s="843" t="s">
        <v>584</v>
      </c>
      <c r="J5" s="841"/>
    </row>
    <row r="6" spans="1:10" s="640" customFormat="1" ht="15.75" x14ac:dyDescent="0.2">
      <c r="A6" s="536"/>
      <c r="B6" s="537"/>
      <c r="C6" s="538" t="s">
        <v>295</v>
      </c>
      <c r="D6" s="536"/>
      <c r="E6" s="1528"/>
      <c r="F6" s="536"/>
      <c r="G6" s="657"/>
      <c r="J6" s="647"/>
    </row>
    <row r="7" spans="1:10" s="640" customFormat="1" ht="15.75" x14ac:dyDescent="0.2">
      <c r="A7" s="44"/>
      <c r="B7" s="45" t="s">
        <v>296</v>
      </c>
      <c r="C7" s="46" t="s">
        <v>86</v>
      </c>
      <c r="D7" s="44" t="s">
        <v>296</v>
      </c>
      <c r="E7" s="1529"/>
      <c r="F7" s="44" t="s">
        <v>1166</v>
      </c>
      <c r="G7" s="643"/>
    </row>
    <row r="8" spans="1:10" s="640" customFormat="1" ht="15.75" x14ac:dyDescent="0.2">
      <c r="A8" s="44"/>
      <c r="B8" s="45" t="s">
        <v>297</v>
      </c>
      <c r="C8" s="46" t="s">
        <v>298</v>
      </c>
      <c r="D8" s="44" t="s">
        <v>297</v>
      </c>
      <c r="E8" s="1529"/>
      <c r="F8" s="44"/>
      <c r="G8" s="643"/>
    </row>
    <row r="9" spans="1:10" s="640" customFormat="1" ht="15.75" x14ac:dyDescent="0.2">
      <c r="A9" s="44"/>
      <c r="B9" s="45" t="s">
        <v>299</v>
      </c>
      <c r="C9" s="46" t="s">
        <v>88</v>
      </c>
      <c r="D9" s="44" t="s">
        <v>299</v>
      </c>
      <c r="E9" s="1529"/>
      <c r="F9" s="44" t="s">
        <v>1167</v>
      </c>
      <c r="G9" s="643"/>
    </row>
    <row r="10" spans="1:10" s="640" customFormat="1" ht="15.75" x14ac:dyDescent="0.2">
      <c r="A10" s="44"/>
      <c r="B10" s="45" t="s">
        <v>3114</v>
      </c>
      <c r="C10" s="46" t="s">
        <v>3115</v>
      </c>
      <c r="D10" s="44" t="s">
        <v>3114</v>
      </c>
      <c r="E10" s="1529"/>
      <c r="F10" s="44"/>
      <c r="G10" s="643"/>
    </row>
    <row r="11" spans="1:10" s="640" customFormat="1" ht="15.75" x14ac:dyDescent="0.2">
      <c r="A11" s="44"/>
      <c r="B11" s="45" t="s">
        <v>300</v>
      </c>
      <c r="C11" s="46" t="s">
        <v>301</v>
      </c>
      <c r="D11" s="44" t="s">
        <v>300</v>
      </c>
      <c r="E11" s="1529"/>
      <c r="F11" s="44" t="s">
        <v>1167</v>
      </c>
      <c r="G11" s="643"/>
    </row>
    <row r="12" spans="1:10" s="640" customFormat="1" ht="15.75" x14ac:dyDescent="0.2">
      <c r="A12" s="44"/>
      <c r="B12" s="45" t="s">
        <v>3116</v>
      </c>
      <c r="C12" s="46" t="s">
        <v>3117</v>
      </c>
      <c r="D12" s="44" t="s">
        <v>3116</v>
      </c>
      <c r="E12" s="1529"/>
      <c r="F12" s="44"/>
      <c r="G12" s="643"/>
    </row>
    <row r="13" spans="1:10" s="644" customFormat="1" ht="15.75" x14ac:dyDescent="0.2">
      <c r="A13" s="92" t="s">
        <v>59</v>
      </c>
      <c r="B13" s="540"/>
      <c r="C13" s="50" t="s">
        <v>302</v>
      </c>
      <c r="D13" s="92"/>
      <c r="E13" s="1530"/>
      <c r="F13" s="92"/>
      <c r="G13" s="658"/>
    </row>
    <row r="14" spans="1:10" s="640" customFormat="1" ht="15.75" x14ac:dyDescent="0.25">
      <c r="A14" s="44">
        <v>1</v>
      </c>
      <c r="B14" s="45" t="s">
        <v>87</v>
      </c>
      <c r="C14" s="46" t="s">
        <v>86</v>
      </c>
      <c r="D14" s="44" t="s">
        <v>87</v>
      </c>
      <c r="E14" s="1531">
        <f xml:space="preserve"> Config!$D$9</f>
        <v>1</v>
      </c>
      <c r="F14" s="44" t="str">
        <f xml:space="preserve"> "A1*"&amp;Config!$D$9</f>
        <v>A1*1</v>
      </c>
      <c r="G14" s="643">
        <f xml:space="preserve"> G7*Config!$D$9</f>
        <v>0</v>
      </c>
    </row>
    <row r="15" spans="1:10" s="640" customFormat="1" ht="15.75" x14ac:dyDescent="0.25">
      <c r="A15" s="44">
        <v>2</v>
      </c>
      <c r="B15" s="45" t="s">
        <v>89</v>
      </c>
      <c r="C15" s="46" t="s">
        <v>88</v>
      </c>
      <c r="D15" s="44" t="s">
        <v>89</v>
      </c>
      <c r="E15" s="1531">
        <f xml:space="preserve"> Config!$D$10</f>
        <v>1</v>
      </c>
      <c r="F15" s="44" t="str">
        <f xml:space="preserve"> "B1*"&amp;Config!$D$10</f>
        <v>B1*1</v>
      </c>
      <c r="G15" s="643">
        <f xml:space="preserve"> G9*Config!$D$10</f>
        <v>0</v>
      </c>
    </row>
    <row r="16" spans="1:10" s="640" customFormat="1" ht="15.75" x14ac:dyDescent="0.25">
      <c r="A16" s="44">
        <v>3</v>
      </c>
      <c r="B16" s="45" t="s">
        <v>303</v>
      </c>
      <c r="C16" s="46" t="s">
        <v>90</v>
      </c>
      <c r="D16" s="44" t="s">
        <v>303</v>
      </c>
      <c r="E16" s="1531">
        <f xml:space="preserve"> Config!$D$11</f>
        <v>1</v>
      </c>
      <c r="F16" s="44" t="str">
        <f xml:space="preserve"> "C1*"&amp;Config!$D$11</f>
        <v>C1*1</v>
      </c>
      <c r="G16" s="643">
        <f xml:space="preserve"> G11*Config!$D$11</f>
        <v>0</v>
      </c>
    </row>
    <row r="17" spans="1:7" s="644" customFormat="1" ht="15.75" x14ac:dyDescent="0.2">
      <c r="A17" s="655"/>
      <c r="B17" s="656" t="s">
        <v>1337</v>
      </c>
      <c r="C17" s="49" t="s">
        <v>1153</v>
      </c>
      <c r="D17" s="655" t="s">
        <v>1337</v>
      </c>
      <c r="E17" s="1542"/>
      <c r="F17" s="655" t="s">
        <v>1156</v>
      </c>
      <c r="G17" s="658">
        <f xml:space="preserve"> G14+G15+G16</f>
        <v>0</v>
      </c>
    </row>
    <row r="18" spans="1:7" s="640" customFormat="1" ht="15.75" x14ac:dyDescent="0.25">
      <c r="A18" s="47" t="s">
        <v>64</v>
      </c>
      <c r="B18" s="539" t="s">
        <v>421</v>
      </c>
      <c r="C18" s="48" t="s">
        <v>75</v>
      </c>
      <c r="D18" s="47" t="s">
        <v>421</v>
      </c>
      <c r="E18" s="1531">
        <f xml:space="preserve"> Config!$D$13</f>
        <v>6.5</v>
      </c>
      <c r="F18" s="47" t="str">
        <f>"NC * "&amp; Config!D13&amp;"%"</f>
        <v>NC * 6.5%</v>
      </c>
      <c r="G18" s="643">
        <f>G15*Config!D13%</f>
        <v>0</v>
      </c>
    </row>
    <row r="19" spans="1:7" s="640" customFormat="1" ht="15.75" x14ac:dyDescent="0.25">
      <c r="A19" s="47" t="s">
        <v>79</v>
      </c>
      <c r="B19" s="539" t="s">
        <v>1338</v>
      </c>
      <c r="C19" s="48" t="s">
        <v>76</v>
      </c>
      <c r="D19" s="47" t="s">
        <v>1338</v>
      </c>
      <c r="E19" s="1531">
        <f xml:space="preserve"> Config!$D$14</f>
        <v>5.5</v>
      </c>
      <c r="F19" s="47" t="str">
        <f>"(Ct+P)*"&amp;Config!D14&amp;"%"</f>
        <v>(Ct+P)*5.5%</v>
      </c>
      <c r="G19" s="643">
        <f xml:space="preserve"> (G17+G18)*Config!D14%</f>
        <v>0</v>
      </c>
    </row>
    <row r="20" spans="1:7" s="644" customFormat="1" ht="15.75" x14ac:dyDescent="0.2">
      <c r="A20" s="92" t="s">
        <v>308</v>
      </c>
      <c r="B20" s="540" t="s">
        <v>99</v>
      </c>
      <c r="C20" s="50" t="s">
        <v>3739</v>
      </c>
      <c r="D20" s="92" t="s">
        <v>99</v>
      </c>
      <c r="E20" s="1530"/>
      <c r="F20" s="92" t="s">
        <v>3738</v>
      </c>
      <c r="G20" s="658">
        <f>G17+G18+G19</f>
        <v>0</v>
      </c>
    </row>
    <row r="21" spans="1:7" s="640" customFormat="1" ht="15.75" x14ac:dyDescent="0.2">
      <c r="A21" s="47"/>
      <c r="B21" s="539" t="s">
        <v>1339</v>
      </c>
      <c r="C21" s="48" t="s">
        <v>1340</v>
      </c>
      <c r="D21" s="47" t="s">
        <v>1339</v>
      </c>
      <c r="E21" s="1534">
        <v>2</v>
      </c>
      <c r="F21" s="47" t="str">
        <f>"G * "&amp;E21&amp;"%"</f>
        <v>G * 2%</v>
      </c>
      <c r="G21" s="643">
        <f>E21%*G20</f>
        <v>0</v>
      </c>
    </row>
    <row r="22" spans="1:7" s="640" customFormat="1" ht="15.75" x14ac:dyDescent="0.2">
      <c r="A22" s="47"/>
      <c r="B22" s="539" t="s">
        <v>1341</v>
      </c>
      <c r="C22" s="48" t="s">
        <v>1342</v>
      </c>
      <c r="D22" s="47" t="s">
        <v>1341</v>
      </c>
      <c r="E22" s="1534">
        <v>3</v>
      </c>
      <c r="F22" s="47" t="str">
        <f>"G * "&amp;E22&amp;"%"</f>
        <v>G * 3%</v>
      </c>
      <c r="G22" s="643">
        <f>E22%*G20</f>
        <v>0</v>
      </c>
    </row>
    <row r="23" spans="1:7" s="640" customFormat="1" ht="15.75" x14ac:dyDescent="0.2">
      <c r="A23" s="47"/>
      <c r="B23" s="539" t="s">
        <v>1343</v>
      </c>
      <c r="C23" s="48" t="s">
        <v>1344</v>
      </c>
      <c r="D23" s="47" t="s">
        <v>1343</v>
      </c>
      <c r="E23" s="1534">
        <v>6</v>
      </c>
      <c r="F23" s="47" t="str">
        <f>"G *"&amp;E23&amp;"%"</f>
        <v>G *6%</v>
      </c>
      <c r="G23" s="643">
        <f>G20*E23%</f>
        <v>0</v>
      </c>
    </row>
    <row r="24" spans="1:7" s="640" customFormat="1" ht="15.75" x14ac:dyDescent="0.2">
      <c r="A24" s="47"/>
      <c r="B24" s="539" t="s">
        <v>3736</v>
      </c>
      <c r="C24" s="48" t="s">
        <v>3737</v>
      </c>
      <c r="D24" s="47" t="s">
        <v>3736</v>
      </c>
      <c r="E24" s="1534"/>
      <c r="F24" s="47"/>
      <c r="G24" s="643"/>
    </row>
    <row r="25" spans="1:7" s="644" customFormat="1" ht="15.75" x14ac:dyDescent="0.2">
      <c r="A25" s="655" t="s">
        <v>1345</v>
      </c>
      <c r="B25" s="656" t="s">
        <v>1346</v>
      </c>
      <c r="C25" s="51" t="s">
        <v>1347</v>
      </c>
      <c r="D25" s="713" t="s">
        <v>1346</v>
      </c>
      <c r="E25" s="1543"/>
      <c r="F25" s="713" t="s">
        <v>3735</v>
      </c>
      <c r="G25" s="659">
        <f>SUM(G20:G24)</f>
        <v>0</v>
      </c>
    </row>
    <row r="26" spans="1:7" s="640" customFormat="1" ht="15.75" x14ac:dyDescent="0.25">
      <c r="A26" s="47" t="s">
        <v>1348</v>
      </c>
      <c r="B26" s="539" t="s">
        <v>101</v>
      </c>
      <c r="C26" s="48" t="s">
        <v>77</v>
      </c>
      <c r="D26" s="47" t="s">
        <v>101</v>
      </c>
      <c r="E26" s="1531">
        <f xml:space="preserve"> Config!$D$15</f>
        <v>10</v>
      </c>
      <c r="F26" s="47" t="str">
        <f xml:space="preserve"> Config!$D$15&amp;"%*G"</f>
        <v>10%*G</v>
      </c>
      <c r="G26" s="643">
        <f xml:space="preserve"> G25*Config!$D$15%</f>
        <v>0</v>
      </c>
    </row>
    <row r="27" spans="1:7" s="644" customFormat="1" ht="15.75" x14ac:dyDescent="0.2">
      <c r="A27" s="92" t="s">
        <v>1349</v>
      </c>
      <c r="B27" s="540" t="s">
        <v>1350</v>
      </c>
      <c r="C27" s="541" t="s">
        <v>1351</v>
      </c>
      <c r="D27" s="92" t="s">
        <v>1350</v>
      </c>
      <c r="E27" s="1530"/>
      <c r="F27" s="92" t="s">
        <v>1169</v>
      </c>
      <c r="G27" s="658">
        <f xml:space="preserve"> G25+G26</f>
        <v>0</v>
      </c>
    </row>
    <row r="28" spans="1:7" s="640" customFormat="1" ht="15.75" x14ac:dyDescent="0.2">
      <c r="A28" s="47" t="s">
        <v>3734</v>
      </c>
      <c r="B28" s="539" t="s">
        <v>1352</v>
      </c>
      <c r="C28" s="48" t="s">
        <v>1079</v>
      </c>
      <c r="D28" s="47" t="s">
        <v>1352</v>
      </c>
      <c r="E28" s="1534">
        <v>10</v>
      </c>
      <c r="F28" s="47" t="str">
        <f>"Gks*"&amp;E28&amp;"%"</f>
        <v>Gks*10%</v>
      </c>
      <c r="G28" s="643">
        <f>G27*E28%</f>
        <v>0</v>
      </c>
    </row>
    <row r="29" spans="1:7" s="644" customFormat="1" ht="15.75" x14ac:dyDescent="0.2">
      <c r="A29" s="52"/>
      <c r="B29" s="542" t="s">
        <v>106</v>
      </c>
      <c r="C29" s="420" t="s">
        <v>105</v>
      </c>
      <c r="D29" s="52"/>
      <c r="E29" s="1536"/>
      <c r="F29" s="52" t="s">
        <v>3733</v>
      </c>
      <c r="G29" s="645">
        <f>G28+G27</f>
        <v>0</v>
      </c>
    </row>
    <row r="30" spans="1:7" s="640" customFormat="1" ht="15.75" x14ac:dyDescent="0.2">
      <c r="A30" s="543"/>
      <c r="B30" s="543" t="s">
        <v>1396</v>
      </c>
      <c r="C30" s="544" t="e">
        <f ca="1">"Bằng chữ: "&amp;[3]!docsoUNI(G29)&amp;" đồng"</f>
        <v>#NAME?</v>
      </c>
      <c r="D30" s="545"/>
      <c r="E30" s="1537"/>
      <c r="F30" s="545"/>
      <c r="G30" s="646"/>
    </row>
    <row r="31" spans="1:7" s="640" customFormat="1" ht="15.75" x14ac:dyDescent="0.25">
      <c r="A31" s="6"/>
      <c r="B31" s="6"/>
      <c r="C31" s="6"/>
      <c r="D31" s="6"/>
      <c r="E31" s="1538"/>
      <c r="F31" s="6"/>
      <c r="G31" s="647"/>
    </row>
    <row r="32" spans="1:7" s="640" customFormat="1" ht="15.75" x14ac:dyDescent="0.25">
      <c r="A32" s="53"/>
      <c r="B32" s="53"/>
      <c r="C32" s="53"/>
      <c r="D32" s="53"/>
      <c r="E32" s="1539"/>
      <c r="F32" s="53"/>
      <c r="G32" s="648"/>
    </row>
    <row r="33" spans="1:7" s="640" customFormat="1" ht="15.75" x14ac:dyDescent="0.25">
      <c r="A33" s="6"/>
      <c r="B33" s="6"/>
      <c r="C33" s="6"/>
      <c r="D33" s="6"/>
      <c r="E33" s="1538"/>
      <c r="F33" s="6"/>
      <c r="G33" s="647"/>
    </row>
    <row r="34" spans="1:7" s="640" customFormat="1" ht="15.75" x14ac:dyDescent="0.25">
      <c r="A34" s="6"/>
      <c r="B34" s="6"/>
      <c r="C34" s="6"/>
      <c r="D34" s="6"/>
      <c r="E34" s="1538"/>
      <c r="F34" s="6"/>
      <c r="G34" s="647"/>
    </row>
    <row r="35" spans="1:7" s="640" customFormat="1" ht="15.75" x14ac:dyDescent="0.25">
      <c r="A35" s="20"/>
      <c r="B35" s="20"/>
      <c r="C35" s="54" t="s">
        <v>311</v>
      </c>
      <c r="D35" s="55"/>
      <c r="E35" s="1540"/>
      <c r="F35" s="55" t="s">
        <v>312</v>
      </c>
      <c r="G35" s="649"/>
    </row>
    <row r="36" spans="1:7" s="640" customFormat="1" ht="15.75" x14ac:dyDescent="0.25">
      <c r="A36" s="6"/>
      <c r="B36" s="6"/>
      <c r="C36" s="6"/>
      <c r="D36" s="6"/>
      <c r="E36" s="1538"/>
      <c r="F36" s="6"/>
      <c r="G36" s="647"/>
    </row>
    <row r="37" spans="1:7" s="640" customFormat="1" ht="15.75" x14ac:dyDescent="0.25">
      <c r="A37" s="6"/>
      <c r="B37" s="6"/>
      <c r="C37" s="6"/>
      <c r="D37" s="6"/>
      <c r="E37" s="1538"/>
      <c r="F37" s="6"/>
      <c r="G37" s="647"/>
    </row>
    <row r="38" spans="1:7" s="640" customFormat="1" ht="15.75" x14ac:dyDescent="0.25">
      <c r="A38" s="6"/>
      <c r="B38" s="6"/>
      <c r="C38" s="6"/>
      <c r="D38" s="6"/>
      <c r="E38" s="1538"/>
      <c r="F38" s="6"/>
      <c r="G38" s="647"/>
    </row>
    <row r="39" spans="1:7" s="640" customFormat="1" ht="15.75" x14ac:dyDescent="0.25">
      <c r="A39" s="6"/>
      <c r="B39" s="6"/>
      <c r="C39" s="6"/>
      <c r="D39" s="6"/>
      <c r="E39" s="1538"/>
      <c r="F39" s="6"/>
      <c r="G39" s="647"/>
    </row>
    <row r="40" spans="1:7" s="640" customFormat="1" ht="15.75" x14ac:dyDescent="0.25">
      <c r="A40" s="6"/>
      <c r="B40" s="6"/>
      <c r="C40" s="6"/>
      <c r="D40" s="6"/>
      <c r="E40" s="1538"/>
      <c r="F40" s="6"/>
      <c r="G40" s="647"/>
    </row>
    <row r="41" spans="1:7" s="640" customFormat="1" ht="15.75" x14ac:dyDescent="0.25">
      <c r="A41" s="6"/>
      <c r="B41" s="6"/>
      <c r="C41" s="6"/>
      <c r="D41" s="6"/>
      <c r="E41" s="1538"/>
      <c r="F41" s="6"/>
      <c r="G41" s="647"/>
    </row>
    <row r="42" spans="1:7" s="640" customFormat="1" ht="15.75" x14ac:dyDescent="0.25">
      <c r="A42" s="6"/>
      <c r="B42" s="6"/>
      <c r="C42" s="56" t="s">
        <v>313</v>
      </c>
      <c r="D42" s="9"/>
      <c r="E42" s="1541"/>
      <c r="F42" s="57" t="s">
        <v>313</v>
      </c>
      <c r="G42" s="650"/>
    </row>
    <row r="43" spans="1:7" s="640" customFormat="1" ht="15.75" x14ac:dyDescent="0.25">
      <c r="A43" s="6"/>
      <c r="B43" s="6"/>
      <c r="C43" s="6"/>
      <c r="D43" s="9"/>
      <c r="E43" s="1541"/>
      <c r="F43" s="9" t="s">
        <v>314</v>
      </c>
      <c r="G43" s="651"/>
    </row>
  </sheetData>
  <dataValidations count="1">
    <dataValidation allowBlank="1" showInputMessage="1" showErrorMessage="1" promptTitle="Lưu ý" prompt="Bạn không được xóa và sửa thông thin trong cột này" sqref="B5:B29"/>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THKP_KS1"/>
  <dimension ref="A1:I55"/>
  <sheetViews>
    <sheetView showZeros="0" topLeftCell="A37" workbookViewId="0">
      <selection activeCell="A7" sqref="A7:IV17"/>
    </sheetView>
  </sheetViews>
  <sheetFormatPr defaultRowHeight="15.75" outlineLevelCol="1" x14ac:dyDescent="0.25"/>
  <cols>
    <col min="1" max="1" width="5.85546875" style="636" customWidth="1"/>
    <col min="2" max="2" width="10.5703125" style="636" customWidth="1" outlineLevel="1"/>
    <col min="3" max="3" width="38.5703125" style="636" customWidth="1"/>
    <col min="4" max="4" width="9.42578125" style="636" bestFit="1" customWidth="1"/>
    <col min="5" max="5" width="24.5703125" style="636" bestFit="1" customWidth="1"/>
    <col min="6" max="6" width="16.42578125" style="778" customWidth="1"/>
    <col min="7" max="8" width="9.140625" style="188"/>
    <col min="9" max="9" width="0.140625" style="188" customWidth="1"/>
    <col min="10" max="16384" width="9.140625" style="188"/>
  </cols>
  <sheetData>
    <row r="1" spans="1:6" s="189" customFormat="1" ht="20.25" x14ac:dyDescent="0.25">
      <c r="A1" s="58" t="s">
        <v>315</v>
      </c>
      <c r="B1" s="40"/>
      <c r="C1" s="40"/>
      <c r="D1" s="40"/>
      <c r="E1" s="40"/>
      <c r="F1" s="603"/>
    </row>
    <row r="2" spans="1:6" s="190" customFormat="1" x14ac:dyDescent="0.25">
      <c r="A2" s="105" t="str">
        <f>"CÔNG TRÌNH : "&amp;'Bia du toan'!$G$12</f>
        <v>CÔNG TRÌNH : TRƯỜNG CAO ĐẲNG LÝ TỰ TRỌNG</v>
      </c>
      <c r="B2" s="105"/>
      <c r="C2" s="105"/>
      <c r="D2" s="105"/>
      <c r="E2" s="105"/>
      <c r="F2" s="352"/>
    </row>
    <row r="3" spans="1:6" s="190" customFormat="1" x14ac:dyDescent="0.25">
      <c r="A3" s="105" t="str">
        <f>"HẠNG MỤC : "&amp; 'Bia du toan'!$G$13</f>
        <v>HẠNG MỤC : CẢI TẠO THƯ VIỆN GIAI ĐOẠN 2 - NĂM 2019</v>
      </c>
      <c r="B3" s="105"/>
      <c r="C3" s="105"/>
      <c r="D3" s="105"/>
      <c r="E3" s="105"/>
      <c r="F3" s="352"/>
    </row>
    <row r="4" spans="1:6" s="189" customFormat="1" x14ac:dyDescent="0.25">
      <c r="A4" s="191" t="s">
        <v>574</v>
      </c>
      <c r="B4" s="40"/>
      <c r="C4" s="40"/>
      <c r="D4" s="40"/>
      <c r="E4" s="842" t="s">
        <v>3749</v>
      </c>
      <c r="F4" s="603"/>
    </row>
    <row r="5" spans="1:6" s="189" customFormat="1" ht="16.5" x14ac:dyDescent="0.3">
      <c r="A5" s="40"/>
      <c r="B5" s="763" t="s">
        <v>576</v>
      </c>
      <c r="C5" s="185" t="s">
        <v>3827</v>
      </c>
      <c r="D5" s="185"/>
      <c r="E5" s="185"/>
      <c r="F5" s="605">
        <f xml:space="preserve"> Config!$D$9</f>
        <v>1</v>
      </c>
    </row>
    <row r="6" spans="1:6" s="189" customFormat="1" ht="16.5" x14ac:dyDescent="0.3">
      <c r="A6" s="40"/>
      <c r="B6" s="763" t="s">
        <v>577</v>
      </c>
      <c r="C6" s="185" t="s">
        <v>3828</v>
      </c>
      <c r="D6" s="185"/>
      <c r="E6" s="185"/>
      <c r="F6" s="605">
        <f xml:space="preserve"> Config!$D$10</f>
        <v>1</v>
      </c>
    </row>
    <row r="7" spans="1:6" s="189" customFormat="1" ht="16.5" x14ac:dyDescent="0.3">
      <c r="A7" s="40"/>
      <c r="B7" s="763" t="s">
        <v>578</v>
      </c>
      <c r="C7" s="185" t="s">
        <v>3829</v>
      </c>
      <c r="D7" s="185"/>
      <c r="E7" s="185"/>
      <c r="F7" s="605">
        <f xml:space="preserve"> Config!$D$11</f>
        <v>1</v>
      </c>
    </row>
    <row r="8" spans="1:6" s="189" customFormat="1" ht="16.5" x14ac:dyDescent="0.3">
      <c r="A8" s="40"/>
      <c r="B8" s="763" t="s">
        <v>579</v>
      </c>
      <c r="C8" s="185" t="s">
        <v>3825</v>
      </c>
      <c r="D8" s="185"/>
      <c r="E8" s="185"/>
      <c r="F8" s="605">
        <f xml:space="preserve"> Config!$D$13</f>
        <v>6.5</v>
      </c>
    </row>
    <row r="9" spans="1:6" s="189" customFormat="1" ht="16.5" x14ac:dyDescent="0.3">
      <c r="A9" s="40"/>
      <c r="B9" s="763" t="s">
        <v>580</v>
      </c>
      <c r="C9" s="185" t="s">
        <v>3826</v>
      </c>
      <c r="D9" s="185"/>
      <c r="E9" s="185"/>
      <c r="F9" s="605">
        <f xml:space="preserve"> Config!$D$14</f>
        <v>5.5</v>
      </c>
    </row>
    <row r="10" spans="1:6" s="1243" customFormat="1" x14ac:dyDescent="0.25">
      <c r="A10" s="1238"/>
      <c r="B10" s="1239"/>
      <c r="C10" s="1240" t="s">
        <v>3745</v>
      </c>
      <c r="D10" s="1241"/>
      <c r="E10" s="1241"/>
      <c r="F10" s="1242"/>
    </row>
    <row r="11" spans="1:6" s="189" customFormat="1" ht="16.5" x14ac:dyDescent="0.3">
      <c r="A11" s="40"/>
      <c r="B11" s="763" t="s">
        <v>3746</v>
      </c>
      <c r="C11" s="185" t="s">
        <v>3810</v>
      </c>
      <c r="D11" s="185"/>
      <c r="E11" s="605">
        <v>2</v>
      </c>
      <c r="F11" s="605">
        <f>E11</f>
        <v>2</v>
      </c>
    </row>
    <row r="12" spans="1:6" s="189" customFormat="1" ht="16.5" x14ac:dyDescent="0.3">
      <c r="A12" s="40"/>
      <c r="B12" s="763" t="s">
        <v>3747</v>
      </c>
      <c r="C12" s="185" t="s">
        <v>3806</v>
      </c>
      <c r="D12" s="185"/>
      <c r="E12" s="605">
        <v>3</v>
      </c>
      <c r="F12" s="605">
        <f>E12</f>
        <v>3</v>
      </c>
    </row>
    <row r="13" spans="1:6" s="189" customFormat="1" ht="16.5" x14ac:dyDescent="0.3">
      <c r="A13" s="40"/>
      <c r="B13" s="763" t="s">
        <v>3750</v>
      </c>
      <c r="C13" s="185" t="s">
        <v>3807</v>
      </c>
      <c r="D13" s="185"/>
      <c r="E13" s="605">
        <v>6</v>
      </c>
      <c r="F13" s="605">
        <f>E13</f>
        <v>6</v>
      </c>
    </row>
    <row r="14" spans="1:6" s="189" customFormat="1" ht="16.5" x14ac:dyDescent="0.3">
      <c r="A14" s="40"/>
      <c r="B14" s="763" t="s">
        <v>3751</v>
      </c>
      <c r="C14" s="185" t="s">
        <v>3808</v>
      </c>
      <c r="D14" s="185"/>
      <c r="E14" s="605"/>
      <c r="F14" s="605">
        <f>E14</f>
        <v>0</v>
      </c>
    </row>
    <row r="15" spans="1:6" s="189" customFormat="1" ht="16.5" x14ac:dyDescent="0.3">
      <c r="A15" s="40"/>
      <c r="B15" s="763" t="s">
        <v>3748</v>
      </c>
      <c r="C15" s="185" t="s">
        <v>3809</v>
      </c>
      <c r="D15" s="185"/>
      <c r="E15" s="605">
        <v>10</v>
      </c>
      <c r="F15" s="605">
        <f>E15</f>
        <v>10</v>
      </c>
    </row>
    <row r="16" spans="1:6" s="189" customFormat="1" x14ac:dyDescent="0.25">
      <c r="A16" s="40"/>
      <c r="B16" s="40"/>
      <c r="C16" s="40"/>
      <c r="D16" s="40"/>
      <c r="E16" s="40"/>
      <c r="F16" s="603"/>
    </row>
    <row r="17" spans="1:9" s="845" customFormat="1" ht="12.75" x14ac:dyDescent="0.2">
      <c r="A17" s="842" t="s">
        <v>15</v>
      </c>
      <c r="B17" s="842" t="s">
        <v>293</v>
      </c>
      <c r="C17" s="842" t="s">
        <v>294</v>
      </c>
      <c r="D17" s="842" t="s">
        <v>272</v>
      </c>
      <c r="E17" s="842" t="s">
        <v>270</v>
      </c>
      <c r="F17" s="843" t="s">
        <v>584</v>
      </c>
      <c r="I17" s="841"/>
    </row>
    <row r="18" spans="1:9" s="640" customFormat="1" x14ac:dyDescent="0.2">
      <c r="A18" s="766"/>
      <c r="B18" s="764"/>
      <c r="C18" s="765" t="s">
        <v>295</v>
      </c>
      <c r="D18" s="766"/>
      <c r="E18" s="766"/>
      <c r="F18" s="767"/>
      <c r="I18" s="647"/>
    </row>
    <row r="19" spans="1:9" s="640" customFormat="1" x14ac:dyDescent="0.2">
      <c r="A19" s="770"/>
      <c r="B19" s="768" t="s">
        <v>296</v>
      </c>
      <c r="C19" s="769" t="s">
        <v>86</v>
      </c>
      <c r="D19" s="770" t="s">
        <v>296</v>
      </c>
      <c r="E19" s="770" t="s">
        <v>1166</v>
      </c>
      <c r="F19" s="771"/>
    </row>
    <row r="20" spans="1:9" s="640" customFormat="1" x14ac:dyDescent="0.2">
      <c r="A20" s="770"/>
      <c r="B20" s="768" t="s">
        <v>297</v>
      </c>
      <c r="C20" s="769" t="s">
        <v>298</v>
      </c>
      <c r="D20" s="770" t="s">
        <v>297</v>
      </c>
      <c r="E20" s="770"/>
      <c r="F20" s="771"/>
    </row>
    <row r="21" spans="1:9" s="640" customFormat="1" x14ac:dyDescent="0.2">
      <c r="A21" s="770"/>
      <c r="B21" s="768" t="s">
        <v>299</v>
      </c>
      <c r="C21" s="769" t="s">
        <v>88</v>
      </c>
      <c r="D21" s="770" t="s">
        <v>299</v>
      </c>
      <c r="E21" s="770" t="s">
        <v>1167</v>
      </c>
      <c r="F21" s="771"/>
    </row>
    <row r="22" spans="1:9" s="640" customFormat="1" x14ac:dyDescent="0.2">
      <c r="A22" s="770"/>
      <c r="B22" s="768" t="s">
        <v>3114</v>
      </c>
      <c r="C22" s="769" t="s">
        <v>3115</v>
      </c>
      <c r="D22" s="770" t="s">
        <v>3114</v>
      </c>
      <c r="E22" s="770"/>
      <c r="F22" s="771"/>
    </row>
    <row r="23" spans="1:9" s="640" customFormat="1" x14ac:dyDescent="0.2">
      <c r="A23" s="770"/>
      <c r="B23" s="768" t="s">
        <v>300</v>
      </c>
      <c r="C23" s="769" t="s">
        <v>301</v>
      </c>
      <c r="D23" s="770" t="s">
        <v>300</v>
      </c>
      <c r="E23" s="770" t="s">
        <v>1167</v>
      </c>
      <c r="F23" s="771"/>
    </row>
    <row r="24" spans="1:9" s="640" customFormat="1" x14ac:dyDescent="0.2">
      <c r="A24" s="770"/>
      <c r="B24" s="768" t="s">
        <v>3116</v>
      </c>
      <c r="C24" s="769" t="s">
        <v>3117</v>
      </c>
      <c r="D24" s="770" t="s">
        <v>3116</v>
      </c>
      <c r="E24" s="770"/>
      <c r="F24" s="771"/>
    </row>
    <row r="25" spans="1:9" s="644" customFormat="1" x14ac:dyDescent="0.2">
      <c r="A25" s="774" t="s">
        <v>59</v>
      </c>
      <c r="B25" s="772"/>
      <c r="C25" s="773" t="s">
        <v>302</v>
      </c>
      <c r="D25" s="774"/>
      <c r="E25" s="774"/>
      <c r="F25" s="775"/>
    </row>
    <row r="26" spans="1:9" s="640" customFormat="1" ht="18.75" x14ac:dyDescent="0.2">
      <c r="A26" s="770">
        <v>1</v>
      </c>
      <c r="B26" s="768" t="s">
        <v>87</v>
      </c>
      <c r="C26" s="769" t="s">
        <v>86</v>
      </c>
      <c r="D26" s="770" t="s">
        <v>87</v>
      </c>
      <c r="E26" s="770" t="s">
        <v>3812</v>
      </c>
      <c r="F26" s="771">
        <f xml:space="preserve"> F19*Config!$D$9</f>
        <v>0</v>
      </c>
    </row>
    <row r="27" spans="1:9" s="640" customFormat="1" ht="18.75" x14ac:dyDescent="0.2">
      <c r="A27" s="770">
        <v>2</v>
      </c>
      <c r="B27" s="768" t="s">
        <v>89</v>
      </c>
      <c r="C27" s="769" t="s">
        <v>88</v>
      </c>
      <c r="D27" s="770" t="s">
        <v>89</v>
      </c>
      <c r="E27" s="770" t="s">
        <v>3813</v>
      </c>
      <c r="F27" s="771">
        <f xml:space="preserve"> F21*Config!$D$10</f>
        <v>0</v>
      </c>
    </row>
    <row r="28" spans="1:9" s="640" customFormat="1" ht="18.75" x14ac:dyDescent="0.2">
      <c r="A28" s="770">
        <v>3</v>
      </c>
      <c r="B28" s="768" t="s">
        <v>303</v>
      </c>
      <c r="C28" s="769" t="s">
        <v>90</v>
      </c>
      <c r="D28" s="770" t="s">
        <v>303</v>
      </c>
      <c r="E28" s="770" t="s">
        <v>3814</v>
      </c>
      <c r="F28" s="771">
        <f xml:space="preserve"> F23*Config!$D$11</f>
        <v>0</v>
      </c>
    </row>
    <row r="29" spans="1:9" s="644" customFormat="1" x14ac:dyDescent="0.2">
      <c r="A29" s="774"/>
      <c r="B29" s="772" t="s">
        <v>1337</v>
      </c>
      <c r="C29" s="773" t="s">
        <v>1153</v>
      </c>
      <c r="D29" s="774" t="s">
        <v>1337</v>
      </c>
      <c r="E29" s="774" t="s">
        <v>1156</v>
      </c>
      <c r="F29" s="775">
        <f xml:space="preserve"> F26+F27+F28</f>
        <v>0</v>
      </c>
    </row>
    <row r="30" spans="1:9" s="640" customFormat="1" ht="18.75" x14ac:dyDescent="0.2">
      <c r="A30" s="770" t="s">
        <v>64</v>
      </c>
      <c r="B30" s="768" t="s">
        <v>421</v>
      </c>
      <c r="C30" s="769" t="s">
        <v>75</v>
      </c>
      <c r="D30" s="770" t="s">
        <v>421</v>
      </c>
      <c r="E30" s="770" t="s">
        <v>3811</v>
      </c>
      <c r="F30" s="771">
        <f>F27*Config!D13%</f>
        <v>0</v>
      </c>
    </row>
    <row r="31" spans="1:9" s="640" customFormat="1" ht="18.75" x14ac:dyDescent="0.2">
      <c r="A31" s="770" t="s">
        <v>79</v>
      </c>
      <c r="B31" s="768" t="s">
        <v>1338</v>
      </c>
      <c r="C31" s="769" t="s">
        <v>76</v>
      </c>
      <c r="D31" s="770" t="s">
        <v>1338</v>
      </c>
      <c r="E31" s="770" t="s">
        <v>3815</v>
      </c>
      <c r="F31" s="771">
        <f xml:space="preserve"> (F29+F30)*Config!D14%</f>
        <v>0</v>
      </c>
    </row>
    <row r="32" spans="1:9" s="644" customFormat="1" x14ac:dyDescent="0.2">
      <c r="A32" s="774" t="s">
        <v>308</v>
      </c>
      <c r="B32" s="772" t="s">
        <v>99</v>
      </c>
      <c r="C32" s="773" t="s">
        <v>3739</v>
      </c>
      <c r="D32" s="774" t="s">
        <v>99</v>
      </c>
      <c r="E32" s="774" t="s">
        <v>3738</v>
      </c>
      <c r="F32" s="775">
        <f>F29+F30+F31</f>
        <v>0</v>
      </c>
    </row>
    <row r="33" spans="1:6" s="640" customFormat="1" ht="18.75" x14ac:dyDescent="0.2">
      <c r="A33" s="770"/>
      <c r="B33" s="768" t="s">
        <v>1339</v>
      </c>
      <c r="C33" s="769" t="s">
        <v>1340</v>
      </c>
      <c r="D33" s="770" t="s">
        <v>1339</v>
      </c>
      <c r="E33" s="770" t="s">
        <v>3816</v>
      </c>
      <c r="F33" s="771">
        <f>IF(F32/10^9&lt;=2,2,1.5)%*F32</f>
        <v>0</v>
      </c>
    </row>
    <row r="34" spans="1:6" s="640" customFormat="1" ht="18.75" x14ac:dyDescent="0.2">
      <c r="A34" s="770"/>
      <c r="B34" s="768" t="s">
        <v>1341</v>
      </c>
      <c r="C34" s="769" t="s">
        <v>1342</v>
      </c>
      <c r="D34" s="770" t="s">
        <v>1341</v>
      </c>
      <c r="E34" s="770" t="s">
        <v>3817</v>
      </c>
      <c r="F34" s="771">
        <f>IF(F32/10^9&lt;=2,3,2.5)%*F32</f>
        <v>0</v>
      </c>
    </row>
    <row r="35" spans="1:6" s="640" customFormat="1" ht="18.75" x14ac:dyDescent="0.2">
      <c r="A35" s="770"/>
      <c r="B35" s="768" t="s">
        <v>1343</v>
      </c>
      <c r="C35" s="769" t="s">
        <v>1344</v>
      </c>
      <c r="D35" s="770" t="s">
        <v>1343</v>
      </c>
      <c r="E35" s="770" t="s">
        <v>3818</v>
      </c>
      <c r="F35" s="771">
        <f>F32*5%</f>
        <v>0</v>
      </c>
    </row>
    <row r="36" spans="1:6" s="640" customFormat="1" ht="18.75" x14ac:dyDescent="0.2">
      <c r="A36" s="770"/>
      <c r="B36" s="768" t="s">
        <v>3736</v>
      </c>
      <c r="C36" s="769" t="s">
        <v>3737</v>
      </c>
      <c r="D36" s="770" t="s">
        <v>3736</v>
      </c>
      <c r="E36" s="770" t="s">
        <v>3819</v>
      </c>
      <c r="F36" s="771"/>
    </row>
    <row r="37" spans="1:6" s="644" customFormat="1" x14ac:dyDescent="0.2">
      <c r="A37" s="774" t="s">
        <v>1345</v>
      </c>
      <c r="B37" s="772" t="s">
        <v>1346</v>
      </c>
      <c r="C37" s="1236" t="s">
        <v>1347</v>
      </c>
      <c r="D37" s="1074" t="s">
        <v>1346</v>
      </c>
      <c r="E37" s="1074" t="s">
        <v>3735</v>
      </c>
      <c r="F37" s="1235">
        <f>SUM(F32:F36)</f>
        <v>0</v>
      </c>
    </row>
    <row r="38" spans="1:6" s="640" customFormat="1" ht="18.75" x14ac:dyDescent="0.2">
      <c r="A38" s="770" t="s">
        <v>1348</v>
      </c>
      <c r="B38" s="768" t="s">
        <v>101</v>
      </c>
      <c r="C38" s="769" t="s">
        <v>77</v>
      </c>
      <c r="D38" s="770" t="s">
        <v>101</v>
      </c>
      <c r="E38" s="770" t="s">
        <v>3820</v>
      </c>
      <c r="F38" s="771">
        <f xml:space="preserve"> F37*Config!$D$15%</f>
        <v>0</v>
      </c>
    </row>
    <row r="39" spans="1:6" s="712" customFormat="1" x14ac:dyDescent="0.2">
      <c r="A39" s="1074" t="s">
        <v>1349</v>
      </c>
      <c r="B39" s="1237" t="s">
        <v>1350</v>
      </c>
      <c r="C39" s="1236" t="s">
        <v>1351</v>
      </c>
      <c r="D39" s="1074" t="s">
        <v>1350</v>
      </c>
      <c r="E39" s="1074" t="s">
        <v>1169</v>
      </c>
      <c r="F39" s="1235">
        <f xml:space="preserve"> F37+F38</f>
        <v>0</v>
      </c>
    </row>
    <row r="40" spans="1:6" s="640" customFormat="1" ht="18.75" x14ac:dyDescent="0.2">
      <c r="A40" s="770" t="s">
        <v>3734</v>
      </c>
      <c r="B40" s="768" t="s">
        <v>1352</v>
      </c>
      <c r="C40" s="769" t="s">
        <v>1079</v>
      </c>
      <c r="D40" s="770" t="s">
        <v>1352</v>
      </c>
      <c r="E40" s="770" t="s">
        <v>3821</v>
      </c>
      <c r="F40" s="771">
        <f>F39*F15%</f>
        <v>0</v>
      </c>
    </row>
    <row r="41" spans="1:6" s="644" customFormat="1" x14ac:dyDescent="0.2">
      <c r="A41" s="1075"/>
      <c r="B41" s="1234" t="s">
        <v>106</v>
      </c>
      <c r="C41" s="1233" t="s">
        <v>105</v>
      </c>
      <c r="D41" s="1075"/>
      <c r="E41" s="1075" t="s">
        <v>3733</v>
      </c>
      <c r="F41" s="1232">
        <f>F40+F39</f>
        <v>0</v>
      </c>
    </row>
    <row r="42" spans="1:6" s="640" customFormat="1" x14ac:dyDescent="0.2">
      <c r="A42" s="776"/>
      <c r="B42" s="776" t="s">
        <v>1396</v>
      </c>
      <c r="C42" s="777" t="e">
        <f ca="1">"Bằng chữ : "&amp;[3]!docsoUNI(F41)&amp;" đồng"</f>
        <v>#NAME?</v>
      </c>
      <c r="D42" s="1231"/>
      <c r="E42" s="1231"/>
      <c r="F42" s="651"/>
    </row>
    <row r="43" spans="1:6" s="640" customFormat="1" x14ac:dyDescent="0.25">
      <c r="A43" s="6"/>
      <c r="B43" s="6"/>
      <c r="C43" s="6"/>
      <c r="D43" s="6"/>
      <c r="E43" s="6"/>
      <c r="F43" s="647"/>
    </row>
    <row r="44" spans="1:6" s="640" customFormat="1" x14ac:dyDescent="0.25">
      <c r="A44" s="53"/>
      <c r="B44" s="53"/>
      <c r="C44" s="53"/>
      <c r="D44" s="53"/>
      <c r="E44" s="53"/>
      <c r="F44" s="648"/>
    </row>
    <row r="45" spans="1:6" s="640" customFormat="1" x14ac:dyDescent="0.25">
      <c r="A45" s="6"/>
      <c r="B45" s="6"/>
      <c r="C45" s="6"/>
      <c r="D45" s="6"/>
      <c r="E45" s="6"/>
      <c r="F45" s="647"/>
    </row>
    <row r="46" spans="1:6" s="640" customFormat="1" x14ac:dyDescent="0.25">
      <c r="A46" s="6"/>
      <c r="B46" s="6"/>
      <c r="C46" s="6"/>
      <c r="D46" s="6"/>
      <c r="E46" s="6"/>
      <c r="F46" s="647"/>
    </row>
    <row r="47" spans="1:6" s="640" customFormat="1" x14ac:dyDescent="0.25">
      <c r="A47" s="20"/>
      <c r="B47" s="20"/>
      <c r="C47" s="601" t="s">
        <v>311</v>
      </c>
      <c r="D47" s="8"/>
      <c r="E47" s="8" t="s">
        <v>312</v>
      </c>
      <c r="F47" s="649"/>
    </row>
    <row r="48" spans="1:6" s="640" customFormat="1" x14ac:dyDescent="0.25">
      <c r="A48" s="6"/>
      <c r="B48" s="6"/>
      <c r="C48" s="6"/>
      <c r="D48" s="6"/>
      <c r="E48" s="6"/>
      <c r="F48" s="647"/>
    </row>
    <row r="49" spans="1:6" s="640" customFormat="1" x14ac:dyDescent="0.25">
      <c r="A49" s="6"/>
      <c r="B49" s="6"/>
      <c r="C49" s="6"/>
      <c r="D49" s="6"/>
      <c r="E49" s="6"/>
      <c r="F49" s="647"/>
    </row>
    <row r="50" spans="1:6" s="640" customFormat="1" x14ac:dyDescent="0.25">
      <c r="A50" s="6"/>
      <c r="B50" s="6"/>
      <c r="C50" s="6"/>
      <c r="D50" s="6"/>
      <c r="E50" s="6"/>
      <c r="F50" s="647"/>
    </row>
    <row r="51" spans="1:6" s="640" customFormat="1" x14ac:dyDescent="0.25">
      <c r="A51" s="6"/>
      <c r="B51" s="6"/>
      <c r="C51" s="6"/>
      <c r="D51" s="6"/>
      <c r="E51" s="6"/>
      <c r="F51" s="647"/>
    </row>
    <row r="52" spans="1:6" s="640" customFormat="1" x14ac:dyDescent="0.25">
      <c r="A52" s="6"/>
      <c r="B52" s="6"/>
      <c r="C52" s="6"/>
      <c r="D52" s="6"/>
      <c r="E52" s="6"/>
      <c r="F52" s="647"/>
    </row>
    <row r="53" spans="1:6" s="640" customFormat="1" x14ac:dyDescent="0.25">
      <c r="A53" s="6"/>
      <c r="B53" s="6"/>
      <c r="C53" s="6"/>
      <c r="D53" s="6"/>
      <c r="E53" s="6"/>
      <c r="F53" s="647"/>
    </row>
    <row r="54" spans="1:6" s="640" customFormat="1" x14ac:dyDescent="0.25">
      <c r="A54" s="6"/>
      <c r="B54" s="6"/>
      <c r="C54" s="56" t="s">
        <v>313</v>
      </c>
      <c r="D54" s="9"/>
      <c r="E54" s="57" t="s">
        <v>313</v>
      </c>
      <c r="F54" s="650"/>
    </row>
    <row r="55" spans="1:6" s="640" customFormat="1" x14ac:dyDescent="0.25">
      <c r="A55" s="6"/>
      <c r="B55" s="6"/>
      <c r="C55" s="6"/>
      <c r="D55" s="9"/>
      <c r="E55" s="9" t="s">
        <v>314</v>
      </c>
      <c r="F55" s="651"/>
    </row>
  </sheetData>
  <dataValidations disablePrompts="1" count="2">
    <dataValidation allowBlank="1" showInputMessage="1" showErrorMessage="1" promptTitle="Lưu ý" prompt="Bạn không được xóa và sửa thông thin trong cột này" sqref="B17:B41"/>
    <dataValidation allowBlank="1" showInputMessage="1" showErrorMessage="1" promptTitle="Lưu ý" prompt="Bạn không được xóa và sửa thông tin trong cột này" sqref="B5:B15"/>
  </dataValidations>
  <pageMargins left="0.55118110236220497" right="0.196850393700787" top="0.43307086614173201" bottom="0.59055118110236204" header="0.15748031496063" footer="0.23622047244094499"/>
  <pageSetup paperSize="9" scale="95" orientation="portrait" r:id="rId1"/>
  <headerFooter alignWithMargins="0">
    <oddHeader>&amp;L&amp;"Times New Roman,Bold Italic"&amp;9Dự toán Bắc Nam  - ÐT: 0966.966.455</oddHeader>
    <oddFooter>&amp;R&amp;9Trang &amp;P/&amp;N</oddFooter>
  </headerFooter>
</worksheet>
</file>

<file path=xl/worksheets/sheet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_ConfigBN"/>
  <dimension ref="A1:BQ566"/>
  <sheetViews>
    <sheetView showZeros="0" topLeftCell="A13" zoomScale="85" zoomScaleNormal="85" workbookViewId="0">
      <selection activeCell="B36" sqref="B36"/>
    </sheetView>
  </sheetViews>
  <sheetFormatPr defaultRowHeight="15.75" x14ac:dyDescent="0.25"/>
  <cols>
    <col min="1" max="1" width="9.140625" style="198"/>
    <col min="2" max="2" width="72" style="198" bestFit="1" customWidth="1"/>
    <col min="3" max="3" width="19.5703125" style="198" bestFit="1" customWidth="1"/>
    <col min="4" max="4" width="17" style="198" bestFit="1" customWidth="1"/>
    <col min="5" max="5" width="53.5703125" style="198" bestFit="1" customWidth="1"/>
    <col min="6" max="6" width="22.85546875" style="198" customWidth="1"/>
    <col min="7" max="7" width="18.42578125" style="1197" bestFit="1" customWidth="1"/>
    <col min="8" max="8" width="20.140625" style="1342" customWidth="1"/>
    <col min="9" max="9" width="21.140625" style="1364" bestFit="1" customWidth="1"/>
    <col min="10" max="10" width="18.140625" style="198" bestFit="1" customWidth="1"/>
    <col min="11" max="11" width="10.42578125" style="198" bestFit="1" customWidth="1"/>
    <col min="12" max="13" width="9.140625" style="198"/>
    <col min="14" max="14" width="29.28515625" style="1400" customWidth="1"/>
    <col min="15" max="15" width="7" style="1400" customWidth="1"/>
    <col min="16" max="16" width="12.42578125" style="1400" customWidth="1"/>
    <col min="17" max="17" width="9.42578125" style="1400" bestFit="1" customWidth="1"/>
    <col min="18" max="18" width="13" style="1400" customWidth="1"/>
    <col min="19" max="19" width="15" style="1400" customWidth="1"/>
    <col min="20" max="20" width="9.140625" style="1400" customWidth="1"/>
    <col min="21" max="21" width="10.5703125" style="1400" bestFit="1" customWidth="1"/>
    <col min="22" max="22" width="12.28515625" style="1400" customWidth="1"/>
    <col min="23" max="23" width="11.85546875" style="1400" customWidth="1"/>
    <col min="24" max="24" width="12.42578125" style="1400" bestFit="1" customWidth="1"/>
    <col min="25" max="27" width="13.85546875" style="1400" bestFit="1" customWidth="1"/>
    <col min="28" max="28" width="29.28515625" style="1401" customWidth="1"/>
    <col min="29" max="29" width="12.85546875" style="1401" bestFit="1" customWidth="1"/>
    <col min="30" max="30" width="12.42578125" style="1401" customWidth="1"/>
    <col min="31" max="31" width="9.140625" style="1401"/>
    <col min="32" max="32" width="13" style="1401" customWidth="1"/>
    <col min="33" max="33" width="15" style="1401" customWidth="1"/>
    <col min="34" max="34" width="9.140625" style="1401" customWidth="1"/>
    <col min="35" max="35" width="9.140625" style="1401"/>
    <col min="36" max="36" width="12.28515625" style="1401" customWidth="1"/>
    <col min="37" max="37" width="11.85546875" style="1401" customWidth="1"/>
    <col min="38" max="38" width="9.140625" style="1401"/>
    <col min="39" max="41" width="9.5703125" style="1401" bestFit="1" customWidth="1"/>
    <col min="42" max="42" width="38.28515625" style="1402" customWidth="1"/>
    <col min="43" max="43" width="15.5703125" style="1402" bestFit="1" customWidth="1"/>
    <col min="44" max="44" width="13.140625" style="1402" customWidth="1"/>
    <col min="45" max="49" width="9.140625" style="1402"/>
    <col min="50" max="50" width="12.28515625" style="1402" customWidth="1"/>
    <col min="51" max="51" width="14.7109375" style="1402" customWidth="1"/>
    <col min="52" max="52" width="9.140625" style="1402"/>
    <col min="53" max="53" width="10" style="1402" bestFit="1" customWidth="1"/>
    <col min="54" max="54" width="11.42578125" style="1402" bestFit="1" customWidth="1"/>
    <col min="55" max="55" width="10" style="1402" bestFit="1" customWidth="1"/>
    <col min="56" max="56" width="34.7109375" style="1403" customWidth="1"/>
    <col min="57" max="57" width="15.5703125" style="1403" bestFit="1" customWidth="1"/>
    <col min="58" max="58" width="17" style="1403" customWidth="1"/>
    <col min="59" max="62" width="9.140625" style="1403"/>
    <col min="63" max="63" width="11.7109375" style="1403" customWidth="1"/>
    <col min="64" max="64" width="13.85546875" style="1403" customWidth="1"/>
    <col min="65" max="67" width="9.140625" style="1403"/>
    <col min="68" max="68" width="9.5703125" style="1404" bestFit="1" customWidth="1"/>
    <col min="69" max="69" width="9.140625" style="1261"/>
    <col min="70" max="16384" width="9.140625" style="198"/>
  </cols>
  <sheetData>
    <row r="1" spans="1:69" ht="23.25" x14ac:dyDescent="0.25">
      <c r="A1" s="195" t="s">
        <v>58</v>
      </c>
      <c r="B1" s="196"/>
      <c r="C1" s="196"/>
      <c r="D1" s="196"/>
      <c r="E1" s="196"/>
      <c r="F1" s="196"/>
      <c r="G1" s="1301"/>
      <c r="H1" s="1320"/>
      <c r="I1" s="1344"/>
      <c r="J1" s="196"/>
      <c r="K1" s="196"/>
      <c r="L1" s="197">
        <v>2015</v>
      </c>
      <c r="M1" s="197"/>
      <c r="N1" s="1265"/>
      <c r="O1" s="1265"/>
      <c r="P1" s="1265"/>
      <c r="Q1" s="1265"/>
      <c r="R1" s="1265"/>
      <c r="S1" s="1265"/>
      <c r="T1" s="1265"/>
      <c r="U1" s="1265"/>
      <c r="V1" s="1265"/>
      <c r="W1" s="1265"/>
      <c r="X1" s="1265"/>
      <c r="Y1" s="1265"/>
      <c r="Z1" s="1265"/>
      <c r="AA1" s="1265"/>
      <c r="AB1" s="1280"/>
      <c r="AC1" s="1280"/>
      <c r="AD1" s="1280"/>
      <c r="AE1" s="1280"/>
      <c r="AF1" s="1280"/>
      <c r="AG1" s="1280"/>
      <c r="AH1" s="1280"/>
      <c r="AI1" s="1280"/>
      <c r="AJ1" s="1280"/>
      <c r="AK1" s="1280"/>
      <c r="AL1" s="1280"/>
      <c r="AM1" s="1280"/>
      <c r="AN1" s="1280"/>
      <c r="AO1" s="1280"/>
      <c r="AP1" s="1290"/>
      <c r="AQ1" s="1290"/>
      <c r="AR1" s="1290"/>
      <c r="AS1" s="1290"/>
      <c r="AT1" s="1290"/>
      <c r="AU1" s="1290"/>
      <c r="AV1" s="1290"/>
      <c r="AW1" s="1290"/>
      <c r="AX1" s="1290"/>
      <c r="AY1" s="1290"/>
      <c r="AZ1" s="1290"/>
      <c r="BA1" s="1290"/>
      <c r="BB1" s="1290"/>
      <c r="BC1" s="1290"/>
      <c r="BD1" s="1246"/>
      <c r="BE1" s="1246"/>
      <c r="BF1" s="1246"/>
      <c r="BG1" s="1246"/>
      <c r="BH1" s="1246"/>
      <c r="BI1" s="1246"/>
      <c r="BJ1" s="1246"/>
      <c r="BK1" s="1246"/>
      <c r="BL1" s="1246"/>
      <c r="BM1" s="1246"/>
      <c r="BN1" s="1246"/>
      <c r="BO1" s="1246"/>
      <c r="BP1" s="1246"/>
      <c r="BQ1" s="1246"/>
    </row>
    <row r="2" spans="1:69" x14ac:dyDescent="0.25">
      <c r="A2" s="199" t="s">
        <v>59</v>
      </c>
      <c r="B2" s="200" t="s">
        <v>60</v>
      </c>
      <c r="C2" s="200"/>
      <c r="D2" s="200"/>
      <c r="E2" s="200"/>
      <c r="F2" s="200"/>
      <c r="G2" s="1267"/>
      <c r="H2" s="1321"/>
      <c r="I2" s="1345"/>
      <c r="J2" s="200"/>
      <c r="K2" s="200"/>
      <c r="L2" s="200"/>
      <c r="M2" s="200"/>
      <c r="N2" s="1266"/>
      <c r="O2" s="1266"/>
      <c r="P2" s="1266"/>
      <c r="Q2" s="1266"/>
      <c r="R2" s="1266"/>
      <c r="S2" s="1266"/>
      <c r="T2" s="1266"/>
      <c r="U2" s="1266"/>
      <c r="V2" s="1266"/>
      <c r="W2" s="1266"/>
      <c r="X2" s="1266"/>
      <c r="Y2" s="1266"/>
      <c r="Z2" s="1266"/>
      <c r="AA2" s="1266"/>
      <c r="AB2" s="1281"/>
      <c r="AC2" s="1281"/>
      <c r="AD2" s="1281"/>
      <c r="AE2" s="1281"/>
      <c r="AF2" s="1281"/>
      <c r="AG2" s="1281"/>
      <c r="AH2" s="1281"/>
      <c r="AI2" s="1281"/>
      <c r="AJ2" s="1281"/>
      <c r="AK2" s="1281"/>
      <c r="AL2" s="1281"/>
      <c r="AM2" s="1281"/>
      <c r="AN2" s="1281"/>
      <c r="AO2" s="1281"/>
      <c r="AP2" s="1291"/>
      <c r="AQ2" s="1291"/>
      <c r="AR2" s="1291"/>
      <c r="AS2" s="1291"/>
      <c r="AT2" s="1291"/>
      <c r="AU2" s="1291"/>
      <c r="AV2" s="1291"/>
      <c r="AW2" s="1291"/>
      <c r="AX2" s="1291"/>
      <c r="AY2" s="1291"/>
      <c r="AZ2" s="1291"/>
      <c r="BA2" s="1291"/>
      <c r="BB2" s="1291"/>
      <c r="BC2" s="1291"/>
      <c r="BD2" s="1247"/>
      <c r="BE2" s="1247"/>
      <c r="BF2" s="1247"/>
      <c r="BG2" s="1247"/>
      <c r="BH2" s="1247"/>
      <c r="BI2" s="1247"/>
      <c r="BJ2" s="1247"/>
      <c r="BK2" s="1247"/>
      <c r="BL2" s="1247"/>
      <c r="BM2" s="1247"/>
      <c r="BN2" s="1247"/>
      <c r="BO2" s="1247"/>
      <c r="BP2" s="1247"/>
      <c r="BQ2" s="1247"/>
    </row>
    <row r="3" spans="1:69" x14ac:dyDescent="0.25">
      <c r="A3" s="201">
        <v>1</v>
      </c>
      <c r="B3" s="38" t="s">
        <v>61</v>
      </c>
      <c r="C3" s="38" t="s">
        <v>3879</v>
      </c>
      <c r="D3" s="38"/>
      <c r="E3" s="38" t="s">
        <v>1365</v>
      </c>
      <c r="F3" s="551" t="s">
        <v>1076</v>
      </c>
      <c r="G3" s="1264"/>
      <c r="H3" s="1322"/>
      <c r="I3" s="1346"/>
      <c r="J3" s="38"/>
      <c r="K3" s="38"/>
      <c r="L3" s="38"/>
      <c r="M3" s="38"/>
      <c r="N3" s="1265"/>
      <c r="O3" s="1265"/>
      <c r="P3" s="1265"/>
      <c r="Q3" s="1265"/>
      <c r="R3" s="1265"/>
      <c r="S3" s="1265"/>
      <c r="T3" s="1265"/>
      <c r="U3" s="1265"/>
      <c r="V3" s="1265"/>
      <c r="W3" s="1265"/>
      <c r="X3" s="1265"/>
      <c r="Y3" s="1265"/>
      <c r="Z3" s="1265"/>
      <c r="AA3" s="1265"/>
      <c r="AB3" s="1280"/>
      <c r="AC3" s="1280"/>
      <c r="AD3" s="1280"/>
      <c r="AE3" s="1280"/>
      <c r="AF3" s="1280"/>
      <c r="AG3" s="1280"/>
      <c r="AH3" s="1280"/>
      <c r="AI3" s="1280"/>
      <c r="AJ3" s="1280"/>
      <c r="AK3" s="1280"/>
      <c r="AL3" s="1280"/>
      <c r="AM3" s="1280"/>
      <c r="AN3" s="1280"/>
      <c r="AO3" s="1280"/>
      <c r="AP3" s="1290"/>
      <c r="AQ3" s="1290"/>
      <c r="AR3" s="1290"/>
      <c r="AS3" s="1290"/>
      <c r="AT3" s="1290"/>
      <c r="AU3" s="1290"/>
      <c r="AV3" s="1290"/>
      <c r="AW3" s="1290"/>
      <c r="AX3" s="1290"/>
      <c r="AY3" s="1290"/>
      <c r="AZ3" s="1290"/>
      <c r="BA3" s="1290"/>
      <c r="BB3" s="1290"/>
      <c r="BC3" s="1290"/>
      <c r="BD3" s="1246"/>
      <c r="BE3" s="1246"/>
      <c r="BF3" s="1246"/>
      <c r="BG3" s="1246"/>
      <c r="BH3" s="1246"/>
      <c r="BI3" s="1246"/>
      <c r="BJ3" s="1246"/>
      <c r="BK3" s="1246"/>
      <c r="BL3" s="1246"/>
      <c r="BM3" s="1246"/>
      <c r="BN3" s="1246"/>
      <c r="BO3" s="1246"/>
      <c r="BP3" s="1246"/>
      <c r="BQ3" s="1246"/>
    </row>
    <row r="4" spans="1:69" ht="47.25" x14ac:dyDescent="0.25">
      <c r="A4" s="201">
        <v>2</v>
      </c>
      <c r="B4" s="38" t="s">
        <v>62</v>
      </c>
      <c r="C4" s="1743" t="s">
        <v>4055</v>
      </c>
      <c r="D4" s="38"/>
      <c r="E4" s="38"/>
      <c r="F4" s="38"/>
      <c r="G4" s="1264"/>
      <c r="H4" s="1322"/>
      <c r="I4" s="1346"/>
      <c r="J4" s="38"/>
      <c r="K4" s="38"/>
      <c r="L4" s="38"/>
      <c r="M4" s="38"/>
      <c r="N4" s="1265"/>
      <c r="O4" s="1265"/>
      <c r="P4" s="1265"/>
      <c r="Q4" s="1265"/>
      <c r="R4" s="1265"/>
      <c r="S4" s="1265"/>
      <c r="T4" s="1265"/>
      <c r="U4" s="1265"/>
      <c r="V4" s="1265"/>
      <c r="W4" s="1265"/>
      <c r="X4" s="1265"/>
      <c r="Y4" s="1265"/>
      <c r="Z4" s="1265"/>
      <c r="AA4" s="1265"/>
      <c r="AB4" s="1280"/>
      <c r="AC4" s="1280"/>
      <c r="AD4" s="1280"/>
      <c r="AE4" s="1280"/>
      <c r="AF4" s="1280"/>
      <c r="AG4" s="1280"/>
      <c r="AH4" s="1280"/>
      <c r="AI4" s="1280"/>
      <c r="AJ4" s="1280"/>
      <c r="AK4" s="1280"/>
      <c r="AL4" s="1280"/>
      <c r="AM4" s="1280"/>
      <c r="AN4" s="1280"/>
      <c r="AO4" s="1280"/>
      <c r="AP4" s="1290"/>
      <c r="AQ4" s="1290"/>
      <c r="AR4" s="1290"/>
      <c r="AS4" s="1290"/>
      <c r="AT4" s="1290"/>
      <c r="AU4" s="1290"/>
      <c r="AV4" s="1290"/>
      <c r="AW4" s="1290"/>
      <c r="AX4" s="1290"/>
      <c r="AY4" s="1290"/>
      <c r="AZ4" s="1290"/>
      <c r="BA4" s="1290"/>
      <c r="BB4" s="1290"/>
      <c r="BC4" s="1290"/>
      <c r="BD4" s="1246"/>
      <c r="BE4" s="1246"/>
      <c r="BF4" s="1246"/>
      <c r="BG4" s="1246"/>
      <c r="BH4" s="1246"/>
      <c r="BI4" s="1246"/>
      <c r="BJ4" s="1246"/>
      <c r="BK4" s="1246"/>
      <c r="BL4" s="1246"/>
      <c r="BM4" s="1246"/>
      <c r="BN4" s="1246"/>
      <c r="BO4" s="1246"/>
      <c r="BP4" s="1246"/>
      <c r="BQ4" s="1246"/>
    </row>
    <row r="5" spans="1:69" x14ac:dyDescent="0.25">
      <c r="A5" s="201">
        <v>3</v>
      </c>
      <c r="B5" s="38" t="s">
        <v>63</v>
      </c>
      <c r="C5" s="38" t="s">
        <v>3880</v>
      </c>
      <c r="D5" s="38"/>
      <c r="E5" s="38"/>
      <c r="F5" s="38"/>
      <c r="G5" s="1264"/>
      <c r="H5" s="1322"/>
      <c r="I5" s="1346"/>
      <c r="J5" s="38"/>
      <c r="K5" s="38"/>
      <c r="L5" s="38"/>
      <c r="M5" s="38"/>
      <c r="N5" s="1265"/>
      <c r="O5" s="1265"/>
      <c r="P5" s="1265"/>
      <c r="Q5" s="1265"/>
      <c r="R5" s="1265"/>
      <c r="S5" s="1265"/>
      <c r="T5" s="1265"/>
      <c r="U5" s="1265"/>
      <c r="V5" s="1265"/>
      <c r="W5" s="1265"/>
      <c r="X5" s="1265"/>
      <c r="Y5" s="1265"/>
      <c r="Z5" s="1265"/>
      <c r="AA5" s="1265"/>
      <c r="AB5" s="1280"/>
      <c r="AC5" s="1280"/>
      <c r="AD5" s="1280"/>
      <c r="AE5" s="1280"/>
      <c r="AF5" s="1280"/>
      <c r="AG5" s="1280"/>
      <c r="AH5" s="1280"/>
      <c r="AI5" s="1280"/>
      <c r="AJ5" s="1280"/>
      <c r="AK5" s="1280"/>
      <c r="AL5" s="1280"/>
      <c r="AM5" s="1280"/>
      <c r="AN5" s="1280"/>
      <c r="AO5" s="1280"/>
      <c r="AP5" s="1290"/>
      <c r="AQ5" s="1290"/>
      <c r="AR5" s="1290"/>
      <c r="AS5" s="1290"/>
      <c r="AT5" s="1290"/>
      <c r="AU5" s="1290"/>
      <c r="AV5" s="1290"/>
      <c r="AW5" s="1290"/>
      <c r="AX5" s="1290"/>
      <c r="AY5" s="1290"/>
      <c r="AZ5" s="1290"/>
      <c r="BA5" s="1290"/>
      <c r="BB5" s="1290"/>
      <c r="BC5" s="1290"/>
      <c r="BD5" s="1246"/>
      <c r="BE5" s="1246"/>
      <c r="BF5" s="1246"/>
      <c r="BG5" s="1246"/>
      <c r="BH5" s="1246"/>
      <c r="BI5" s="1246"/>
      <c r="BJ5" s="1246"/>
      <c r="BK5" s="1246"/>
      <c r="BL5" s="1246"/>
      <c r="BM5" s="1246"/>
      <c r="BN5" s="1246"/>
      <c r="BO5" s="1246"/>
      <c r="BP5" s="1246"/>
      <c r="BQ5" s="1246"/>
    </row>
    <row r="6" spans="1:69" x14ac:dyDescent="0.25">
      <c r="A6" s="199" t="s">
        <v>64</v>
      </c>
      <c r="B6" s="200" t="s">
        <v>65</v>
      </c>
      <c r="C6" s="200"/>
      <c r="D6" s="200"/>
      <c r="E6" s="200"/>
      <c r="F6" s="200"/>
      <c r="G6" s="1267"/>
      <c r="H6" s="1321"/>
      <c r="I6" s="1345"/>
      <c r="J6" s="200"/>
      <c r="K6" s="200"/>
      <c r="L6" s="200"/>
      <c r="M6" s="200"/>
      <c r="N6" s="1266"/>
      <c r="O6" s="1266"/>
      <c r="P6" s="1266"/>
      <c r="Q6" s="1266"/>
      <c r="R6" s="1266"/>
      <c r="S6" s="1266"/>
      <c r="T6" s="1266"/>
      <c r="U6" s="1266"/>
      <c r="V6" s="1266"/>
      <c r="W6" s="1266"/>
      <c r="X6" s="1266"/>
      <c r="Y6" s="1266"/>
      <c r="Z6" s="1266"/>
      <c r="AA6" s="1266"/>
      <c r="AB6" s="1281"/>
      <c r="AC6" s="1281"/>
      <c r="AD6" s="1281"/>
      <c r="AE6" s="1281"/>
      <c r="AF6" s="1281"/>
      <c r="AG6" s="1281"/>
      <c r="AH6" s="1281"/>
      <c r="AI6" s="1281"/>
      <c r="AJ6" s="1281"/>
      <c r="AK6" s="1281"/>
      <c r="AL6" s="1281"/>
      <c r="AM6" s="1281"/>
      <c r="AN6" s="1281"/>
      <c r="AO6" s="1281"/>
      <c r="AP6" s="1291"/>
      <c r="AQ6" s="1291"/>
      <c r="AR6" s="1291"/>
      <c r="AS6" s="1291"/>
      <c r="AT6" s="1291"/>
      <c r="AU6" s="1291"/>
      <c r="AV6" s="1291"/>
      <c r="AW6" s="1291"/>
      <c r="AX6" s="1291"/>
      <c r="AY6" s="1291"/>
      <c r="AZ6" s="1291"/>
      <c r="BA6" s="1291"/>
      <c r="BB6" s="1291"/>
      <c r="BC6" s="1291"/>
      <c r="BD6" s="1247"/>
      <c r="BE6" s="1247"/>
      <c r="BF6" s="1247"/>
      <c r="BG6" s="1247"/>
      <c r="BH6" s="1247"/>
      <c r="BI6" s="1247"/>
      <c r="BJ6" s="1247"/>
      <c r="BK6" s="1247"/>
      <c r="BL6" s="1247"/>
      <c r="BM6" s="1247"/>
      <c r="BN6" s="1247"/>
      <c r="BO6" s="1247"/>
      <c r="BP6" s="1247"/>
      <c r="BQ6" s="1247"/>
    </row>
    <row r="7" spans="1:69" x14ac:dyDescent="0.25">
      <c r="A7" s="1983" t="s">
        <v>66</v>
      </c>
      <c r="B7" s="1985" t="s">
        <v>67</v>
      </c>
      <c r="C7" s="1985" t="s">
        <v>68</v>
      </c>
      <c r="D7" s="1987" t="s">
        <v>69</v>
      </c>
      <c r="E7" s="1988"/>
      <c r="F7" s="1988"/>
      <c r="G7" s="1988"/>
      <c r="H7" s="1988"/>
      <c r="I7" s="1988"/>
      <c r="J7" s="1988"/>
      <c r="K7" s="1988"/>
      <c r="L7" s="1988"/>
      <c r="M7" s="1989"/>
      <c r="N7" s="1265"/>
      <c r="O7" s="1265"/>
      <c r="P7" s="1265"/>
      <c r="Q7" s="1265"/>
      <c r="R7" s="1265"/>
      <c r="S7" s="1265"/>
      <c r="T7" s="1265"/>
      <c r="U7" s="1265"/>
      <c r="V7" s="1265"/>
      <c r="W7" s="1265"/>
      <c r="X7" s="1265"/>
      <c r="Y7" s="1265"/>
      <c r="Z7" s="1265"/>
      <c r="AA7" s="1265"/>
      <c r="AB7" s="1280"/>
      <c r="AC7" s="1280"/>
      <c r="AD7" s="1280"/>
      <c r="AE7" s="1280"/>
      <c r="AF7" s="1280"/>
      <c r="AG7" s="1280"/>
      <c r="AH7" s="1280"/>
      <c r="AI7" s="1280"/>
      <c r="AJ7" s="1280"/>
      <c r="AK7" s="1280"/>
      <c r="AL7" s="1280"/>
      <c r="AM7" s="1280"/>
      <c r="AN7" s="1280"/>
      <c r="AO7" s="1280"/>
      <c r="AP7" s="1290"/>
      <c r="AQ7" s="1290"/>
      <c r="AR7" s="1290"/>
      <c r="AS7" s="1290"/>
      <c r="AT7" s="1290"/>
      <c r="AU7" s="1290"/>
      <c r="AV7" s="1290"/>
      <c r="AW7" s="1290"/>
      <c r="AX7" s="1290"/>
      <c r="AY7" s="1290"/>
      <c r="AZ7" s="1290"/>
      <c r="BA7" s="1290"/>
      <c r="BB7" s="1290"/>
      <c r="BC7" s="1290"/>
      <c r="BD7" s="1246"/>
      <c r="BE7" s="1246"/>
      <c r="BF7" s="1246"/>
      <c r="BG7" s="1246"/>
      <c r="BH7" s="1246"/>
      <c r="BI7" s="1246"/>
      <c r="BJ7" s="1246"/>
      <c r="BK7" s="1246"/>
      <c r="BL7" s="1246"/>
      <c r="BM7" s="1246"/>
      <c r="BN7" s="1246"/>
      <c r="BO7" s="1246"/>
      <c r="BP7" s="1246"/>
      <c r="BQ7" s="1246"/>
    </row>
    <row r="8" spans="1:69" x14ac:dyDescent="0.25">
      <c r="A8" s="1984"/>
      <c r="B8" s="1986"/>
      <c r="C8" s="1986"/>
      <c r="D8" s="203">
        <v>1</v>
      </c>
      <c r="E8" s="203">
        <v>2</v>
      </c>
      <c r="F8" s="203">
        <v>3</v>
      </c>
      <c r="G8" s="187">
        <v>4</v>
      </c>
      <c r="H8" s="1323">
        <v>5</v>
      </c>
      <c r="I8" s="1347">
        <v>6</v>
      </c>
      <c r="J8" s="203">
        <v>7</v>
      </c>
      <c r="K8" s="203">
        <v>8</v>
      </c>
      <c r="L8" s="203">
        <v>9</v>
      </c>
      <c r="M8" s="203">
        <v>10</v>
      </c>
      <c r="N8" s="1265"/>
      <c r="O8" s="1265"/>
      <c r="P8" s="1265"/>
      <c r="Q8" s="1265"/>
      <c r="R8" s="1265"/>
      <c r="S8" s="1265"/>
      <c r="T8" s="1265"/>
      <c r="U8" s="1265"/>
      <c r="V8" s="1265"/>
      <c r="W8" s="1265"/>
      <c r="X8" s="1265"/>
      <c r="Y8" s="1265"/>
      <c r="Z8" s="1265"/>
      <c r="AA8" s="1265"/>
      <c r="AB8" s="1280"/>
      <c r="AC8" s="1280"/>
      <c r="AD8" s="1280"/>
      <c r="AE8" s="1280"/>
      <c r="AF8" s="1280"/>
      <c r="AG8" s="1280"/>
      <c r="AH8" s="1280"/>
      <c r="AI8" s="1280"/>
      <c r="AJ8" s="1280"/>
      <c r="AK8" s="1280"/>
      <c r="AL8" s="1280"/>
      <c r="AM8" s="1280"/>
      <c r="AN8" s="1280"/>
      <c r="AO8" s="1280"/>
      <c r="AP8" s="1290"/>
      <c r="AQ8" s="1290"/>
      <c r="AR8" s="1290"/>
      <c r="AS8" s="1290"/>
      <c r="AT8" s="1290"/>
      <c r="AU8" s="1290"/>
      <c r="AV8" s="1290"/>
      <c r="AW8" s="1290"/>
      <c r="AX8" s="1290"/>
      <c r="AY8" s="1290"/>
      <c r="AZ8" s="1290"/>
      <c r="BA8" s="1290"/>
      <c r="BB8" s="1290"/>
      <c r="BC8" s="1290"/>
      <c r="BD8" s="1246"/>
      <c r="BE8" s="1246"/>
      <c r="BF8" s="1246"/>
      <c r="BG8" s="1246"/>
      <c r="BH8" s="1246"/>
      <c r="BI8" s="1246"/>
      <c r="BJ8" s="1246"/>
      <c r="BK8" s="1246"/>
      <c r="BL8" s="1246"/>
      <c r="BM8" s="1246"/>
      <c r="BN8" s="1246"/>
      <c r="BO8" s="1246"/>
      <c r="BP8" s="1246"/>
      <c r="BQ8" s="1246"/>
    </row>
    <row r="9" spans="1:69" x14ac:dyDescent="0.25">
      <c r="A9" s="204">
        <v>1</v>
      </c>
      <c r="B9" s="205" t="s">
        <v>70</v>
      </c>
      <c r="C9" s="206"/>
      <c r="D9" s="205">
        <f xml:space="preserve"> 1</f>
        <v>1</v>
      </c>
      <c r="E9" s="205">
        <f t="shared" ref="E9:M9" si="0" xml:space="preserve"> $D9</f>
        <v>1</v>
      </c>
      <c r="F9" s="205">
        <f t="shared" si="0"/>
        <v>1</v>
      </c>
      <c r="G9" s="1269">
        <f t="shared" si="0"/>
        <v>1</v>
      </c>
      <c r="H9" s="1324">
        <f t="shared" si="0"/>
        <v>1</v>
      </c>
      <c r="I9" s="1348">
        <f t="shared" si="0"/>
        <v>1</v>
      </c>
      <c r="J9" s="205">
        <f t="shared" si="0"/>
        <v>1</v>
      </c>
      <c r="K9" s="205">
        <f t="shared" si="0"/>
        <v>1</v>
      </c>
      <c r="L9" s="205">
        <f t="shared" si="0"/>
        <v>1</v>
      </c>
      <c r="M9" s="205">
        <f t="shared" si="0"/>
        <v>1</v>
      </c>
      <c r="N9" s="1265"/>
      <c r="O9" s="1265"/>
      <c r="P9" s="1265"/>
      <c r="Q9" s="1265"/>
      <c r="R9" s="1265"/>
      <c r="S9" s="1265"/>
      <c r="T9" s="1265"/>
      <c r="U9" s="1265"/>
      <c r="V9" s="1265"/>
      <c r="W9" s="1265"/>
      <c r="X9" s="1265"/>
      <c r="Y9" s="1265"/>
      <c r="Z9" s="1265"/>
      <c r="AA9" s="1265"/>
      <c r="AB9" s="1280"/>
      <c r="AC9" s="1280"/>
      <c r="AD9" s="1280"/>
      <c r="AE9" s="1280"/>
      <c r="AF9" s="1280"/>
      <c r="AG9" s="1280"/>
      <c r="AH9" s="1280"/>
      <c r="AI9" s="1280"/>
      <c r="AJ9" s="1280"/>
      <c r="AK9" s="1280"/>
      <c r="AL9" s="1280"/>
      <c r="AM9" s="1280"/>
      <c r="AN9" s="1280"/>
      <c r="AO9" s="1280"/>
      <c r="AP9" s="1290"/>
      <c r="AQ9" s="1290"/>
      <c r="AR9" s="1290"/>
      <c r="AS9" s="1290"/>
      <c r="AT9" s="1290"/>
      <c r="AU9" s="1290"/>
      <c r="AV9" s="1290"/>
      <c r="AW9" s="1290"/>
      <c r="AX9" s="1290"/>
      <c r="AY9" s="1290"/>
      <c r="AZ9" s="1290"/>
      <c r="BA9" s="1290"/>
      <c r="BB9" s="1290"/>
      <c r="BC9" s="1290"/>
      <c r="BD9" s="1246"/>
      <c r="BE9" s="1246"/>
      <c r="BF9" s="1246"/>
      <c r="BG9" s="1246"/>
      <c r="BH9" s="1246"/>
      <c r="BI9" s="1246"/>
      <c r="BJ9" s="1246"/>
      <c r="BK9" s="1246"/>
      <c r="BL9" s="1246"/>
      <c r="BM9" s="1246"/>
      <c r="BN9" s="1246"/>
      <c r="BO9" s="1246"/>
      <c r="BP9" s="1246"/>
      <c r="BQ9" s="1246"/>
    </row>
    <row r="10" spans="1:69" x14ac:dyDescent="0.25">
      <c r="A10" s="204">
        <v>2</v>
      </c>
      <c r="B10" s="205" t="s">
        <v>71</v>
      </c>
      <c r="C10" s="206"/>
      <c r="D10" s="205">
        <f xml:space="preserve"> 1</f>
        <v>1</v>
      </c>
      <c r="E10" s="205">
        <f t="shared" ref="E10:M10" si="1" xml:space="preserve"> $D10</f>
        <v>1</v>
      </c>
      <c r="F10" s="205">
        <f t="shared" si="1"/>
        <v>1</v>
      </c>
      <c r="G10" s="1269">
        <f t="shared" si="1"/>
        <v>1</v>
      </c>
      <c r="H10" s="1324">
        <f t="shared" si="1"/>
        <v>1</v>
      </c>
      <c r="I10" s="1348">
        <f t="shared" si="1"/>
        <v>1</v>
      </c>
      <c r="J10" s="205">
        <f t="shared" si="1"/>
        <v>1</v>
      </c>
      <c r="K10" s="205">
        <f t="shared" si="1"/>
        <v>1</v>
      </c>
      <c r="L10" s="205">
        <f t="shared" si="1"/>
        <v>1</v>
      </c>
      <c r="M10" s="205">
        <f t="shared" si="1"/>
        <v>1</v>
      </c>
      <c r="N10" s="1265"/>
      <c r="O10" s="1265"/>
      <c r="P10" s="1265"/>
      <c r="Q10" s="1265"/>
      <c r="R10" s="1265"/>
      <c r="S10" s="1265"/>
      <c r="T10" s="1265"/>
      <c r="U10" s="1265"/>
      <c r="V10" s="1265"/>
      <c r="W10" s="1265"/>
      <c r="X10" s="1265"/>
      <c r="Y10" s="1265"/>
      <c r="Z10" s="1265"/>
      <c r="AA10" s="1265"/>
      <c r="AB10" s="1280"/>
      <c r="AC10" s="1280"/>
      <c r="AD10" s="1280"/>
      <c r="AE10" s="1280"/>
      <c r="AF10" s="1280"/>
      <c r="AG10" s="1280"/>
      <c r="AH10" s="1280"/>
      <c r="AI10" s="1280"/>
      <c r="AJ10" s="1280"/>
      <c r="AK10" s="1280"/>
      <c r="AL10" s="1280"/>
      <c r="AM10" s="1280"/>
      <c r="AN10" s="1280"/>
      <c r="AO10" s="1280"/>
      <c r="AP10" s="1290"/>
      <c r="AQ10" s="1290"/>
      <c r="AR10" s="1290"/>
      <c r="AS10" s="1290"/>
      <c r="AT10" s="1290"/>
      <c r="AU10" s="1290"/>
      <c r="AV10" s="1290"/>
      <c r="AW10" s="1290"/>
      <c r="AX10" s="1290"/>
      <c r="AY10" s="1290"/>
      <c r="AZ10" s="1290"/>
      <c r="BA10" s="1290"/>
      <c r="BB10" s="1290"/>
      <c r="BC10" s="1290"/>
      <c r="BD10" s="1246"/>
      <c r="BE10" s="1246"/>
      <c r="BF10" s="1246"/>
      <c r="BG10" s="1246"/>
      <c r="BH10" s="1246"/>
      <c r="BI10" s="1246"/>
      <c r="BJ10" s="1246"/>
      <c r="BK10" s="1246"/>
      <c r="BL10" s="1246"/>
      <c r="BM10" s="1246"/>
      <c r="BN10" s="1246"/>
      <c r="BO10" s="1246"/>
      <c r="BP10" s="1246"/>
      <c r="BQ10" s="1246"/>
    </row>
    <row r="11" spans="1:69" x14ac:dyDescent="0.25">
      <c r="A11" s="204">
        <v>3</v>
      </c>
      <c r="B11" s="205" t="s">
        <v>72</v>
      </c>
      <c r="C11" s="206"/>
      <c r="D11" s="205">
        <f xml:space="preserve"> 1</f>
        <v>1</v>
      </c>
      <c r="E11" s="205">
        <f t="shared" ref="E11:M11" si="2" xml:space="preserve"> $D11</f>
        <v>1</v>
      </c>
      <c r="F11" s="205">
        <f t="shared" si="2"/>
        <v>1</v>
      </c>
      <c r="G11" s="1269">
        <f t="shared" si="2"/>
        <v>1</v>
      </c>
      <c r="H11" s="1324">
        <f t="shared" si="2"/>
        <v>1</v>
      </c>
      <c r="I11" s="1348">
        <f t="shared" si="2"/>
        <v>1</v>
      </c>
      <c r="J11" s="205">
        <f t="shared" si="2"/>
        <v>1</v>
      </c>
      <c r="K11" s="205">
        <f t="shared" si="2"/>
        <v>1</v>
      </c>
      <c r="L11" s="205">
        <f t="shared" si="2"/>
        <v>1</v>
      </c>
      <c r="M11" s="205">
        <f t="shared" si="2"/>
        <v>1</v>
      </c>
      <c r="N11" s="1265"/>
      <c r="O11" s="1265"/>
      <c r="P11" s="1265"/>
      <c r="Q11" s="1265"/>
      <c r="R11" s="1265"/>
      <c r="S11" s="1265"/>
      <c r="T11" s="1265"/>
      <c r="U11" s="1265"/>
      <c r="V11" s="1265"/>
      <c r="W11" s="1265"/>
      <c r="X11" s="1265"/>
      <c r="Y11" s="1265"/>
      <c r="Z11" s="1265"/>
      <c r="AA11" s="1265"/>
      <c r="AB11" s="1280"/>
      <c r="AC11" s="1280"/>
      <c r="AD11" s="1280"/>
      <c r="AE11" s="1280"/>
      <c r="AF11" s="1280"/>
      <c r="AG11" s="1280"/>
      <c r="AH11" s="1280"/>
      <c r="AI11" s="1280"/>
      <c r="AJ11" s="1280"/>
      <c r="AK11" s="1280"/>
      <c r="AL11" s="1280"/>
      <c r="AM11" s="1280"/>
      <c r="AN11" s="1280"/>
      <c r="AO11" s="1280"/>
      <c r="AP11" s="1290"/>
      <c r="AQ11" s="1290"/>
      <c r="AR11" s="1290"/>
      <c r="AS11" s="1290"/>
      <c r="AT11" s="1290"/>
      <c r="AU11" s="1290"/>
      <c r="AV11" s="1290"/>
      <c r="AW11" s="1290"/>
      <c r="AX11" s="1290"/>
      <c r="AY11" s="1290"/>
      <c r="AZ11" s="1290"/>
      <c r="BA11" s="1290"/>
      <c r="BB11" s="1290"/>
      <c r="BC11" s="1290"/>
      <c r="BD11" s="1246"/>
      <c r="BE11" s="1246"/>
      <c r="BF11" s="1246"/>
      <c r="BG11" s="1246"/>
      <c r="BH11" s="1246"/>
      <c r="BI11" s="1246"/>
      <c r="BJ11" s="1246"/>
      <c r="BK11" s="1246"/>
      <c r="BL11" s="1246"/>
      <c r="BM11" s="1246"/>
      <c r="BN11" s="1246"/>
      <c r="BO11" s="1246"/>
      <c r="BP11" s="1246"/>
      <c r="BQ11" s="1246"/>
    </row>
    <row r="12" spans="1:69" x14ac:dyDescent="0.25">
      <c r="A12" s="204">
        <v>4</v>
      </c>
      <c r="B12" s="205" t="s">
        <v>73</v>
      </c>
      <c r="C12" s="206" t="s">
        <v>74</v>
      </c>
      <c r="D12" s="205">
        <v>2.5</v>
      </c>
      <c r="E12" s="205">
        <v>2.5</v>
      </c>
      <c r="F12" s="205">
        <v>2.5</v>
      </c>
      <c r="G12" s="1269">
        <v>2.5</v>
      </c>
      <c r="H12" s="1324">
        <v>2.5</v>
      </c>
      <c r="I12" s="1348">
        <v>2.5</v>
      </c>
      <c r="J12" s="205">
        <v>2.5</v>
      </c>
      <c r="K12" s="205">
        <v>2.5</v>
      </c>
      <c r="L12" s="205">
        <v>2.5</v>
      </c>
      <c r="M12" s="205">
        <v>2.5</v>
      </c>
      <c r="N12" s="1265"/>
      <c r="O12" s="1265"/>
      <c r="P12" s="1265"/>
      <c r="Q12" s="1265"/>
      <c r="R12" s="1265"/>
      <c r="S12" s="1265"/>
      <c r="T12" s="1265"/>
      <c r="U12" s="1265"/>
      <c r="V12" s="1265"/>
      <c r="W12" s="1265"/>
      <c r="X12" s="1265"/>
      <c r="Y12" s="1265"/>
      <c r="Z12" s="1265"/>
      <c r="AA12" s="1265"/>
      <c r="AB12" s="1280"/>
      <c r="AC12" s="1280"/>
      <c r="AD12" s="1280"/>
      <c r="AE12" s="1280"/>
      <c r="AF12" s="1280"/>
      <c r="AG12" s="1280"/>
      <c r="AH12" s="1280"/>
      <c r="AI12" s="1280"/>
      <c r="AJ12" s="1280"/>
      <c r="AK12" s="1280"/>
      <c r="AL12" s="1280"/>
      <c r="AM12" s="1280"/>
      <c r="AN12" s="1280"/>
      <c r="AO12" s="1280"/>
      <c r="AP12" s="1290"/>
      <c r="AQ12" s="1290"/>
      <c r="AR12" s="1290"/>
      <c r="AS12" s="1290"/>
      <c r="AT12" s="1290"/>
      <c r="AU12" s="1290"/>
      <c r="AV12" s="1290"/>
      <c r="AW12" s="1290"/>
      <c r="AX12" s="1290"/>
      <c r="AY12" s="1290"/>
      <c r="AZ12" s="1290"/>
      <c r="BA12" s="1290"/>
      <c r="BB12" s="1290"/>
      <c r="BC12" s="1290"/>
      <c r="BD12" s="1246"/>
      <c r="BE12" s="1246"/>
      <c r="BF12" s="1246"/>
      <c r="BG12" s="1246"/>
      <c r="BH12" s="1246"/>
      <c r="BI12" s="1246"/>
      <c r="BJ12" s="1246"/>
      <c r="BK12" s="1246"/>
      <c r="BL12" s="1246"/>
      <c r="BM12" s="1246"/>
      <c r="BN12" s="1246"/>
      <c r="BO12" s="1246"/>
      <c r="BP12" s="1246"/>
      <c r="BQ12" s="1246"/>
    </row>
    <row r="13" spans="1:69" x14ac:dyDescent="0.25">
      <c r="A13" s="204">
        <v>5</v>
      </c>
      <c r="B13" s="205" t="s">
        <v>75</v>
      </c>
      <c r="C13" s="206" t="s">
        <v>74</v>
      </c>
      <c r="D13" s="205">
        <f xml:space="preserve"> ROUND(NOISUY($C$170,$E$170,THKP!$F$33/10^9),3)</f>
        <v>6.5</v>
      </c>
      <c r="E13" s="205">
        <f t="shared" ref="E13:M13" si="3" xml:space="preserve"> $D13</f>
        <v>6.5</v>
      </c>
      <c r="F13" s="205">
        <f t="shared" si="3"/>
        <v>6.5</v>
      </c>
      <c r="G13" s="1269">
        <f t="shared" si="3"/>
        <v>6.5</v>
      </c>
      <c r="H13" s="1324">
        <f t="shared" si="3"/>
        <v>6.5</v>
      </c>
      <c r="I13" s="1348">
        <f t="shared" si="3"/>
        <v>6.5</v>
      </c>
      <c r="J13" s="205">
        <f t="shared" si="3"/>
        <v>6.5</v>
      </c>
      <c r="K13" s="205">
        <f t="shared" si="3"/>
        <v>6.5</v>
      </c>
      <c r="L13" s="205">
        <f t="shared" si="3"/>
        <v>6.5</v>
      </c>
      <c r="M13" s="205">
        <f t="shared" si="3"/>
        <v>6.5</v>
      </c>
      <c r="N13" s="1265"/>
      <c r="O13" s="1265"/>
      <c r="P13" s="1265"/>
      <c r="Q13" s="1265"/>
      <c r="R13" s="1265"/>
      <c r="S13" s="1265"/>
      <c r="T13" s="1265"/>
      <c r="U13" s="1265"/>
      <c r="V13" s="1265"/>
      <c r="W13" s="1265"/>
      <c r="X13" s="1265"/>
      <c r="Y13" s="1265"/>
      <c r="Z13" s="1265"/>
      <c r="AA13" s="1265"/>
      <c r="AB13" s="1280"/>
      <c r="AC13" s="1280"/>
      <c r="AD13" s="1280"/>
      <c r="AE13" s="1280"/>
      <c r="AF13" s="1280"/>
      <c r="AG13" s="1280"/>
      <c r="AH13" s="1280"/>
      <c r="AI13" s="1280"/>
      <c r="AJ13" s="1280"/>
      <c r="AK13" s="1280"/>
      <c r="AL13" s="1280"/>
      <c r="AM13" s="1280"/>
      <c r="AN13" s="1280"/>
      <c r="AO13" s="1280"/>
      <c r="AP13" s="1290"/>
      <c r="AQ13" s="1290"/>
      <c r="AR13" s="1290"/>
      <c r="AS13" s="1290"/>
      <c r="AT13" s="1290"/>
      <c r="AU13" s="1290"/>
      <c r="AV13" s="1290"/>
      <c r="AW13" s="1290"/>
      <c r="AX13" s="1290"/>
      <c r="AY13" s="1290"/>
      <c r="AZ13" s="1290"/>
      <c r="BA13" s="1290"/>
      <c r="BB13" s="1290"/>
      <c r="BC13" s="1290"/>
      <c r="BD13" s="1246"/>
      <c r="BE13" s="1246"/>
      <c r="BF13" s="1246"/>
      <c r="BG13" s="1246"/>
      <c r="BH13" s="1246"/>
      <c r="BI13" s="1246"/>
      <c r="BJ13" s="1246"/>
      <c r="BK13" s="1246"/>
      <c r="BL13" s="1246"/>
      <c r="BM13" s="1246"/>
      <c r="BN13" s="1246"/>
      <c r="BO13" s="1246"/>
      <c r="BP13" s="1246"/>
      <c r="BQ13" s="1246"/>
    </row>
    <row r="14" spans="1:69" x14ac:dyDescent="0.25">
      <c r="A14" s="204">
        <v>6</v>
      </c>
      <c r="B14" s="205" t="s">
        <v>76</v>
      </c>
      <c r="C14" s="206" t="s">
        <v>74</v>
      </c>
      <c r="D14" s="205">
        <f xml:space="preserve"> 5.5</f>
        <v>5.5</v>
      </c>
      <c r="E14" s="205">
        <f t="shared" ref="E14:M14" si="4" xml:space="preserve"> $D14</f>
        <v>5.5</v>
      </c>
      <c r="F14" s="205">
        <f t="shared" si="4"/>
        <v>5.5</v>
      </c>
      <c r="G14" s="1269">
        <f t="shared" si="4"/>
        <v>5.5</v>
      </c>
      <c r="H14" s="1324">
        <f t="shared" si="4"/>
        <v>5.5</v>
      </c>
      <c r="I14" s="1348">
        <f t="shared" si="4"/>
        <v>5.5</v>
      </c>
      <c r="J14" s="205">
        <f t="shared" si="4"/>
        <v>5.5</v>
      </c>
      <c r="K14" s="205">
        <f t="shared" si="4"/>
        <v>5.5</v>
      </c>
      <c r="L14" s="205">
        <f t="shared" si="4"/>
        <v>5.5</v>
      </c>
      <c r="M14" s="205">
        <f t="shared" si="4"/>
        <v>5.5</v>
      </c>
      <c r="N14" s="1265"/>
      <c r="O14" s="1265"/>
      <c r="P14" s="1265"/>
      <c r="Q14" s="1265"/>
      <c r="R14" s="1265"/>
      <c r="S14" s="1265"/>
      <c r="T14" s="1265"/>
      <c r="U14" s="1265"/>
      <c r="V14" s="1265"/>
      <c r="W14" s="1265"/>
      <c r="X14" s="1265"/>
      <c r="Y14" s="1265"/>
      <c r="Z14" s="1265"/>
      <c r="AA14" s="1265"/>
      <c r="AB14" s="1280"/>
      <c r="AC14" s="1280"/>
      <c r="AD14" s="1280"/>
      <c r="AE14" s="1280"/>
      <c r="AF14" s="1280"/>
      <c r="AG14" s="1280"/>
      <c r="AH14" s="1280"/>
      <c r="AI14" s="1280"/>
      <c r="AJ14" s="1280"/>
      <c r="AK14" s="1280"/>
      <c r="AL14" s="1280"/>
      <c r="AM14" s="1280"/>
      <c r="AN14" s="1280"/>
      <c r="AO14" s="1280"/>
      <c r="AP14" s="1290"/>
      <c r="AQ14" s="1290"/>
      <c r="AR14" s="1290"/>
      <c r="AS14" s="1290"/>
      <c r="AT14" s="1290"/>
      <c r="AU14" s="1290"/>
      <c r="AV14" s="1290"/>
      <c r="AW14" s="1290"/>
      <c r="AX14" s="1290"/>
      <c r="AY14" s="1290"/>
      <c r="AZ14" s="1290"/>
      <c r="BA14" s="1290"/>
      <c r="BB14" s="1290"/>
      <c r="BC14" s="1290"/>
      <c r="BD14" s="1246"/>
      <c r="BE14" s="1246"/>
      <c r="BF14" s="1246"/>
      <c r="BG14" s="1246"/>
      <c r="BH14" s="1246"/>
      <c r="BI14" s="1246"/>
      <c r="BJ14" s="1246"/>
      <c r="BK14" s="1246"/>
      <c r="BL14" s="1246"/>
      <c r="BM14" s="1246"/>
      <c r="BN14" s="1246"/>
      <c r="BO14" s="1246"/>
      <c r="BP14" s="1246"/>
      <c r="BQ14" s="1246"/>
    </row>
    <row r="15" spans="1:69" x14ac:dyDescent="0.25">
      <c r="A15" s="204">
        <v>7</v>
      </c>
      <c r="B15" s="205" t="s">
        <v>77</v>
      </c>
      <c r="C15" s="206" t="s">
        <v>74</v>
      </c>
      <c r="D15" s="205">
        <f xml:space="preserve"> 10</f>
        <v>10</v>
      </c>
      <c r="E15" s="205">
        <f t="shared" ref="E15:M15" si="5" xml:space="preserve"> $D15</f>
        <v>10</v>
      </c>
      <c r="F15" s="205">
        <f t="shared" si="5"/>
        <v>10</v>
      </c>
      <c r="G15" s="1269">
        <f t="shared" si="5"/>
        <v>10</v>
      </c>
      <c r="H15" s="1324">
        <f t="shared" si="5"/>
        <v>10</v>
      </c>
      <c r="I15" s="1348">
        <f t="shared" si="5"/>
        <v>10</v>
      </c>
      <c r="J15" s="205">
        <f t="shared" si="5"/>
        <v>10</v>
      </c>
      <c r="K15" s="205">
        <f t="shared" si="5"/>
        <v>10</v>
      </c>
      <c r="L15" s="205">
        <f t="shared" si="5"/>
        <v>10</v>
      </c>
      <c r="M15" s="205">
        <f t="shared" si="5"/>
        <v>10</v>
      </c>
      <c r="N15" s="1265"/>
      <c r="O15" s="1265"/>
      <c r="P15" s="1265"/>
      <c r="Q15" s="1265"/>
      <c r="R15" s="1265"/>
      <c r="S15" s="1265"/>
      <c r="T15" s="1265"/>
      <c r="U15" s="1265"/>
      <c r="V15" s="1265"/>
      <c r="W15" s="1265"/>
      <c r="X15" s="1265"/>
      <c r="Y15" s="1265"/>
      <c r="Z15" s="1265"/>
      <c r="AA15" s="1265"/>
      <c r="AB15" s="1281"/>
      <c r="AC15" s="1281"/>
      <c r="AD15" s="1281"/>
      <c r="AE15" s="1281"/>
      <c r="AF15" s="1281"/>
      <c r="AG15" s="1281"/>
      <c r="AH15" s="1281"/>
      <c r="AI15" s="1281"/>
      <c r="AJ15" s="1281"/>
      <c r="AK15" s="1281"/>
      <c r="AL15" s="1281"/>
      <c r="AM15" s="1281"/>
      <c r="AN15" s="1281"/>
      <c r="AO15" s="1280"/>
      <c r="AP15" s="1290"/>
      <c r="AQ15" s="1290"/>
      <c r="AR15" s="1290"/>
      <c r="AS15" s="1290"/>
      <c r="AT15" s="1290"/>
      <c r="AU15" s="1290"/>
      <c r="AV15" s="1290"/>
      <c r="AW15" s="1290"/>
      <c r="AX15" s="1290"/>
      <c r="AY15" s="1290"/>
      <c r="AZ15" s="1290"/>
      <c r="BA15" s="1290"/>
      <c r="BB15" s="1290"/>
      <c r="BC15" s="1290"/>
      <c r="BD15" s="1246"/>
      <c r="BE15" s="1246"/>
      <c r="BF15" s="1246"/>
      <c r="BG15" s="1246"/>
      <c r="BH15" s="1246"/>
      <c r="BI15" s="1246"/>
      <c r="BJ15" s="1246"/>
      <c r="BK15" s="1246"/>
      <c r="BL15" s="1246"/>
      <c r="BM15" s="1246"/>
      <c r="BN15" s="1246"/>
      <c r="BO15" s="1246"/>
      <c r="BP15" s="1246"/>
      <c r="BQ15" s="1246"/>
    </row>
    <row r="16" spans="1:69" x14ac:dyDescent="0.25">
      <c r="A16" s="204">
        <v>8</v>
      </c>
      <c r="B16" s="205" t="s">
        <v>78</v>
      </c>
      <c r="C16" s="206" t="s">
        <v>74</v>
      </c>
      <c r="D16" s="205">
        <f xml:space="preserve"> 1</f>
        <v>1</v>
      </c>
      <c r="E16" s="205">
        <f t="shared" ref="E16:M16" si="6" xml:space="preserve"> $D16</f>
        <v>1</v>
      </c>
      <c r="F16" s="205">
        <f t="shared" si="6"/>
        <v>1</v>
      </c>
      <c r="G16" s="1269">
        <f t="shared" si="6"/>
        <v>1</v>
      </c>
      <c r="H16" s="1324">
        <f t="shared" si="6"/>
        <v>1</v>
      </c>
      <c r="I16" s="1348">
        <f t="shared" si="6"/>
        <v>1</v>
      </c>
      <c r="J16" s="205">
        <f t="shared" si="6"/>
        <v>1</v>
      </c>
      <c r="K16" s="205">
        <f t="shared" si="6"/>
        <v>1</v>
      </c>
      <c r="L16" s="205">
        <f t="shared" si="6"/>
        <v>1</v>
      </c>
      <c r="M16" s="205">
        <f t="shared" si="6"/>
        <v>1</v>
      </c>
      <c r="N16" s="1265"/>
      <c r="O16" s="1265"/>
      <c r="P16" s="1265"/>
      <c r="Q16" s="1265"/>
      <c r="R16" s="1265"/>
      <c r="S16" s="1265"/>
      <c r="T16" s="1265"/>
      <c r="U16" s="1265"/>
      <c r="V16" s="1265"/>
      <c r="W16" s="1265"/>
      <c r="X16" s="1265"/>
      <c r="Y16" s="1265"/>
      <c r="Z16" s="1265"/>
      <c r="AA16" s="1265"/>
      <c r="AB16" s="1280"/>
      <c r="AC16" s="1280"/>
      <c r="AD16" s="1280"/>
      <c r="AE16" s="1280"/>
      <c r="AF16" s="1280"/>
      <c r="AG16" s="1280"/>
      <c r="AH16" s="1280"/>
      <c r="AI16" s="1280"/>
      <c r="AJ16" s="1280"/>
      <c r="AK16" s="1280"/>
      <c r="AL16" s="1280"/>
      <c r="AM16" s="1280"/>
      <c r="AN16" s="1280"/>
      <c r="AO16" s="1280"/>
      <c r="AP16" s="1290"/>
      <c r="AQ16" s="1290"/>
      <c r="AR16" s="1290"/>
      <c r="AS16" s="1290"/>
      <c r="AT16" s="1290"/>
      <c r="AU16" s="1290"/>
      <c r="AV16" s="1290"/>
      <c r="AW16" s="1290"/>
      <c r="AX16" s="1290"/>
      <c r="AY16" s="1290"/>
      <c r="AZ16" s="1290"/>
      <c r="BA16" s="1290"/>
      <c r="BB16" s="1290"/>
      <c r="BC16" s="1290"/>
      <c r="BD16" s="1246"/>
      <c r="BE16" s="1246"/>
      <c r="BF16" s="1246"/>
      <c r="BG16" s="1246"/>
      <c r="BH16" s="1246"/>
      <c r="BI16" s="1246"/>
      <c r="BJ16" s="1246"/>
      <c r="BK16" s="1246"/>
      <c r="BL16" s="1246"/>
      <c r="BM16" s="1246"/>
      <c r="BN16" s="1246"/>
      <c r="BO16" s="1246"/>
      <c r="BP16" s="1246"/>
      <c r="BQ16" s="1246"/>
    </row>
    <row r="17" spans="1:69" x14ac:dyDescent="0.25">
      <c r="A17" s="199" t="s">
        <v>79</v>
      </c>
      <c r="B17" s="200" t="s">
        <v>80</v>
      </c>
      <c r="C17" s="200"/>
      <c r="D17" s="207"/>
      <c r="E17" s="207"/>
      <c r="F17" s="207"/>
      <c r="G17" s="1302"/>
      <c r="H17" s="1325"/>
      <c r="I17" s="1349"/>
      <c r="J17" s="207"/>
      <c r="K17" s="207"/>
      <c r="L17" s="207"/>
      <c r="M17" s="207"/>
      <c r="N17" s="1372" t="s">
        <v>565</v>
      </c>
      <c r="O17" s="1268"/>
      <c r="P17" s="1265"/>
      <c r="Q17" s="1265"/>
      <c r="R17" s="1265"/>
      <c r="S17" s="1265"/>
      <c r="T17" s="1265"/>
      <c r="U17" s="1265"/>
      <c r="V17" s="1265"/>
      <c r="W17" s="1265"/>
      <c r="X17" s="1265"/>
      <c r="Y17" s="1265"/>
      <c r="Z17" s="1265"/>
      <c r="AA17" s="1265"/>
      <c r="AB17" s="1280"/>
      <c r="AC17" s="1280"/>
      <c r="AD17" s="1280"/>
      <c r="AE17" s="1280"/>
      <c r="AF17" s="1280"/>
      <c r="AG17" s="1280"/>
      <c r="AH17" s="1280"/>
      <c r="AI17" s="1280"/>
      <c r="AJ17" s="1280"/>
      <c r="AK17" s="1280"/>
      <c r="AL17" s="1280"/>
      <c r="AM17" s="1280"/>
      <c r="AN17" s="1280"/>
      <c r="AO17" s="1280"/>
      <c r="AP17" s="1290"/>
      <c r="AQ17" s="1290"/>
      <c r="AR17" s="1290"/>
      <c r="AS17" s="1290"/>
      <c r="AT17" s="1290"/>
      <c r="AU17" s="1290"/>
      <c r="AV17" s="1290"/>
      <c r="AW17" s="1290"/>
      <c r="AX17" s="1290"/>
      <c r="AY17" s="1290"/>
      <c r="AZ17" s="1290"/>
      <c r="BA17" s="1290"/>
      <c r="BB17" s="1290"/>
      <c r="BC17" s="1290"/>
      <c r="BD17" s="1246"/>
      <c r="BE17" s="1246"/>
      <c r="BF17" s="1246"/>
      <c r="BG17" s="1246"/>
      <c r="BH17" s="1246"/>
      <c r="BI17" s="1246"/>
      <c r="BJ17" s="1246"/>
      <c r="BK17" s="1246"/>
      <c r="BL17" s="1246"/>
      <c r="BM17" s="1246"/>
      <c r="BN17" s="1246"/>
      <c r="BO17" s="1246"/>
      <c r="BP17" s="1246"/>
      <c r="BQ17" s="1246"/>
    </row>
    <row r="18" spans="1:69" x14ac:dyDescent="0.25">
      <c r="A18" s="209" t="s">
        <v>81</v>
      </c>
      <c r="B18" s="208" t="s">
        <v>82</v>
      </c>
      <c r="C18" s="208" t="s">
        <v>83</v>
      </c>
      <c r="D18" s="210"/>
      <c r="E18" s="210"/>
      <c r="F18" s="210" t="s">
        <v>594</v>
      </c>
      <c r="G18" s="1303"/>
      <c r="H18" s="1326"/>
      <c r="I18" s="1350"/>
      <c r="J18" s="210"/>
      <c r="K18" s="210"/>
      <c r="L18" s="210"/>
      <c r="M18" s="210"/>
      <c r="N18" s="1268" t="s">
        <v>566</v>
      </c>
      <c r="O18" s="1276" t="s">
        <v>24</v>
      </c>
      <c r="P18" s="1265"/>
      <c r="Q18" s="1265"/>
      <c r="R18" s="1265"/>
      <c r="S18" s="1265"/>
      <c r="T18" s="1265"/>
      <c r="U18" s="1265"/>
      <c r="V18" s="1265"/>
      <c r="W18" s="1265"/>
      <c r="X18" s="1265"/>
      <c r="Y18" s="1265"/>
      <c r="Z18" s="1265"/>
      <c r="AA18" s="1265"/>
      <c r="AB18" s="1280"/>
      <c r="AC18" s="1280"/>
      <c r="AD18" s="1280"/>
      <c r="AE18" s="1280"/>
      <c r="AF18" s="1280"/>
      <c r="AG18" s="1280"/>
      <c r="AH18" s="1280"/>
      <c r="AI18" s="1280"/>
      <c r="AJ18" s="1280"/>
      <c r="AK18" s="1280"/>
      <c r="AL18" s="1280"/>
      <c r="AM18" s="1280"/>
      <c r="AN18" s="1280"/>
      <c r="AO18" s="1280"/>
      <c r="AP18" s="1290"/>
      <c r="AQ18" s="1290"/>
      <c r="AR18" s="1290"/>
      <c r="AS18" s="1290"/>
      <c r="AT18" s="1290"/>
      <c r="AU18" s="1290"/>
      <c r="AV18" s="1290"/>
      <c r="AW18" s="1290"/>
      <c r="AX18" s="1290"/>
      <c r="AY18" s="1290"/>
      <c r="AZ18" s="1290"/>
      <c r="BA18" s="1290"/>
      <c r="BB18" s="1290"/>
      <c r="BC18" s="1290"/>
      <c r="BD18" s="1246"/>
      <c r="BE18" s="1246"/>
      <c r="BF18" s="1246"/>
      <c r="BG18" s="1246"/>
      <c r="BH18" s="1246"/>
      <c r="BI18" s="1246"/>
      <c r="BJ18" s="1246"/>
      <c r="BK18" s="1246"/>
      <c r="BL18" s="1246"/>
      <c r="BM18" s="1246"/>
      <c r="BN18" s="1246"/>
      <c r="BO18" s="1246"/>
      <c r="BP18" s="1246"/>
      <c r="BQ18" s="1246"/>
    </row>
    <row r="19" spans="1:69" x14ac:dyDescent="0.25">
      <c r="A19" s="209" t="s">
        <v>84</v>
      </c>
      <c r="B19" s="208" t="s">
        <v>85</v>
      </c>
      <c r="C19" s="208"/>
      <c r="D19" s="210"/>
      <c r="E19" s="210"/>
      <c r="F19" s="210"/>
      <c r="G19" s="1303"/>
      <c r="H19" s="1326"/>
      <c r="I19" s="1350"/>
      <c r="J19" s="210"/>
      <c r="K19" s="210"/>
      <c r="L19" s="210"/>
      <c r="M19" s="210"/>
      <c r="N19" s="1268" t="s">
        <v>581</v>
      </c>
      <c r="O19" s="187">
        <v>2014</v>
      </c>
      <c r="P19" s="1265"/>
      <c r="Q19" s="1265"/>
      <c r="R19" s="1265"/>
      <c r="S19" s="1265"/>
      <c r="T19" s="1265"/>
      <c r="U19" s="1265"/>
      <c r="V19" s="1265"/>
      <c r="W19" s="1265"/>
      <c r="X19" s="1265"/>
      <c r="Y19" s="1265"/>
      <c r="Z19" s="1265"/>
      <c r="AA19" s="1265"/>
      <c r="AB19" s="1281"/>
      <c r="AC19" s="1281"/>
      <c r="AD19" s="1281"/>
      <c r="AE19" s="1281"/>
      <c r="AF19" s="1281"/>
      <c r="AG19" s="1281"/>
      <c r="AH19" s="1281"/>
      <c r="AI19" s="1281"/>
      <c r="AJ19" s="1281"/>
      <c r="AK19" s="1281"/>
      <c r="AL19" s="1281"/>
      <c r="AM19" s="1281"/>
      <c r="AN19" s="1281"/>
      <c r="AO19" s="1280"/>
      <c r="AP19" s="1290"/>
      <c r="AQ19" s="1290"/>
      <c r="AR19" s="1290"/>
      <c r="AS19" s="1290"/>
      <c r="AT19" s="1290"/>
      <c r="AU19" s="1290"/>
      <c r="AV19" s="1290"/>
      <c r="AW19" s="1290"/>
      <c r="AX19" s="1290"/>
      <c r="AY19" s="1290"/>
      <c r="AZ19" s="1290"/>
      <c r="BA19" s="1290"/>
      <c r="BB19" s="1290"/>
      <c r="BC19" s="1290"/>
      <c r="BD19" s="1246"/>
      <c r="BE19" s="1246"/>
      <c r="BF19" s="1246"/>
      <c r="BG19" s="1246"/>
      <c r="BH19" s="1246"/>
      <c r="BI19" s="1246"/>
      <c r="BJ19" s="1246"/>
      <c r="BK19" s="1246"/>
      <c r="BL19" s="1246"/>
      <c r="BM19" s="1246"/>
      <c r="BN19" s="1246"/>
      <c r="BO19" s="1246"/>
      <c r="BP19" s="1246"/>
      <c r="BQ19" s="1246"/>
    </row>
    <row r="20" spans="1:69" x14ac:dyDescent="0.25">
      <c r="A20" s="202" t="s">
        <v>15</v>
      </c>
      <c r="B20" s="211" t="s">
        <v>553</v>
      </c>
      <c r="C20" s="211" t="s">
        <v>68</v>
      </c>
      <c r="D20" s="211" t="s">
        <v>554</v>
      </c>
      <c r="E20" s="211" t="s">
        <v>555</v>
      </c>
      <c r="F20" s="211" t="s">
        <v>485</v>
      </c>
      <c r="G20" s="1304"/>
      <c r="H20" s="1327"/>
      <c r="I20" s="1351"/>
      <c r="J20" s="212"/>
      <c r="K20" s="212"/>
      <c r="L20" s="212"/>
      <c r="M20" s="212"/>
      <c r="N20" s="1276" t="s">
        <v>593</v>
      </c>
      <c r="O20" s="1276" t="s">
        <v>3848</v>
      </c>
      <c r="P20" s="1265"/>
      <c r="Q20" s="1265"/>
      <c r="R20" s="1265"/>
      <c r="S20" s="1265"/>
      <c r="T20" s="1265"/>
      <c r="U20" s="1265"/>
      <c r="V20" s="1265"/>
      <c r="W20" s="1265"/>
      <c r="X20" s="1265"/>
      <c r="Y20" s="1265"/>
      <c r="Z20" s="1265"/>
      <c r="AA20" s="1265"/>
      <c r="AB20" s="1280"/>
      <c r="AC20" s="1280"/>
      <c r="AD20" s="1280"/>
      <c r="AE20" s="1280"/>
      <c r="AF20" s="1280"/>
      <c r="AG20" s="1280"/>
      <c r="AH20" s="1280"/>
      <c r="AI20" s="1280"/>
      <c r="AJ20" s="1280"/>
      <c r="AK20" s="1280"/>
      <c r="AL20" s="1280"/>
      <c r="AM20" s="1280"/>
      <c r="AN20" s="1280"/>
      <c r="AO20" s="1280"/>
      <c r="AP20" s="1290"/>
      <c r="AQ20" s="1290"/>
      <c r="AR20" s="1290"/>
      <c r="AS20" s="1290"/>
      <c r="AT20" s="1290"/>
      <c r="AU20" s="1290"/>
      <c r="AV20" s="1290"/>
      <c r="AW20" s="1290"/>
      <c r="AX20" s="1290"/>
      <c r="AY20" s="1290"/>
      <c r="AZ20" s="1290"/>
      <c r="BA20" s="1290"/>
      <c r="BB20" s="1290"/>
      <c r="BC20" s="1290"/>
      <c r="BD20" s="1246"/>
      <c r="BE20" s="1246"/>
      <c r="BF20" s="1246"/>
      <c r="BG20" s="1246"/>
      <c r="BH20" s="1246"/>
      <c r="BI20" s="1246"/>
      <c r="BJ20" s="1246"/>
      <c r="BK20" s="1246"/>
      <c r="BL20" s="1246"/>
      <c r="BM20" s="1246"/>
      <c r="BN20" s="1246"/>
      <c r="BO20" s="1246"/>
      <c r="BP20" s="1246"/>
      <c r="BQ20" s="1246"/>
    </row>
    <row r="21" spans="1:69" x14ac:dyDescent="0.25">
      <c r="A21" s="213">
        <v>1</v>
      </c>
      <c r="B21" s="214" t="s">
        <v>86</v>
      </c>
      <c r="C21" s="215" t="s">
        <v>87</v>
      </c>
      <c r="D21" s="214"/>
      <c r="E21" s="271">
        <v>1</v>
      </c>
      <c r="F21" s="214"/>
      <c r="G21" s="1305"/>
      <c r="H21" s="1328"/>
      <c r="I21" s="1352"/>
      <c r="J21" s="214"/>
      <c r="K21" s="214"/>
      <c r="L21" s="214"/>
      <c r="M21" s="214"/>
      <c r="N21" s="1276" t="s">
        <v>605</v>
      </c>
      <c r="O21" s="1276"/>
      <c r="P21" s="1265"/>
      <c r="Q21" s="1265"/>
      <c r="R21" s="1265"/>
      <c r="S21" s="1265"/>
      <c r="T21" s="1265"/>
      <c r="U21" s="1265"/>
      <c r="V21" s="1265"/>
      <c r="W21" s="1265"/>
      <c r="X21" s="1265"/>
      <c r="Y21" s="1265"/>
      <c r="Z21" s="1265"/>
      <c r="AA21" s="1265"/>
      <c r="AB21" s="1280"/>
      <c r="AC21" s="1280"/>
      <c r="AD21" s="1280"/>
      <c r="AE21" s="1280"/>
      <c r="AF21" s="1280"/>
      <c r="AG21" s="1280"/>
      <c r="AH21" s="1280"/>
      <c r="AI21" s="1280"/>
      <c r="AJ21" s="1280"/>
      <c r="AK21" s="1280"/>
      <c r="AL21" s="1280"/>
      <c r="AM21" s="1280"/>
      <c r="AN21" s="1280"/>
      <c r="AO21" s="1280"/>
      <c r="AP21" s="1290"/>
      <c r="AQ21" s="1290"/>
      <c r="AR21" s="1290"/>
      <c r="AS21" s="1290"/>
      <c r="AT21" s="1290"/>
      <c r="AU21" s="1290"/>
      <c r="AV21" s="1290"/>
      <c r="AW21" s="1290"/>
      <c r="AX21" s="1290"/>
      <c r="AY21" s="1290"/>
      <c r="AZ21" s="1290"/>
      <c r="BA21" s="1290"/>
      <c r="BB21" s="1290"/>
      <c r="BC21" s="1290"/>
      <c r="BD21" s="1246"/>
      <c r="BE21" s="1246"/>
      <c r="BF21" s="1246"/>
      <c r="BG21" s="1246"/>
      <c r="BH21" s="1246"/>
      <c r="BI21" s="1246"/>
      <c r="BJ21" s="1246"/>
      <c r="BK21" s="1246"/>
      <c r="BL21" s="1246"/>
      <c r="BM21" s="1246"/>
      <c r="BN21" s="1246"/>
      <c r="BO21" s="1246"/>
      <c r="BP21" s="1246"/>
      <c r="BQ21" s="1246"/>
    </row>
    <row r="22" spans="1:69" x14ac:dyDescent="0.25">
      <c r="A22" s="216">
        <v>2</v>
      </c>
      <c r="B22" s="30" t="s">
        <v>88</v>
      </c>
      <c r="C22" s="217" t="s">
        <v>89</v>
      </c>
      <c r="D22" s="30"/>
      <c r="E22" s="272">
        <v>1</v>
      </c>
      <c r="F22" s="30"/>
      <c r="G22" s="1306"/>
      <c r="H22" s="1329"/>
      <c r="I22" s="1353"/>
      <c r="J22" s="30"/>
      <c r="K22" s="30"/>
      <c r="L22" s="30"/>
      <c r="M22" s="30"/>
      <c r="N22" s="1276" t="s">
        <v>606</v>
      </c>
      <c r="O22" s="1276"/>
      <c r="P22" s="1265"/>
      <c r="Q22" s="1265"/>
      <c r="R22" s="1265"/>
      <c r="S22" s="1265"/>
      <c r="T22" s="1265"/>
      <c r="U22" s="1265"/>
      <c r="V22" s="1265"/>
      <c r="W22" s="1265"/>
      <c r="X22" s="1265"/>
      <c r="Y22" s="1265"/>
      <c r="Z22" s="1265"/>
      <c r="AA22" s="1265"/>
      <c r="AB22" s="1280"/>
      <c r="AC22" s="1280"/>
      <c r="AD22" s="1280"/>
      <c r="AE22" s="1280"/>
      <c r="AF22" s="1280"/>
      <c r="AG22" s="1280"/>
      <c r="AH22" s="1280"/>
      <c r="AI22" s="1280"/>
      <c r="AJ22" s="1280"/>
      <c r="AK22" s="1280"/>
      <c r="AL22" s="1280"/>
      <c r="AM22" s="1280"/>
      <c r="AN22" s="1280"/>
      <c r="AO22" s="1280"/>
      <c r="AP22" s="1290"/>
      <c r="AQ22" s="1290"/>
      <c r="AR22" s="1290"/>
      <c r="AS22" s="1290"/>
      <c r="AT22" s="1290"/>
      <c r="AU22" s="1290"/>
      <c r="AV22" s="1290"/>
      <c r="AW22" s="1290"/>
      <c r="AX22" s="1290"/>
      <c r="AY22" s="1290"/>
      <c r="AZ22" s="1290"/>
      <c r="BA22" s="1290"/>
      <c r="BB22" s="1290"/>
      <c r="BC22" s="1290"/>
      <c r="BD22" s="1246"/>
      <c r="BE22" s="1246"/>
      <c r="BF22" s="1246"/>
      <c r="BG22" s="1246"/>
      <c r="BH22" s="1246"/>
      <c r="BI22" s="1246"/>
      <c r="BJ22" s="1246"/>
      <c r="BK22" s="1246"/>
      <c r="BL22" s="1246"/>
      <c r="BM22" s="1246"/>
      <c r="BN22" s="1246"/>
      <c r="BO22" s="1246"/>
      <c r="BP22" s="1246"/>
      <c r="BQ22" s="1246"/>
    </row>
    <row r="23" spans="1:69" x14ac:dyDescent="0.25">
      <c r="A23" s="216">
        <v>3</v>
      </c>
      <c r="B23" s="30" t="s">
        <v>90</v>
      </c>
      <c r="C23" s="217" t="s">
        <v>91</v>
      </c>
      <c r="D23" s="30"/>
      <c r="E23" s="272">
        <v>1</v>
      </c>
      <c r="F23" s="30"/>
      <c r="G23" s="1306"/>
      <c r="H23" s="1329"/>
      <c r="I23" s="1353"/>
      <c r="J23" s="30"/>
      <c r="K23" s="30"/>
      <c r="L23" s="30"/>
      <c r="M23" s="30"/>
      <c r="N23" s="1276" t="s">
        <v>607</v>
      </c>
      <c r="O23" s="1276"/>
      <c r="P23" s="1265"/>
      <c r="Q23" s="1265"/>
      <c r="R23" s="1265"/>
      <c r="S23" s="1265"/>
      <c r="T23" s="1265"/>
      <c r="U23" s="1265"/>
      <c r="V23" s="1265"/>
      <c r="W23" s="1265"/>
      <c r="X23" s="1265"/>
      <c r="Y23" s="1265"/>
      <c r="Z23" s="1265"/>
      <c r="AA23" s="1265"/>
      <c r="AB23" s="1280"/>
      <c r="AC23" s="1280"/>
      <c r="AD23" s="1280"/>
      <c r="AE23" s="1280"/>
      <c r="AF23" s="1280"/>
      <c r="AG23" s="1280"/>
      <c r="AH23" s="1280"/>
      <c r="AI23" s="1280"/>
      <c r="AJ23" s="1280"/>
      <c r="AK23" s="1280"/>
      <c r="AL23" s="1280"/>
      <c r="AM23" s="1280"/>
      <c r="AN23" s="1280"/>
      <c r="AO23" s="1280"/>
      <c r="AP23" s="1290"/>
      <c r="AQ23" s="1290"/>
      <c r="AR23" s="1290"/>
      <c r="AS23" s="1290"/>
      <c r="AT23" s="1290"/>
      <c r="AU23" s="1290"/>
      <c r="AV23" s="1290"/>
      <c r="AW23" s="1290"/>
      <c r="AX23" s="1290"/>
      <c r="AY23" s="1290"/>
      <c r="AZ23" s="1290"/>
      <c r="BA23" s="1290"/>
      <c r="BB23" s="1290"/>
      <c r="BC23" s="1290"/>
      <c r="BD23" s="1246"/>
      <c r="BE23" s="1246"/>
      <c r="BF23" s="1246"/>
      <c r="BG23" s="1246"/>
      <c r="BH23" s="1246"/>
      <c r="BI23" s="1246"/>
      <c r="BJ23" s="1246"/>
      <c r="BK23" s="1246"/>
      <c r="BL23" s="1246"/>
      <c r="BM23" s="1246"/>
      <c r="BN23" s="1246"/>
      <c r="BO23" s="1246"/>
      <c r="BP23" s="1246"/>
      <c r="BQ23" s="1246"/>
    </row>
    <row r="24" spans="1:69" x14ac:dyDescent="0.25">
      <c r="A24" s="216">
        <v>4</v>
      </c>
      <c r="B24" s="30" t="s">
        <v>92</v>
      </c>
      <c r="C24" s="217" t="s">
        <v>93</v>
      </c>
      <c r="D24" s="30" t="s">
        <v>556</v>
      </c>
      <c r="E24" s="218">
        <v>0.01</v>
      </c>
      <c r="F24" s="219">
        <v>1000</v>
      </c>
      <c r="G24" s="1306"/>
      <c r="H24" s="1329"/>
      <c r="I24" s="1353"/>
      <c r="J24" s="30"/>
      <c r="K24" s="30"/>
      <c r="L24" s="30"/>
      <c r="M24" s="30"/>
      <c r="N24" s="1276" t="s">
        <v>608</v>
      </c>
      <c r="O24" s="1276"/>
      <c r="P24" s="1265"/>
      <c r="Q24" s="1265"/>
      <c r="R24" s="1265"/>
      <c r="S24" s="1265"/>
      <c r="T24" s="1265"/>
      <c r="U24" s="1265"/>
      <c r="V24" s="1265"/>
      <c r="W24" s="1265"/>
      <c r="X24" s="1265"/>
      <c r="Y24" s="1265"/>
      <c r="Z24" s="1265"/>
      <c r="AA24" s="1265"/>
      <c r="AB24" s="1280"/>
      <c r="AC24" s="1280"/>
      <c r="AD24" s="1280"/>
      <c r="AE24" s="1280"/>
      <c r="AF24" s="1280"/>
      <c r="AG24" s="1280"/>
      <c r="AH24" s="1280"/>
      <c r="AI24" s="1280"/>
      <c r="AJ24" s="1280"/>
      <c r="AK24" s="1280"/>
      <c r="AL24" s="1280"/>
      <c r="AM24" s="1280"/>
      <c r="AN24" s="1280"/>
      <c r="AO24" s="1280"/>
      <c r="AP24" s="1290"/>
      <c r="AQ24" s="1290"/>
      <c r="AR24" s="1290"/>
      <c r="AS24" s="1290"/>
      <c r="AT24" s="1290"/>
      <c r="AU24" s="1290"/>
      <c r="AV24" s="1290"/>
      <c r="AW24" s="1290"/>
      <c r="AX24" s="1290"/>
      <c r="AY24" s="1290"/>
      <c r="AZ24" s="1290"/>
      <c r="BA24" s="1290"/>
      <c r="BB24" s="1290"/>
      <c r="BC24" s="1290"/>
      <c r="BD24" s="1246"/>
      <c r="BE24" s="1246"/>
      <c r="BF24" s="1246"/>
      <c r="BG24" s="1246"/>
      <c r="BH24" s="1246"/>
      <c r="BI24" s="1246"/>
      <c r="BJ24" s="1246"/>
      <c r="BK24" s="1246"/>
      <c r="BL24" s="1246"/>
      <c r="BM24" s="1246"/>
      <c r="BN24" s="1246"/>
      <c r="BO24" s="1246"/>
      <c r="BP24" s="1246"/>
      <c r="BQ24" s="1246"/>
    </row>
    <row r="25" spans="1:69" x14ac:dyDescent="0.25">
      <c r="A25" s="216">
        <v>5</v>
      </c>
      <c r="B25" s="220" t="s">
        <v>94</v>
      </c>
      <c r="C25" s="217" t="s">
        <v>95</v>
      </c>
      <c r="D25" s="30" t="s">
        <v>556</v>
      </c>
      <c r="E25" s="218">
        <v>0.01</v>
      </c>
      <c r="F25" s="716">
        <v>1000</v>
      </c>
      <c r="G25" s="1306"/>
      <c r="H25" s="1329"/>
      <c r="I25" s="1353"/>
      <c r="J25" s="30"/>
      <c r="K25" s="30"/>
      <c r="L25" s="30"/>
      <c r="M25" s="30"/>
      <c r="N25" s="1276" t="s">
        <v>609</v>
      </c>
      <c r="O25" s="1276" t="s">
        <v>610</v>
      </c>
      <c r="P25" s="1265"/>
      <c r="Q25" s="1265"/>
      <c r="R25" s="1265"/>
      <c r="S25" s="1265"/>
      <c r="T25" s="1265"/>
      <c r="U25" s="1265"/>
      <c r="V25" s="1265"/>
      <c r="W25" s="1265"/>
      <c r="X25" s="1265"/>
      <c r="Y25" s="1265"/>
      <c r="Z25" s="1265"/>
      <c r="AA25" s="1265"/>
      <c r="AB25" s="1280"/>
      <c r="AC25" s="1280"/>
      <c r="AD25" s="1280"/>
      <c r="AE25" s="1280"/>
      <c r="AF25" s="1280"/>
      <c r="AG25" s="1280"/>
      <c r="AH25" s="1280"/>
      <c r="AI25" s="1280"/>
      <c r="AJ25" s="1280"/>
      <c r="AK25" s="1280"/>
      <c r="AL25" s="1280"/>
      <c r="AM25" s="1280"/>
      <c r="AN25" s="1280"/>
      <c r="AO25" s="1280"/>
      <c r="AP25" s="1290"/>
      <c r="AQ25" s="1290"/>
      <c r="AR25" s="1290"/>
      <c r="AS25" s="1290"/>
      <c r="AT25" s="1290"/>
      <c r="AU25" s="1290"/>
      <c r="AV25" s="1290"/>
      <c r="AW25" s="1290"/>
      <c r="AX25" s="1290"/>
      <c r="AY25" s="1290"/>
      <c r="AZ25" s="1290"/>
      <c r="BA25" s="1290"/>
      <c r="BB25" s="1290"/>
      <c r="BC25" s="1290"/>
      <c r="BD25" s="1246"/>
      <c r="BE25" s="1246"/>
      <c r="BF25" s="1246"/>
      <c r="BG25" s="1246"/>
      <c r="BH25" s="1246"/>
      <c r="BI25" s="1246"/>
      <c r="BJ25" s="1246"/>
      <c r="BK25" s="1246"/>
      <c r="BL25" s="1246"/>
      <c r="BM25" s="1246"/>
      <c r="BN25" s="1246"/>
      <c r="BO25" s="1246"/>
      <c r="BP25" s="1246"/>
      <c r="BQ25" s="1246"/>
    </row>
    <row r="26" spans="1:69" x14ac:dyDescent="0.25">
      <c r="A26" s="216">
        <v>6</v>
      </c>
      <c r="B26" s="30" t="s">
        <v>75</v>
      </c>
      <c r="C26" s="217" t="s">
        <v>96</v>
      </c>
      <c r="D26" s="30" t="s">
        <v>556</v>
      </c>
      <c r="E26" s="218">
        <v>0.01</v>
      </c>
      <c r="F26" s="219">
        <v>1000</v>
      </c>
      <c r="G26" s="1306"/>
      <c r="H26" s="1329"/>
      <c r="I26" s="1353"/>
      <c r="J26" s="30"/>
      <c r="K26" s="30"/>
      <c r="L26" s="30"/>
      <c r="M26" s="30"/>
      <c r="N26" s="1265"/>
      <c r="O26" s="1265"/>
      <c r="P26" s="1265"/>
      <c r="Q26" s="1265"/>
      <c r="R26" s="1265"/>
      <c r="S26" s="1265"/>
      <c r="T26" s="1265"/>
      <c r="U26" s="1265"/>
      <c r="V26" s="1265"/>
      <c r="W26" s="1265"/>
      <c r="X26" s="1265"/>
      <c r="Y26" s="1265"/>
      <c r="Z26" s="1265"/>
      <c r="AA26" s="1265"/>
      <c r="AB26" s="1280"/>
      <c r="AC26" s="1280"/>
      <c r="AD26" s="1280"/>
      <c r="AE26" s="1280"/>
      <c r="AF26" s="1280"/>
      <c r="AG26" s="1280"/>
      <c r="AH26" s="1280"/>
      <c r="AI26" s="1280"/>
      <c r="AJ26" s="1280"/>
      <c r="AK26" s="1280"/>
      <c r="AL26" s="1280"/>
      <c r="AM26" s="1280"/>
      <c r="AN26" s="1280"/>
      <c r="AO26" s="1280"/>
      <c r="AP26" s="1290"/>
      <c r="AQ26" s="1290"/>
      <c r="AR26" s="1290"/>
      <c r="AS26" s="1290"/>
      <c r="AT26" s="1290"/>
      <c r="AU26" s="1290"/>
      <c r="AV26" s="1290"/>
      <c r="AW26" s="1290"/>
      <c r="AX26" s="1290"/>
      <c r="AY26" s="1290"/>
      <c r="AZ26" s="1290"/>
      <c r="BA26" s="1290"/>
      <c r="BB26" s="1290"/>
      <c r="BC26" s="1290"/>
      <c r="BD26" s="1246"/>
      <c r="BE26" s="1246"/>
      <c r="BF26" s="1246"/>
      <c r="BG26" s="1246"/>
      <c r="BH26" s="1246"/>
      <c r="BI26" s="1246"/>
      <c r="BJ26" s="1246"/>
      <c r="BK26" s="1246"/>
      <c r="BL26" s="1246"/>
      <c r="BM26" s="1246"/>
      <c r="BN26" s="1246"/>
      <c r="BO26" s="1246"/>
      <c r="BP26" s="1246"/>
      <c r="BQ26" s="1246"/>
    </row>
    <row r="27" spans="1:69" x14ac:dyDescent="0.25">
      <c r="A27" s="216">
        <v>7</v>
      </c>
      <c r="B27" s="220" t="s">
        <v>589</v>
      </c>
      <c r="C27" s="217" t="s">
        <v>97</v>
      </c>
      <c r="D27" s="30" t="s">
        <v>556</v>
      </c>
      <c r="E27" s="218">
        <v>0.01</v>
      </c>
      <c r="F27" s="716">
        <v>1000</v>
      </c>
      <c r="G27" s="1306"/>
      <c r="H27" s="1329"/>
      <c r="I27" s="1353"/>
      <c r="J27" s="30"/>
      <c r="K27" s="30"/>
      <c r="L27" s="30"/>
      <c r="M27" s="30"/>
      <c r="N27" s="1265"/>
      <c r="O27" s="1265"/>
      <c r="P27" s="1265"/>
      <c r="Q27" s="1265"/>
      <c r="R27" s="1265"/>
      <c r="S27" s="1265"/>
      <c r="T27" s="1265"/>
      <c r="U27" s="1265"/>
      <c r="V27" s="1265"/>
      <c r="W27" s="1265"/>
      <c r="X27" s="1265"/>
      <c r="Y27" s="1265"/>
      <c r="Z27" s="1265"/>
      <c r="AA27" s="1265"/>
      <c r="AB27" s="1280"/>
      <c r="AC27" s="1280"/>
      <c r="AD27" s="1280"/>
      <c r="AE27" s="1280"/>
      <c r="AF27" s="1280"/>
      <c r="AG27" s="1280"/>
      <c r="AH27" s="1280"/>
      <c r="AI27" s="1280"/>
      <c r="AJ27" s="1280"/>
      <c r="AK27" s="1280"/>
      <c r="AL27" s="1280"/>
      <c r="AM27" s="1280"/>
      <c r="AN27" s="1280"/>
      <c r="AO27" s="1280"/>
      <c r="AP27" s="1290"/>
      <c r="AQ27" s="1290"/>
      <c r="AR27" s="1290"/>
      <c r="AS27" s="1290"/>
      <c r="AT27" s="1290"/>
      <c r="AU27" s="1290"/>
      <c r="AV27" s="1290"/>
      <c r="AW27" s="1290"/>
      <c r="AX27" s="1290"/>
      <c r="AY27" s="1290"/>
      <c r="AZ27" s="1290"/>
      <c r="BA27" s="1290"/>
      <c r="BB27" s="1290"/>
      <c r="BC27" s="1290"/>
      <c r="BD27" s="1246"/>
      <c r="BE27" s="1246"/>
      <c r="BF27" s="1246"/>
      <c r="BG27" s="1246"/>
      <c r="BH27" s="1246"/>
      <c r="BI27" s="1246"/>
      <c r="BJ27" s="1246"/>
      <c r="BK27" s="1246"/>
      <c r="BL27" s="1246"/>
      <c r="BM27" s="1246"/>
      <c r="BN27" s="1246"/>
      <c r="BO27" s="1246"/>
      <c r="BP27" s="1246"/>
      <c r="BQ27" s="1246"/>
    </row>
    <row r="28" spans="1:69" x14ac:dyDescent="0.25">
      <c r="A28" s="216">
        <v>8</v>
      </c>
      <c r="B28" s="30" t="s">
        <v>76</v>
      </c>
      <c r="C28" s="217" t="s">
        <v>98</v>
      </c>
      <c r="D28" s="30" t="s">
        <v>556</v>
      </c>
      <c r="E28" s="218">
        <v>0.01</v>
      </c>
      <c r="F28" s="219">
        <v>1000</v>
      </c>
      <c r="G28" s="1306"/>
      <c r="H28" s="1329"/>
      <c r="I28" s="1353"/>
      <c r="J28" s="30"/>
      <c r="K28" s="30"/>
      <c r="L28" s="30"/>
      <c r="M28" s="30"/>
      <c r="N28" s="1265"/>
      <c r="O28" s="1265"/>
      <c r="P28" s="1265"/>
      <c r="Q28" s="1265"/>
      <c r="R28" s="1265"/>
      <c r="S28" s="1265"/>
      <c r="T28" s="1265"/>
      <c r="U28" s="1265"/>
      <c r="V28" s="1265"/>
      <c r="W28" s="1265"/>
      <c r="X28" s="1265"/>
      <c r="Y28" s="1265"/>
      <c r="Z28" s="1265"/>
      <c r="AA28" s="1265"/>
      <c r="AB28" s="1280"/>
      <c r="AC28" s="1280"/>
      <c r="AD28" s="1280"/>
      <c r="AE28" s="1280"/>
      <c r="AF28" s="1280"/>
      <c r="AG28" s="1280"/>
      <c r="AH28" s="1280"/>
      <c r="AI28" s="1280"/>
      <c r="AJ28" s="1280"/>
      <c r="AK28" s="1280"/>
      <c r="AL28" s="1280"/>
      <c r="AM28" s="1280"/>
      <c r="AN28" s="1280"/>
      <c r="AO28" s="1280"/>
      <c r="AP28" s="1290"/>
      <c r="AQ28" s="1290"/>
      <c r="AR28" s="1290"/>
      <c r="AS28" s="1290"/>
      <c r="AT28" s="1290"/>
      <c r="AU28" s="1290"/>
      <c r="AV28" s="1290"/>
      <c r="AW28" s="1290"/>
      <c r="AX28" s="1290"/>
      <c r="AY28" s="1290"/>
      <c r="AZ28" s="1290"/>
      <c r="BA28" s="1290"/>
      <c r="BB28" s="1290"/>
      <c r="BC28" s="1290"/>
      <c r="BD28" s="1246"/>
      <c r="BE28" s="1246"/>
      <c r="BF28" s="1246"/>
      <c r="BG28" s="1246"/>
      <c r="BH28" s="1246"/>
      <c r="BI28" s="1246"/>
      <c r="BJ28" s="1246"/>
      <c r="BK28" s="1246"/>
      <c r="BL28" s="1246"/>
      <c r="BM28" s="1246"/>
      <c r="BN28" s="1246"/>
      <c r="BO28" s="1246"/>
      <c r="BP28" s="1246"/>
      <c r="BQ28" s="1246"/>
    </row>
    <row r="29" spans="1:69" x14ac:dyDescent="0.25">
      <c r="A29" s="216">
        <v>9</v>
      </c>
      <c r="B29" s="220" t="s">
        <v>588</v>
      </c>
      <c r="C29" s="217" t="s">
        <v>99</v>
      </c>
      <c r="D29" s="30" t="s">
        <v>556</v>
      </c>
      <c r="E29" s="218">
        <v>0.01</v>
      </c>
      <c r="F29" s="716">
        <v>1000</v>
      </c>
      <c r="G29" s="1306"/>
      <c r="H29" s="1329"/>
      <c r="I29" s="1353"/>
      <c r="J29" s="30"/>
      <c r="K29" s="30"/>
      <c r="L29" s="30"/>
      <c r="M29" s="30"/>
      <c r="N29" s="1265"/>
      <c r="O29" s="1265"/>
      <c r="P29" s="1265"/>
      <c r="Q29" s="1265"/>
      <c r="R29" s="1265"/>
      <c r="S29" s="1265"/>
      <c r="T29" s="1265"/>
      <c r="U29" s="1265"/>
      <c r="V29" s="1265"/>
      <c r="W29" s="1265"/>
      <c r="X29" s="1265"/>
      <c r="Y29" s="1265"/>
      <c r="Z29" s="1265"/>
      <c r="AA29" s="1265"/>
      <c r="AB29" s="1280"/>
      <c r="AC29" s="1280"/>
      <c r="AD29" s="1280"/>
      <c r="AE29" s="1280"/>
      <c r="AF29" s="1280"/>
      <c r="AG29" s="1280"/>
      <c r="AH29" s="1280"/>
      <c r="AI29" s="1280"/>
      <c r="AJ29" s="1280"/>
      <c r="AK29" s="1280"/>
      <c r="AL29" s="1280"/>
      <c r="AM29" s="1280"/>
      <c r="AN29" s="1280"/>
      <c r="AO29" s="1280"/>
      <c r="AP29" s="1290"/>
      <c r="AQ29" s="1290"/>
      <c r="AR29" s="1290"/>
      <c r="AS29" s="1290"/>
      <c r="AT29" s="1290"/>
      <c r="AU29" s="1290"/>
      <c r="AV29" s="1290"/>
      <c r="AW29" s="1290"/>
      <c r="AX29" s="1290"/>
      <c r="AY29" s="1290"/>
      <c r="AZ29" s="1290"/>
      <c r="BA29" s="1290"/>
      <c r="BB29" s="1290"/>
      <c r="BC29" s="1290"/>
      <c r="BD29" s="1246"/>
      <c r="BE29" s="1246"/>
      <c r="BF29" s="1246"/>
      <c r="BG29" s="1246"/>
      <c r="BH29" s="1246"/>
      <c r="BI29" s="1246"/>
      <c r="BJ29" s="1246"/>
      <c r="BK29" s="1246"/>
      <c r="BL29" s="1246"/>
      <c r="BM29" s="1246"/>
      <c r="BN29" s="1246"/>
      <c r="BO29" s="1246"/>
      <c r="BP29" s="1246"/>
      <c r="BQ29" s="1246"/>
    </row>
    <row r="30" spans="1:69" x14ac:dyDescent="0.25">
      <c r="A30" s="216">
        <v>10</v>
      </c>
      <c r="B30" s="30" t="s">
        <v>100</v>
      </c>
      <c r="C30" s="217" t="s">
        <v>101</v>
      </c>
      <c r="D30" s="30" t="s">
        <v>556</v>
      </c>
      <c r="E30" s="218">
        <v>0.01</v>
      </c>
      <c r="F30" s="219">
        <v>1000</v>
      </c>
      <c r="G30" s="1306"/>
      <c r="H30" s="1329"/>
      <c r="I30" s="1353"/>
      <c r="J30" s="30"/>
      <c r="K30" s="30"/>
      <c r="L30" s="30"/>
      <c r="M30" s="30"/>
      <c r="N30" s="1265"/>
      <c r="O30" s="1265"/>
      <c r="P30" s="1265"/>
      <c r="Q30" s="1265"/>
      <c r="R30" s="1265"/>
      <c r="S30" s="1265"/>
      <c r="T30" s="1265"/>
      <c r="U30" s="1265"/>
      <c r="V30" s="1265"/>
      <c r="W30" s="1265"/>
      <c r="X30" s="1265"/>
      <c r="Y30" s="1265"/>
      <c r="Z30" s="1265"/>
      <c r="AA30" s="1265"/>
      <c r="AB30" s="1280"/>
      <c r="AC30" s="1280"/>
      <c r="AD30" s="1280"/>
      <c r="AE30" s="1280"/>
      <c r="AF30" s="1280"/>
      <c r="AG30" s="1280"/>
      <c r="AH30" s="1280"/>
      <c r="AI30" s="1280"/>
      <c r="AJ30" s="1280"/>
      <c r="AK30" s="1280"/>
      <c r="AL30" s="1280"/>
      <c r="AM30" s="1280"/>
      <c r="AN30" s="1280"/>
      <c r="AO30" s="1280"/>
      <c r="AP30" s="1290"/>
      <c r="AQ30" s="1290"/>
      <c r="AR30" s="1290"/>
      <c r="AS30" s="1290"/>
      <c r="AT30" s="1290"/>
      <c r="AU30" s="1290"/>
      <c r="AV30" s="1290"/>
      <c r="AW30" s="1290"/>
      <c r="AX30" s="1290"/>
      <c r="AY30" s="1290"/>
      <c r="AZ30" s="1290"/>
      <c r="BA30" s="1290"/>
      <c r="BB30" s="1290"/>
      <c r="BC30" s="1290"/>
      <c r="BD30" s="1246"/>
      <c r="BE30" s="1246"/>
      <c r="BF30" s="1246"/>
      <c r="BG30" s="1246"/>
      <c r="BH30" s="1246"/>
      <c r="BI30" s="1246"/>
      <c r="BJ30" s="1246"/>
      <c r="BK30" s="1246"/>
      <c r="BL30" s="1246"/>
      <c r="BM30" s="1246"/>
      <c r="BN30" s="1246"/>
      <c r="BO30" s="1246"/>
      <c r="BP30" s="1246"/>
      <c r="BQ30" s="1246"/>
    </row>
    <row r="31" spans="1:69" x14ac:dyDescent="0.25">
      <c r="A31" s="216">
        <v>11</v>
      </c>
      <c r="B31" s="220" t="s">
        <v>587</v>
      </c>
      <c r="C31" s="217" t="s">
        <v>102</v>
      </c>
      <c r="D31" s="30" t="s">
        <v>556</v>
      </c>
      <c r="E31" s="218">
        <v>0.01</v>
      </c>
      <c r="F31" s="716">
        <v>1000</v>
      </c>
      <c r="G31" s="1306"/>
      <c r="H31" s="1329"/>
      <c r="I31" s="1353"/>
      <c r="J31" s="30"/>
      <c r="K31" s="30"/>
      <c r="L31" s="30"/>
      <c r="M31" s="30"/>
      <c r="N31" s="1265"/>
      <c r="O31" s="1265"/>
      <c r="P31" s="1265"/>
      <c r="Q31" s="1265"/>
      <c r="R31" s="1265"/>
      <c r="S31" s="1265"/>
      <c r="T31" s="1265"/>
      <c r="U31" s="1265"/>
      <c r="V31" s="1265"/>
      <c r="W31" s="1265"/>
      <c r="X31" s="1265"/>
      <c r="Y31" s="1265"/>
      <c r="Z31" s="1265"/>
      <c r="AA31" s="1265"/>
      <c r="AB31" s="1280"/>
      <c r="AC31" s="1280"/>
      <c r="AD31" s="1280"/>
      <c r="AE31" s="1280"/>
      <c r="AF31" s="1280"/>
      <c r="AG31" s="1280"/>
      <c r="AH31" s="1280"/>
      <c r="AI31" s="1280"/>
      <c r="AJ31" s="1280"/>
      <c r="AK31" s="1280"/>
      <c r="AL31" s="1280"/>
      <c r="AM31" s="1280"/>
      <c r="AN31" s="1280"/>
      <c r="AO31" s="1280"/>
      <c r="AP31" s="1290"/>
      <c r="AQ31" s="1290"/>
      <c r="AR31" s="1290"/>
      <c r="AS31" s="1290"/>
      <c r="AT31" s="1290"/>
      <c r="AU31" s="1290"/>
      <c r="AV31" s="1290"/>
      <c r="AW31" s="1290"/>
      <c r="AX31" s="1290"/>
      <c r="AY31" s="1290"/>
      <c r="AZ31" s="1290"/>
      <c r="BA31" s="1290"/>
      <c r="BB31" s="1290"/>
      <c r="BC31" s="1290"/>
      <c r="BD31" s="1246"/>
      <c r="BE31" s="1246"/>
      <c r="BF31" s="1246"/>
      <c r="BG31" s="1246"/>
      <c r="BH31" s="1246"/>
      <c r="BI31" s="1246"/>
      <c r="BJ31" s="1246"/>
      <c r="BK31" s="1246"/>
      <c r="BL31" s="1246"/>
      <c r="BM31" s="1246"/>
      <c r="BN31" s="1246"/>
      <c r="BO31" s="1246"/>
      <c r="BP31" s="1246"/>
      <c r="BQ31" s="1246"/>
    </row>
    <row r="32" spans="1:69" x14ac:dyDescent="0.25">
      <c r="A32" s="216">
        <v>12</v>
      </c>
      <c r="B32" s="30" t="s">
        <v>103</v>
      </c>
      <c r="C32" s="217" t="s">
        <v>104</v>
      </c>
      <c r="D32" s="30" t="s">
        <v>556</v>
      </c>
      <c r="E32" s="218">
        <v>0.01</v>
      </c>
      <c r="F32" s="219">
        <v>1000</v>
      </c>
      <c r="G32" s="1306"/>
      <c r="H32" s="1329"/>
      <c r="I32" s="1353"/>
      <c r="J32" s="30"/>
      <c r="K32" s="30"/>
      <c r="L32" s="30"/>
      <c r="M32" s="30"/>
      <c r="N32" s="1265"/>
      <c r="O32" s="1265"/>
      <c r="P32" s="1265"/>
      <c r="Q32" s="1265"/>
      <c r="R32" s="1265"/>
      <c r="S32" s="1265"/>
      <c r="T32" s="1265"/>
      <c r="U32" s="1265"/>
      <c r="V32" s="1265"/>
      <c r="W32" s="1265"/>
      <c r="X32" s="1265"/>
      <c r="Y32" s="1265"/>
      <c r="Z32" s="1265"/>
      <c r="AA32" s="1265"/>
      <c r="AB32" s="1280"/>
      <c r="AC32" s="1280"/>
      <c r="AD32" s="1280"/>
      <c r="AE32" s="1280"/>
      <c r="AF32" s="1280"/>
      <c r="AG32" s="1280"/>
      <c r="AH32" s="1280"/>
      <c r="AI32" s="1280"/>
      <c r="AJ32" s="1280"/>
      <c r="AK32" s="1280"/>
      <c r="AL32" s="1280"/>
      <c r="AM32" s="1280"/>
      <c r="AN32" s="1280"/>
      <c r="AO32" s="1280"/>
      <c r="AP32" s="1290"/>
      <c r="AQ32" s="1290"/>
      <c r="AR32" s="1290"/>
      <c r="AS32" s="1290"/>
      <c r="AT32" s="1290"/>
      <c r="AU32" s="1290"/>
      <c r="AV32" s="1290"/>
      <c r="AW32" s="1290"/>
      <c r="AX32" s="1290"/>
      <c r="AY32" s="1290"/>
      <c r="AZ32" s="1290"/>
      <c r="BA32" s="1290"/>
      <c r="BB32" s="1290"/>
      <c r="BC32" s="1290"/>
      <c r="BD32" s="1246"/>
      <c r="BE32" s="1246"/>
      <c r="BF32" s="1246"/>
      <c r="BG32" s="1246"/>
      <c r="BH32" s="1246"/>
      <c r="BI32" s="1246"/>
      <c r="BJ32" s="1246"/>
      <c r="BK32" s="1246"/>
      <c r="BL32" s="1246"/>
      <c r="BM32" s="1246"/>
      <c r="BN32" s="1246"/>
      <c r="BO32" s="1246"/>
      <c r="BP32" s="1246"/>
      <c r="BQ32" s="1246"/>
    </row>
    <row r="33" spans="1:69" x14ac:dyDescent="0.25">
      <c r="A33" s="221">
        <v>13</v>
      </c>
      <c r="B33" s="222" t="s">
        <v>105</v>
      </c>
      <c r="C33" s="223" t="s">
        <v>106</v>
      </c>
      <c r="D33" s="30" t="s">
        <v>556</v>
      </c>
      <c r="E33" s="218">
        <v>0.01</v>
      </c>
      <c r="F33" s="716">
        <v>1000</v>
      </c>
      <c r="G33" s="1307"/>
      <c r="H33" s="1330"/>
      <c r="I33" s="1354"/>
      <c r="J33" s="33"/>
      <c r="K33" s="33"/>
      <c r="L33" s="33"/>
      <c r="M33" s="33"/>
      <c r="N33" s="1265"/>
      <c r="O33" s="1265"/>
      <c r="P33" s="1265"/>
      <c r="Q33" s="1265"/>
      <c r="R33" s="1265"/>
      <c r="S33" s="1265"/>
      <c r="T33" s="1265"/>
      <c r="U33" s="1265"/>
      <c r="V33" s="1265"/>
      <c r="W33" s="1265"/>
      <c r="X33" s="1265"/>
      <c r="Y33" s="1265"/>
      <c r="Z33" s="1265"/>
      <c r="AA33" s="1265"/>
      <c r="AB33" s="1280"/>
      <c r="AC33" s="1280"/>
      <c r="AD33" s="1280"/>
      <c r="AE33" s="1280"/>
      <c r="AF33" s="1280"/>
      <c r="AG33" s="1280"/>
      <c r="AH33" s="1280"/>
      <c r="AI33" s="1280"/>
      <c r="AJ33" s="1280"/>
      <c r="AK33" s="1280"/>
      <c r="AL33" s="1280"/>
      <c r="AM33" s="1280"/>
      <c r="AN33" s="1280"/>
      <c r="AO33" s="1280"/>
      <c r="AP33" s="1290"/>
      <c r="AQ33" s="1290"/>
      <c r="AR33" s="1290"/>
      <c r="AS33" s="1290"/>
      <c r="AT33" s="1290"/>
      <c r="AU33" s="1290"/>
      <c r="AV33" s="1290"/>
      <c r="AW33" s="1290"/>
      <c r="AX33" s="1290"/>
      <c r="AY33" s="1290"/>
      <c r="AZ33" s="1290"/>
      <c r="BA33" s="1290"/>
      <c r="BB33" s="1290"/>
      <c r="BC33" s="1290"/>
      <c r="BD33" s="1246"/>
      <c r="BE33" s="1246"/>
      <c r="BF33" s="1246"/>
      <c r="BG33" s="1246"/>
      <c r="BH33" s="1246"/>
      <c r="BI33" s="1246"/>
      <c r="BJ33" s="1246"/>
      <c r="BK33" s="1246"/>
      <c r="BL33" s="1246"/>
      <c r="BM33" s="1246"/>
      <c r="BN33" s="1246"/>
      <c r="BO33" s="1246"/>
      <c r="BP33" s="1246"/>
      <c r="BQ33" s="1246"/>
    </row>
    <row r="34" spans="1:69" x14ac:dyDescent="0.25">
      <c r="A34" s="209" t="s">
        <v>107</v>
      </c>
      <c r="B34" s="208" t="s">
        <v>108</v>
      </c>
      <c r="C34" s="208" t="s">
        <v>595</v>
      </c>
      <c r="D34" s="208" t="s">
        <v>596</v>
      </c>
      <c r="E34" s="208" t="s">
        <v>597</v>
      </c>
      <c r="F34" s="208" t="s">
        <v>598</v>
      </c>
      <c r="G34" s="1308" t="s">
        <v>599</v>
      </c>
      <c r="H34" s="1331" t="s">
        <v>600</v>
      </c>
      <c r="I34" s="1355" t="s">
        <v>601</v>
      </c>
      <c r="J34" s="233" t="s">
        <v>602</v>
      </c>
      <c r="K34" s="233" t="s">
        <v>603</v>
      </c>
      <c r="L34" s="208" t="s">
        <v>604</v>
      </c>
      <c r="M34" s="208"/>
      <c r="N34" s="1265"/>
      <c r="O34" s="1265"/>
      <c r="P34" s="1265"/>
      <c r="Q34" s="1265"/>
      <c r="R34" s="1265"/>
      <c r="S34" s="1265"/>
      <c r="T34" s="1265"/>
      <c r="U34" s="1265"/>
      <c r="V34" s="1265"/>
      <c r="W34" s="1265"/>
      <c r="X34" s="1265"/>
      <c r="Y34" s="1265"/>
      <c r="Z34" s="1265"/>
      <c r="AA34" s="1265"/>
      <c r="AB34" s="1280"/>
      <c r="AC34" s="1280"/>
      <c r="AD34" s="1280"/>
      <c r="AE34" s="1280"/>
      <c r="AF34" s="1280"/>
      <c r="AG34" s="1280"/>
      <c r="AH34" s="1280"/>
      <c r="AI34" s="1280"/>
      <c r="AJ34" s="1280"/>
      <c r="AK34" s="1280"/>
      <c r="AL34" s="1280"/>
      <c r="AM34" s="1280"/>
      <c r="AN34" s="1280"/>
      <c r="AO34" s="1280"/>
      <c r="AP34" s="1290"/>
      <c r="AQ34" s="1290"/>
      <c r="AR34" s="1290"/>
      <c r="AS34" s="1290"/>
      <c r="AT34" s="1290"/>
      <c r="AU34" s="1290"/>
      <c r="AV34" s="1290"/>
      <c r="AW34" s="1290"/>
      <c r="AX34" s="1290"/>
      <c r="AY34" s="1290"/>
      <c r="AZ34" s="1290"/>
      <c r="BA34" s="1290"/>
      <c r="BB34" s="1290"/>
      <c r="BC34" s="1290"/>
      <c r="BD34" s="1246"/>
      <c r="BE34" s="1246"/>
      <c r="BF34" s="1246"/>
      <c r="BG34" s="1246"/>
      <c r="BH34" s="1246"/>
      <c r="BI34" s="1246"/>
      <c r="BJ34" s="1246"/>
      <c r="BK34" s="1246"/>
      <c r="BL34" s="1246"/>
      <c r="BM34" s="1246"/>
      <c r="BN34" s="1246"/>
      <c r="BO34" s="1246"/>
      <c r="BP34" s="1246"/>
      <c r="BQ34" s="1246"/>
    </row>
    <row r="35" spans="1:69" x14ac:dyDescent="0.25">
      <c r="A35" s="235">
        <v>1</v>
      </c>
      <c r="B35" s="273" t="s">
        <v>3878</v>
      </c>
      <c r="C35" s="235"/>
      <c r="D35" s="235"/>
      <c r="E35" s="235"/>
      <c r="F35" s="235"/>
      <c r="G35" s="1309"/>
      <c r="H35" s="1332" t="s">
        <v>3847</v>
      </c>
      <c r="I35" s="1356" t="s">
        <v>3644</v>
      </c>
      <c r="J35" s="235">
        <v>1</v>
      </c>
      <c r="K35" s="235">
        <v>0</v>
      </c>
      <c r="L35" s="214" t="s">
        <v>3848</v>
      </c>
      <c r="M35" s="214"/>
      <c r="N35" s="1277" t="s">
        <v>148</v>
      </c>
      <c r="O35" s="1270"/>
      <c r="P35" s="1270"/>
      <c r="Q35" s="1270"/>
      <c r="R35" s="1270"/>
      <c r="S35" s="1270"/>
      <c r="T35" s="1270"/>
      <c r="U35" s="1270"/>
      <c r="V35" s="1270"/>
      <c r="W35" s="1270"/>
      <c r="X35" s="1270"/>
      <c r="Y35" s="1270"/>
      <c r="Z35" s="1270"/>
      <c r="AA35" s="1270"/>
      <c r="AB35" s="1282" t="s">
        <v>148</v>
      </c>
      <c r="AC35" s="1283"/>
      <c r="AD35" s="1283"/>
      <c r="AE35" s="1283"/>
      <c r="AF35" s="1283"/>
      <c r="AG35" s="1283"/>
      <c r="AH35" s="1283"/>
      <c r="AI35" s="1283"/>
      <c r="AJ35" s="1283"/>
      <c r="AK35" s="1283"/>
      <c r="AL35" s="1283"/>
      <c r="AM35" s="1283"/>
      <c r="AN35" s="1283"/>
      <c r="AO35" s="1283"/>
      <c r="AP35" s="1292" t="s">
        <v>149</v>
      </c>
      <c r="AQ35" s="1293"/>
      <c r="AR35" s="1292"/>
      <c r="AS35" s="1293"/>
      <c r="AT35" s="1293"/>
      <c r="AU35" s="1293"/>
      <c r="AV35" s="1293"/>
      <c r="AW35" s="1293"/>
      <c r="AX35" s="1293"/>
      <c r="AY35" s="1293"/>
      <c r="AZ35" s="1293"/>
      <c r="BA35" s="1293"/>
      <c r="BB35" s="1293"/>
      <c r="BC35" s="1293"/>
      <c r="BD35" s="1249" t="s">
        <v>148</v>
      </c>
      <c r="BE35" s="1248"/>
      <c r="BF35" s="1248"/>
      <c r="BG35" s="1248"/>
      <c r="BH35" s="1248"/>
      <c r="BI35" s="1248"/>
      <c r="BJ35" s="1248"/>
      <c r="BK35" s="1248"/>
      <c r="BL35" s="1248"/>
      <c r="BM35" s="1248"/>
      <c r="BN35" s="1248"/>
      <c r="BO35" s="1248"/>
      <c r="BP35" s="1248"/>
      <c r="BQ35" s="1248"/>
    </row>
    <row r="36" spans="1:69" x14ac:dyDescent="0.25">
      <c r="A36" s="236"/>
      <c r="B36" s="237"/>
      <c r="C36" s="236"/>
      <c r="D36" s="236"/>
      <c r="E36" s="236"/>
      <c r="F36" s="236"/>
      <c r="G36" s="1310"/>
      <c r="H36" s="1333"/>
      <c r="I36" s="1357"/>
      <c r="J36" s="236"/>
      <c r="K36" s="236"/>
      <c r="L36" s="30"/>
      <c r="M36" s="30"/>
      <c r="N36" s="1270" t="s">
        <v>3707</v>
      </c>
      <c r="O36" s="1270"/>
      <c r="P36" s="1270"/>
      <c r="Q36" s="1270"/>
      <c r="R36" s="1270"/>
      <c r="S36" s="1270"/>
      <c r="T36" s="1270"/>
      <c r="U36" s="1270"/>
      <c r="V36" s="1270"/>
      <c r="W36" s="1270"/>
      <c r="X36" s="1270"/>
      <c r="Y36" s="1270"/>
      <c r="Z36" s="1270"/>
      <c r="AA36" s="1270"/>
      <c r="AB36" s="1283" t="s">
        <v>3760</v>
      </c>
      <c r="AC36" s="1283"/>
      <c r="AD36" s="1283"/>
      <c r="AE36" s="1283"/>
      <c r="AF36" s="1283"/>
      <c r="AG36" s="1283"/>
      <c r="AH36" s="1283"/>
      <c r="AI36" s="1283"/>
      <c r="AJ36" s="1283"/>
      <c r="AK36" s="1283"/>
      <c r="AL36" s="1283"/>
      <c r="AM36" s="1283"/>
      <c r="AN36" s="1283"/>
      <c r="AO36" s="1283"/>
      <c r="AP36" s="1293" t="s">
        <v>150</v>
      </c>
      <c r="AQ36" s="1293"/>
      <c r="AR36" s="1293"/>
      <c r="AS36" s="1293"/>
      <c r="AT36" s="1293"/>
      <c r="AU36" s="1293"/>
      <c r="AV36" s="1293"/>
      <c r="AW36" s="1293"/>
      <c r="AX36" s="1293"/>
      <c r="AY36" s="1293"/>
      <c r="AZ36" s="1293"/>
      <c r="BA36" s="1293"/>
      <c r="BB36" s="1293"/>
      <c r="BC36" s="1293"/>
      <c r="BD36" s="1248" t="s">
        <v>151</v>
      </c>
      <c r="BE36" s="1248"/>
      <c r="BF36" s="1248"/>
      <c r="BG36" s="1248"/>
      <c r="BH36" s="1248"/>
      <c r="BI36" s="1248"/>
      <c r="BJ36" s="1248"/>
      <c r="BK36" s="1248"/>
      <c r="BL36" s="1248"/>
      <c r="BM36" s="1248"/>
      <c r="BN36" s="1248"/>
      <c r="BO36" s="1248"/>
      <c r="BP36" s="1248"/>
      <c r="BQ36" s="1248"/>
    </row>
    <row r="37" spans="1:69" x14ac:dyDescent="0.25">
      <c r="A37" s="236"/>
      <c r="B37" s="237"/>
      <c r="C37" s="236"/>
      <c r="D37" s="236"/>
      <c r="E37" s="236"/>
      <c r="F37" s="236"/>
      <c r="G37" s="1310"/>
      <c r="H37" s="1333"/>
      <c r="I37" s="1357"/>
      <c r="J37" s="236"/>
      <c r="K37" s="236"/>
      <c r="L37" s="30"/>
      <c r="M37" s="30"/>
      <c r="N37" s="1271" t="s">
        <v>152</v>
      </c>
      <c r="O37" s="1271"/>
      <c r="P37" s="1271"/>
      <c r="Q37" s="1271"/>
      <c r="R37" s="1272"/>
      <c r="S37" s="1272"/>
      <c r="T37" s="1272"/>
      <c r="U37" s="1272"/>
      <c r="V37" s="1272"/>
      <c r="W37" s="1272"/>
      <c r="X37" s="1272"/>
      <c r="Y37" s="1272"/>
      <c r="Z37" s="1272"/>
      <c r="AA37" s="1272"/>
      <c r="AB37" s="1284" t="s">
        <v>152</v>
      </c>
      <c r="AC37" s="1284"/>
      <c r="AD37" s="1284"/>
      <c r="AE37" s="1284"/>
      <c r="AF37" s="1285"/>
      <c r="AG37" s="1285"/>
      <c r="AH37" s="1285"/>
      <c r="AI37" s="1285"/>
      <c r="AJ37" s="1285"/>
      <c r="AK37" s="1285"/>
      <c r="AL37" s="1285"/>
      <c r="AM37" s="1285"/>
      <c r="AN37" s="1285"/>
      <c r="AO37" s="1285"/>
      <c r="AP37" s="1294" t="s">
        <v>152</v>
      </c>
      <c r="AQ37" s="1294"/>
      <c r="AR37" s="1294"/>
      <c r="AS37" s="1294"/>
      <c r="AT37" s="1295"/>
      <c r="AU37" s="1295"/>
      <c r="AV37" s="1295"/>
      <c r="AW37" s="1295"/>
      <c r="AX37" s="1295"/>
      <c r="AY37" s="1295"/>
      <c r="AZ37" s="1295"/>
      <c r="BA37" s="1295"/>
      <c r="BB37" s="1295"/>
      <c r="BC37" s="1295"/>
      <c r="BD37" s="1250" t="s">
        <v>153</v>
      </c>
      <c r="BE37" s="1250"/>
      <c r="BF37" s="1250"/>
      <c r="BG37" s="1250"/>
      <c r="BH37" s="1251"/>
      <c r="BI37" s="1251"/>
      <c r="BJ37" s="1251"/>
      <c r="BK37" s="1251"/>
      <c r="BL37" s="1251"/>
      <c r="BM37" s="1251"/>
      <c r="BN37" s="1251"/>
      <c r="BO37" s="1251"/>
      <c r="BP37" s="1251"/>
      <c r="BQ37" s="1251"/>
    </row>
    <row r="38" spans="1:69" x14ac:dyDescent="0.25">
      <c r="A38" s="236"/>
      <c r="B38" s="237"/>
      <c r="C38" s="236"/>
      <c r="D38" s="236"/>
      <c r="E38" s="236"/>
      <c r="F38" s="236"/>
      <c r="G38" s="1310"/>
      <c r="H38" s="1333"/>
      <c r="I38" s="1357"/>
      <c r="J38" s="236"/>
      <c r="K38" s="236"/>
      <c r="L38" s="30"/>
      <c r="M38" s="30"/>
      <c r="N38" s="1265"/>
      <c r="O38" s="1265"/>
      <c r="P38" s="1990" t="s">
        <v>154</v>
      </c>
      <c r="Q38" s="1990"/>
      <c r="R38" s="1990"/>
      <c r="S38" s="1990"/>
      <c r="T38" s="1990"/>
      <c r="U38" s="1990"/>
      <c r="V38" s="1990"/>
      <c r="W38" s="1990"/>
      <c r="X38" s="1990"/>
      <c r="Y38" s="1990"/>
      <c r="Z38" s="1990"/>
      <c r="AA38" s="1990"/>
      <c r="AB38" s="1978" t="s">
        <v>111</v>
      </c>
      <c r="AC38" s="1366"/>
      <c r="AD38" s="1971" t="s">
        <v>154</v>
      </c>
      <c r="AE38" s="1971"/>
      <c r="AF38" s="1971"/>
      <c r="AG38" s="1971"/>
      <c r="AH38" s="1971"/>
      <c r="AI38" s="1971"/>
      <c r="AJ38" s="1971"/>
      <c r="AK38" s="1971"/>
      <c r="AL38" s="1971"/>
      <c r="AM38" s="1971"/>
      <c r="AN38" s="1971"/>
      <c r="AO38" s="1971"/>
      <c r="AP38" s="1290"/>
      <c r="AQ38" s="1367"/>
      <c r="AR38" s="1927" t="s">
        <v>154</v>
      </c>
      <c r="AS38" s="1927"/>
      <c r="AT38" s="1927"/>
      <c r="AU38" s="1927"/>
      <c r="AV38" s="1927"/>
      <c r="AW38" s="1927"/>
      <c r="AX38" s="1927"/>
      <c r="AY38" s="1927"/>
      <c r="AZ38" s="1927"/>
      <c r="BA38" s="1927"/>
      <c r="BB38" s="1927"/>
      <c r="BC38" s="1927"/>
      <c r="BD38" s="1260"/>
      <c r="BE38" s="1260"/>
      <c r="BF38" s="2002" t="s">
        <v>154</v>
      </c>
      <c r="BG38" s="2002"/>
      <c r="BH38" s="2002"/>
      <c r="BI38" s="2002"/>
      <c r="BJ38" s="2002"/>
      <c r="BK38" s="2002"/>
      <c r="BL38" s="2002"/>
      <c r="BM38" s="2002"/>
      <c r="BN38" s="2002"/>
      <c r="BO38" s="2002"/>
      <c r="BP38" s="2002"/>
      <c r="BQ38" s="2002"/>
    </row>
    <row r="39" spans="1:69" x14ac:dyDescent="0.25">
      <c r="A39" s="236"/>
      <c r="B39" s="237"/>
      <c r="C39" s="236"/>
      <c r="D39" s="236"/>
      <c r="E39" s="236"/>
      <c r="F39" s="236"/>
      <c r="G39" s="1310"/>
      <c r="H39" s="1333"/>
      <c r="I39" s="1357"/>
      <c r="J39" s="236"/>
      <c r="K39" s="236"/>
      <c r="L39" s="30"/>
      <c r="M39" s="30"/>
      <c r="N39" s="1378" t="s">
        <v>111</v>
      </c>
      <c r="O39" s="1379" t="s">
        <v>93</v>
      </c>
      <c r="P39" s="1380">
        <v>10</v>
      </c>
      <c r="Q39" s="1380">
        <v>20</v>
      </c>
      <c r="R39" s="1380">
        <v>50</v>
      </c>
      <c r="S39" s="1380">
        <v>100</v>
      </c>
      <c r="T39" s="1380">
        <v>200</v>
      </c>
      <c r="U39" s="1380">
        <v>500</v>
      </c>
      <c r="V39" s="1380">
        <v>1000</v>
      </c>
      <c r="W39" s="1380">
        <v>2000</v>
      </c>
      <c r="X39" s="1380">
        <v>5000</v>
      </c>
      <c r="Y39" s="1380">
        <v>10000</v>
      </c>
      <c r="Z39" s="1380">
        <v>20000</v>
      </c>
      <c r="AA39" s="1433">
        <v>30000</v>
      </c>
      <c r="AB39" s="1979"/>
      <c r="AC39" s="1323" t="s">
        <v>93</v>
      </c>
      <c r="AD39" s="1381">
        <v>10</v>
      </c>
      <c r="AE39" s="1381">
        <v>20</v>
      </c>
      <c r="AF39" s="1381">
        <v>50</v>
      </c>
      <c r="AG39" s="1381">
        <v>100</v>
      </c>
      <c r="AH39" s="1381">
        <v>200</v>
      </c>
      <c r="AI39" s="1381">
        <v>500</v>
      </c>
      <c r="AJ39" s="1381">
        <v>1000</v>
      </c>
      <c r="AK39" s="1381">
        <v>2000</v>
      </c>
      <c r="AL39" s="1381">
        <v>5000</v>
      </c>
      <c r="AM39" s="1381">
        <v>10000</v>
      </c>
      <c r="AN39" s="1381">
        <v>20000</v>
      </c>
      <c r="AO39" s="1381">
        <v>30000</v>
      </c>
      <c r="AP39" s="1291" t="s">
        <v>111</v>
      </c>
      <c r="AQ39" s="1347" t="s">
        <v>93</v>
      </c>
      <c r="AR39" s="1296">
        <v>10</v>
      </c>
      <c r="AS39" s="1296">
        <v>20</v>
      </c>
      <c r="AT39" s="1296">
        <v>50</v>
      </c>
      <c r="AU39" s="1296">
        <v>100</v>
      </c>
      <c r="AV39" s="1296">
        <v>200</v>
      </c>
      <c r="AW39" s="1296">
        <v>500</v>
      </c>
      <c r="AX39" s="1296">
        <v>1000</v>
      </c>
      <c r="AY39" s="1296">
        <v>2000</v>
      </c>
      <c r="AZ39" s="1296">
        <v>5000</v>
      </c>
      <c r="BA39" s="1296">
        <v>10000</v>
      </c>
      <c r="BB39" s="1296">
        <v>20000</v>
      </c>
      <c r="BC39" s="1296">
        <v>30000</v>
      </c>
      <c r="BD39" s="1449" t="s">
        <v>111</v>
      </c>
      <c r="BE39" s="203" t="s">
        <v>93</v>
      </c>
      <c r="BF39" s="203">
        <v>7</v>
      </c>
      <c r="BG39" s="203">
        <v>10</v>
      </c>
      <c r="BH39" s="203">
        <v>20</v>
      </c>
      <c r="BI39" s="203">
        <v>50</v>
      </c>
      <c r="BJ39" s="203">
        <v>100</v>
      </c>
      <c r="BK39" s="203">
        <v>200</v>
      </c>
      <c r="BL39" s="203">
        <v>500</v>
      </c>
      <c r="BM39" s="203">
        <v>1000</v>
      </c>
      <c r="BN39" s="203">
        <v>2000</v>
      </c>
      <c r="BO39" s="203">
        <v>5000</v>
      </c>
      <c r="BP39" s="203">
        <v>10000</v>
      </c>
      <c r="BQ39" s="1255"/>
    </row>
    <row r="40" spans="1:69" x14ac:dyDescent="0.25">
      <c r="A40" s="236"/>
      <c r="B40" s="237"/>
      <c r="C40" s="236"/>
      <c r="D40" s="236"/>
      <c r="E40" s="236"/>
      <c r="F40" s="236"/>
      <c r="G40" s="1310"/>
      <c r="H40" s="1333"/>
      <c r="I40" s="1357"/>
      <c r="J40" s="236"/>
      <c r="K40" s="236"/>
      <c r="L40" s="30"/>
      <c r="M40" s="30"/>
      <c r="N40" s="1273" t="s">
        <v>3661</v>
      </c>
      <c r="O40" s="1379">
        <v>1</v>
      </c>
      <c r="P40" s="1382">
        <v>3.282</v>
      </c>
      <c r="Q40" s="1382">
        <v>2.7839999999999998</v>
      </c>
      <c r="R40" s="1382">
        <v>2.4860000000000002</v>
      </c>
      <c r="S40" s="1382">
        <v>1.921</v>
      </c>
      <c r="T40" s="1382">
        <v>1.796</v>
      </c>
      <c r="U40" s="1382">
        <v>1.4419999999999999</v>
      </c>
      <c r="V40" s="1382">
        <v>1.18</v>
      </c>
      <c r="W40" s="1382">
        <v>0.91200000000000003</v>
      </c>
      <c r="X40" s="1382">
        <v>0.67700000000000005</v>
      </c>
      <c r="Y40" s="1382">
        <v>0.48599999999999999</v>
      </c>
      <c r="Z40" s="1382">
        <v>0.36299999999999999</v>
      </c>
      <c r="AA40" s="1434">
        <v>0.28999999999999998</v>
      </c>
      <c r="AB40" s="1366" t="s">
        <v>112</v>
      </c>
      <c r="AC40" s="1381">
        <v>1</v>
      </c>
      <c r="AD40" s="1381">
        <v>2.524</v>
      </c>
      <c r="AE40" s="1381">
        <v>2.141</v>
      </c>
      <c r="AF40" s="1381">
        <v>1.9119999999999999</v>
      </c>
      <c r="AG40" s="1381">
        <v>1.5369999999999999</v>
      </c>
      <c r="AH40" s="1381">
        <v>1.4359999999999999</v>
      </c>
      <c r="AI40" s="1381">
        <v>1.254</v>
      </c>
      <c r="AJ40" s="1381">
        <v>1.026</v>
      </c>
      <c r="AK40" s="1381">
        <v>0.79300000000000004</v>
      </c>
      <c r="AL40" s="1381">
        <v>0.58899999999999997</v>
      </c>
      <c r="AM40" s="1381">
        <v>0.442</v>
      </c>
      <c r="AN40" s="1381">
        <v>0.33</v>
      </c>
      <c r="AO40" s="1381">
        <v>0.26400000000000001</v>
      </c>
      <c r="AP40" s="1290" t="s">
        <v>112</v>
      </c>
      <c r="AQ40" s="1296">
        <v>1</v>
      </c>
      <c r="AR40" s="1296">
        <v>2.3039999999999998</v>
      </c>
      <c r="AS40" s="1296">
        <v>2.1949999999999998</v>
      </c>
      <c r="AT40" s="1296">
        <v>1.8620000000000001</v>
      </c>
      <c r="AU40" s="1296">
        <v>1.663</v>
      </c>
      <c r="AV40" s="1296">
        <v>1.397</v>
      </c>
      <c r="AW40" s="1296">
        <v>1.3680000000000001</v>
      </c>
      <c r="AX40" s="1296">
        <v>1.254</v>
      </c>
      <c r="AY40" s="1296">
        <v>1.026</v>
      </c>
      <c r="AZ40" s="1296">
        <v>0.79300000000000004</v>
      </c>
      <c r="BA40" s="1296">
        <v>0.58899999999999997</v>
      </c>
      <c r="BB40" s="1296">
        <v>0.442</v>
      </c>
      <c r="BC40" s="1296">
        <v>0.26400000000000001</v>
      </c>
      <c r="BD40" s="1260" t="s">
        <v>112</v>
      </c>
      <c r="BE40" s="204">
        <v>1</v>
      </c>
      <c r="BF40" s="204">
        <v>6.3360000000000003</v>
      </c>
      <c r="BG40" s="204">
        <v>5.734</v>
      </c>
      <c r="BH40" s="204">
        <v>4.9000000000000004</v>
      </c>
      <c r="BI40" s="204">
        <v>4.2610000000000001</v>
      </c>
      <c r="BJ40" s="204">
        <v>3.4689999999999999</v>
      </c>
      <c r="BK40" s="204">
        <v>2.879</v>
      </c>
      <c r="BL40" s="204">
        <v>2.5129999999999999</v>
      </c>
      <c r="BM40" s="204">
        <v>1.95</v>
      </c>
      <c r="BN40" s="204">
        <v>1.73</v>
      </c>
      <c r="BO40" s="204">
        <v>1.2390000000000001</v>
      </c>
      <c r="BP40" s="204">
        <v>0.94699999999999995</v>
      </c>
      <c r="BQ40" s="1255"/>
    </row>
    <row r="41" spans="1:69" x14ac:dyDescent="0.25">
      <c r="A41" s="236"/>
      <c r="B41" s="237"/>
      <c r="C41" s="236"/>
      <c r="D41" s="236"/>
      <c r="E41" s="236"/>
      <c r="F41" s="236"/>
      <c r="G41" s="1310"/>
      <c r="H41" s="1333"/>
      <c r="I41" s="1357"/>
      <c r="J41" s="236"/>
      <c r="K41" s="236"/>
      <c r="L41" s="30"/>
      <c r="M41" s="30"/>
      <c r="N41" s="1273" t="s">
        <v>113</v>
      </c>
      <c r="O41" s="1379">
        <v>2</v>
      </c>
      <c r="P41" s="1382">
        <v>3.4529999999999998</v>
      </c>
      <c r="Q41" s="1382">
        <v>2.93</v>
      </c>
      <c r="R41" s="1382">
        <v>2.6160000000000001</v>
      </c>
      <c r="S41" s="1382">
        <v>2.0209999999999999</v>
      </c>
      <c r="T41" s="1382">
        <v>1.89</v>
      </c>
      <c r="U41" s="1382">
        <v>1.518</v>
      </c>
      <c r="V41" s="1382">
        <v>1.242</v>
      </c>
      <c r="W41" s="1382">
        <v>1.071</v>
      </c>
      <c r="X41" s="1382">
        <v>0.71299999999999997</v>
      </c>
      <c r="Y41" s="1382">
        <v>0.51200000000000001</v>
      </c>
      <c r="Z41" s="1382">
        <v>0.38200000000000001</v>
      </c>
      <c r="AA41" s="1434">
        <v>0.30499999999999999</v>
      </c>
      <c r="AB41" s="1366" t="s">
        <v>113</v>
      </c>
      <c r="AC41" s="1381">
        <v>2</v>
      </c>
      <c r="AD41" s="1381">
        <v>2.657</v>
      </c>
      <c r="AE41" s="1381">
        <v>2.254</v>
      </c>
      <c r="AF41" s="1381">
        <v>2.0129999999999999</v>
      </c>
      <c r="AG41" s="1381">
        <v>1.617</v>
      </c>
      <c r="AH41" s="1381">
        <v>1.512</v>
      </c>
      <c r="AI41" s="1381">
        <v>1.32</v>
      </c>
      <c r="AJ41" s="1381">
        <v>1.08</v>
      </c>
      <c r="AK41" s="1381">
        <v>0.93100000000000005</v>
      </c>
      <c r="AL41" s="1381">
        <v>0.62</v>
      </c>
      <c r="AM41" s="1381">
        <v>0.46500000000000002</v>
      </c>
      <c r="AN41" s="1381">
        <v>0.34699999999999998</v>
      </c>
      <c r="AO41" s="1381">
        <v>0.27800000000000002</v>
      </c>
      <c r="AP41" s="1290" t="s">
        <v>113</v>
      </c>
      <c r="AQ41" s="1296">
        <v>2</v>
      </c>
      <c r="AR41" s="1296">
        <v>2.4260000000000002</v>
      </c>
      <c r="AS41" s="1296">
        <v>2.31</v>
      </c>
      <c r="AT41" s="1296">
        <v>1.96</v>
      </c>
      <c r="AU41" s="1296">
        <v>1.75</v>
      </c>
      <c r="AV41" s="1296">
        <v>1.47</v>
      </c>
      <c r="AW41" s="1296">
        <v>1.44</v>
      </c>
      <c r="AX41" s="1296">
        <v>1.32</v>
      </c>
      <c r="AY41" s="1296">
        <v>1.08</v>
      </c>
      <c r="AZ41" s="1296">
        <v>0.93100000000000005</v>
      </c>
      <c r="BA41" s="1296">
        <v>0.62</v>
      </c>
      <c r="BB41" s="1296">
        <v>0.46500000000000002</v>
      </c>
      <c r="BC41" s="1296">
        <v>0.27800000000000002</v>
      </c>
      <c r="BD41" s="1260" t="s">
        <v>113</v>
      </c>
      <c r="BE41" s="204">
        <v>2</v>
      </c>
      <c r="BF41" s="204">
        <v>7.2409999999999997</v>
      </c>
      <c r="BG41" s="204">
        <v>6.5529999999999999</v>
      </c>
      <c r="BH41" s="204">
        <v>5.6</v>
      </c>
      <c r="BI41" s="204">
        <v>4.87</v>
      </c>
      <c r="BJ41" s="204">
        <v>3.9649999999999999</v>
      </c>
      <c r="BK41" s="204">
        <v>3.29</v>
      </c>
      <c r="BL41" s="204">
        <v>2.8719999999999999</v>
      </c>
      <c r="BM41" s="204">
        <v>2.2280000000000002</v>
      </c>
      <c r="BN41" s="204">
        <v>1.978</v>
      </c>
      <c r="BO41" s="204">
        <v>1.4159999999999999</v>
      </c>
      <c r="BP41" s="204">
        <v>1.0820000000000001</v>
      </c>
      <c r="BQ41" s="1255"/>
    </row>
    <row r="42" spans="1:69" x14ac:dyDescent="0.25">
      <c r="A42" s="236"/>
      <c r="B42" s="237"/>
      <c r="C42" s="236"/>
      <c r="D42" s="236"/>
      <c r="E42" s="236"/>
      <c r="F42" s="236"/>
      <c r="G42" s="1310"/>
      <c r="H42" s="1333"/>
      <c r="I42" s="1357"/>
      <c r="J42" s="236"/>
      <c r="K42" s="236"/>
      <c r="L42" s="30"/>
      <c r="M42" s="30"/>
      <c r="N42" s="1273" t="s">
        <v>114</v>
      </c>
      <c r="O42" s="1379">
        <v>3</v>
      </c>
      <c r="P42" s="1382">
        <v>2.9359999999999999</v>
      </c>
      <c r="Q42" s="1382">
        <v>2.4910000000000001</v>
      </c>
      <c r="R42" s="1382">
        <v>2.2250000000000001</v>
      </c>
      <c r="S42" s="1382">
        <v>1.7190000000000001</v>
      </c>
      <c r="T42" s="1382">
        <v>1.607</v>
      </c>
      <c r="U42" s="1382">
        <v>1.29</v>
      </c>
      <c r="V42" s="1382">
        <v>1.056</v>
      </c>
      <c r="W42" s="1382">
        <v>0.91</v>
      </c>
      <c r="X42" s="1382">
        <v>0.60599999999999998</v>
      </c>
      <c r="Y42" s="1382">
        <v>0.435</v>
      </c>
      <c r="Z42" s="1382">
        <v>0.32500000000000001</v>
      </c>
      <c r="AA42" s="1434">
        <v>0.26</v>
      </c>
      <c r="AB42" s="1366" t="s">
        <v>114</v>
      </c>
      <c r="AC42" s="1381">
        <v>3</v>
      </c>
      <c r="AD42" s="1381">
        <v>2.2589999999999999</v>
      </c>
      <c r="AE42" s="1381">
        <v>1.9159999999999999</v>
      </c>
      <c r="AF42" s="1381">
        <v>1.7110000000000001</v>
      </c>
      <c r="AG42" s="1381">
        <v>1.375</v>
      </c>
      <c r="AH42" s="1381">
        <v>1.2849999999999999</v>
      </c>
      <c r="AI42" s="1381">
        <v>1.1220000000000001</v>
      </c>
      <c r="AJ42" s="1381">
        <v>0.91800000000000004</v>
      </c>
      <c r="AK42" s="1381">
        <v>0.79100000000000004</v>
      </c>
      <c r="AL42" s="1381">
        <v>0.52700000000000002</v>
      </c>
      <c r="AM42" s="1381">
        <v>0.39500000000000002</v>
      </c>
      <c r="AN42" s="1381">
        <v>0.29499999999999998</v>
      </c>
      <c r="AO42" s="1381">
        <v>0.23599999999999999</v>
      </c>
      <c r="AP42" s="1290" t="s">
        <v>114</v>
      </c>
      <c r="AQ42" s="1296">
        <v>3</v>
      </c>
      <c r="AR42" s="1296">
        <v>2.0619999999999998</v>
      </c>
      <c r="AS42" s="1296">
        <v>1.964</v>
      </c>
      <c r="AT42" s="1296">
        <v>1.6659999999999999</v>
      </c>
      <c r="AU42" s="1296">
        <v>1.488</v>
      </c>
      <c r="AV42" s="1296">
        <v>1.25</v>
      </c>
      <c r="AW42" s="1296">
        <v>1.224</v>
      </c>
      <c r="AX42" s="1296">
        <v>1.1220000000000001</v>
      </c>
      <c r="AY42" s="1296">
        <v>0.91800000000000004</v>
      </c>
      <c r="AZ42" s="1296">
        <v>0.79100000000000004</v>
      </c>
      <c r="BA42" s="1296">
        <v>0.52700000000000002</v>
      </c>
      <c r="BB42" s="1296">
        <v>0.39500000000000002</v>
      </c>
      <c r="BC42" s="1296">
        <v>0.23599999999999999</v>
      </c>
      <c r="BD42" s="1260" t="s">
        <v>114</v>
      </c>
      <c r="BE42" s="204">
        <v>3</v>
      </c>
      <c r="BF42" s="204">
        <v>6.9390000000000001</v>
      </c>
      <c r="BG42" s="204">
        <v>6.28</v>
      </c>
      <c r="BH42" s="204">
        <v>5.367</v>
      </c>
      <c r="BI42" s="204">
        <v>4.6669999999999998</v>
      </c>
      <c r="BJ42" s="204">
        <v>3.8</v>
      </c>
      <c r="BK42" s="204">
        <v>3.153</v>
      </c>
      <c r="BL42" s="204">
        <v>2.7519999999999998</v>
      </c>
      <c r="BM42" s="204">
        <v>2.1360000000000001</v>
      </c>
      <c r="BN42" s="204">
        <v>1.895</v>
      </c>
      <c r="BO42" s="204">
        <v>1.357</v>
      </c>
      <c r="BP42" s="204">
        <v>1.0369999999999999</v>
      </c>
      <c r="BQ42" s="1255"/>
    </row>
    <row r="43" spans="1:69" x14ac:dyDescent="0.25">
      <c r="A43" s="236"/>
      <c r="B43" s="82"/>
      <c r="C43" s="236"/>
      <c r="D43" s="236"/>
      <c r="E43" s="236"/>
      <c r="F43" s="236"/>
      <c r="G43" s="1310"/>
      <c r="H43" s="1333"/>
      <c r="I43" s="1357"/>
      <c r="J43" s="236"/>
      <c r="K43" s="236"/>
      <c r="L43" s="30"/>
      <c r="M43" s="30"/>
      <c r="N43" s="1273" t="s">
        <v>697</v>
      </c>
      <c r="O43" s="1379">
        <v>4</v>
      </c>
      <c r="P43" s="1382">
        <v>3.1080000000000001</v>
      </c>
      <c r="Q43" s="1382">
        <v>2.637</v>
      </c>
      <c r="R43" s="1382">
        <v>2.355</v>
      </c>
      <c r="S43" s="1382">
        <v>1.819</v>
      </c>
      <c r="T43" s="1382">
        <v>1.7010000000000001</v>
      </c>
      <c r="U43" s="1382">
        <v>1.3660000000000001</v>
      </c>
      <c r="V43" s="1382">
        <v>1.1180000000000001</v>
      </c>
      <c r="W43" s="1382">
        <v>0.96399999999999997</v>
      </c>
      <c r="X43" s="1382">
        <v>0.64200000000000002</v>
      </c>
      <c r="Y43" s="1382">
        <v>0.46100000000000002</v>
      </c>
      <c r="Z43" s="1382">
        <v>0.34399999999999997</v>
      </c>
      <c r="AA43" s="1434">
        <v>0.27500000000000002</v>
      </c>
      <c r="AB43" s="1366" t="s">
        <v>115</v>
      </c>
      <c r="AC43" s="1381">
        <v>4</v>
      </c>
      <c r="AD43" s="1381">
        <v>2.391</v>
      </c>
      <c r="AE43" s="1381">
        <v>2.0289999999999999</v>
      </c>
      <c r="AF43" s="1381">
        <v>1.8109999999999999</v>
      </c>
      <c r="AG43" s="1381">
        <v>1.4550000000000001</v>
      </c>
      <c r="AH43" s="1381">
        <v>1.361</v>
      </c>
      <c r="AI43" s="1381">
        <v>1.1879999999999999</v>
      </c>
      <c r="AJ43" s="1381">
        <v>0.97199999999999998</v>
      </c>
      <c r="AK43" s="1381">
        <v>0.83799999999999997</v>
      </c>
      <c r="AL43" s="1381">
        <v>0.55800000000000005</v>
      </c>
      <c r="AM43" s="1381">
        <v>0.41899999999999998</v>
      </c>
      <c r="AN43" s="1381">
        <v>0.313</v>
      </c>
      <c r="AO43" s="1381">
        <v>0.25</v>
      </c>
      <c r="AP43" s="1290" t="s">
        <v>115</v>
      </c>
      <c r="AQ43" s="1296">
        <v>4</v>
      </c>
      <c r="AR43" s="1296">
        <v>2.1829999999999998</v>
      </c>
      <c r="AS43" s="1296">
        <v>2.0790000000000002</v>
      </c>
      <c r="AT43" s="1296">
        <v>1.764</v>
      </c>
      <c r="AU43" s="1296">
        <v>1.575</v>
      </c>
      <c r="AV43" s="1296">
        <v>1.323</v>
      </c>
      <c r="AW43" s="1296">
        <v>1.296</v>
      </c>
      <c r="AX43" s="1296">
        <v>1.1879999999999999</v>
      </c>
      <c r="AY43" s="1296">
        <v>0.97199999999999998</v>
      </c>
      <c r="AZ43" s="1296">
        <v>0.83799999999999997</v>
      </c>
      <c r="BA43" s="1296">
        <v>0.55800000000000005</v>
      </c>
      <c r="BB43" s="1296">
        <v>0.41899999999999998</v>
      </c>
      <c r="BC43" s="1296">
        <v>0.25</v>
      </c>
      <c r="BD43" s="1260" t="s">
        <v>115</v>
      </c>
      <c r="BE43" s="204">
        <v>4</v>
      </c>
      <c r="BF43" s="204">
        <v>6.6369999999999996</v>
      </c>
      <c r="BG43" s="204">
        <v>6.0069999999999997</v>
      </c>
      <c r="BH43" s="204">
        <v>5.1340000000000003</v>
      </c>
      <c r="BI43" s="204">
        <v>4.4640000000000004</v>
      </c>
      <c r="BJ43" s="204">
        <v>3.6339999999999999</v>
      </c>
      <c r="BK43" s="204">
        <v>3.016</v>
      </c>
      <c r="BL43" s="204">
        <v>2.6320000000000001</v>
      </c>
      <c r="BM43" s="204">
        <v>2.0430000000000001</v>
      </c>
      <c r="BN43" s="204">
        <v>1.8129999999999999</v>
      </c>
      <c r="BO43" s="204">
        <v>1.298</v>
      </c>
      <c r="BP43" s="204">
        <v>0.99199999999999999</v>
      </c>
      <c r="BQ43" s="1255"/>
    </row>
    <row r="44" spans="1:69" x14ac:dyDescent="0.25">
      <c r="A44" s="236"/>
      <c r="B44" s="237"/>
      <c r="C44" s="236"/>
      <c r="D44" s="236"/>
      <c r="E44" s="236"/>
      <c r="F44" s="236"/>
      <c r="G44" s="1310"/>
      <c r="H44" s="1333"/>
      <c r="I44" s="1357"/>
      <c r="J44" s="236"/>
      <c r="K44" s="236"/>
      <c r="L44" s="30"/>
      <c r="M44" s="30"/>
      <c r="N44" s="1273" t="s">
        <v>116</v>
      </c>
      <c r="O44" s="1379">
        <v>5</v>
      </c>
      <c r="P44" s="1382">
        <v>2.7629999999999999</v>
      </c>
      <c r="Q44" s="1382">
        <v>2.3439999999999999</v>
      </c>
      <c r="R44" s="1382">
        <v>2.093</v>
      </c>
      <c r="S44" s="1382">
        <v>1.5169999999999999</v>
      </c>
      <c r="T44" s="1382">
        <v>1.486</v>
      </c>
      <c r="U44" s="1382">
        <v>1.214</v>
      </c>
      <c r="V44" s="1382">
        <v>1.02</v>
      </c>
      <c r="W44" s="1382">
        <v>0.85599999999999998</v>
      </c>
      <c r="X44" s="1382">
        <v>0.56999999999999995</v>
      </c>
      <c r="Y44" s="1382">
        <v>0.40899999999999997</v>
      </c>
      <c r="Z44" s="1382">
        <v>0.30599999999999999</v>
      </c>
      <c r="AA44" s="1434">
        <v>0.245</v>
      </c>
      <c r="AB44" s="1366" t="s">
        <v>116</v>
      </c>
      <c r="AC44" s="1381">
        <v>5</v>
      </c>
      <c r="AD44" s="1381">
        <v>2.125</v>
      </c>
      <c r="AE44" s="1381">
        <v>1.8029999999999999</v>
      </c>
      <c r="AF44" s="1381">
        <v>1.61</v>
      </c>
      <c r="AG44" s="1381">
        <v>1.294</v>
      </c>
      <c r="AH44" s="1381">
        <v>1.21</v>
      </c>
      <c r="AI44" s="1381">
        <v>1.056</v>
      </c>
      <c r="AJ44" s="1381">
        <v>0.86399999999999999</v>
      </c>
      <c r="AK44" s="1381">
        <v>0.74399999999999999</v>
      </c>
      <c r="AL44" s="1381">
        <v>0.496</v>
      </c>
      <c r="AM44" s="1381">
        <v>0.372</v>
      </c>
      <c r="AN44" s="1381">
        <v>0.27800000000000002</v>
      </c>
      <c r="AO44" s="1381">
        <v>0.222</v>
      </c>
      <c r="AP44" s="1290" t="s">
        <v>116</v>
      </c>
      <c r="AQ44" s="1296">
        <v>5</v>
      </c>
      <c r="AR44" s="1296">
        <v>1.94</v>
      </c>
      <c r="AS44" s="1296">
        <v>1.8480000000000001</v>
      </c>
      <c r="AT44" s="1296">
        <v>1.5680000000000001</v>
      </c>
      <c r="AU44" s="1296">
        <v>1.4</v>
      </c>
      <c r="AV44" s="1296">
        <v>1.1759999999999999</v>
      </c>
      <c r="AW44" s="1296">
        <v>1.1519999999999999</v>
      </c>
      <c r="AX44" s="1296">
        <v>1.056</v>
      </c>
      <c r="AY44" s="1296">
        <v>0.86399999999999999</v>
      </c>
      <c r="AZ44" s="1296">
        <v>0.74399999999999999</v>
      </c>
      <c r="BA44" s="1296">
        <v>0.496</v>
      </c>
      <c r="BB44" s="1296">
        <v>0.372</v>
      </c>
      <c r="BC44" s="1296">
        <v>0.222</v>
      </c>
      <c r="BD44" s="1260" t="s">
        <v>116</v>
      </c>
      <c r="BE44" s="204">
        <v>5</v>
      </c>
      <c r="BF44" s="204">
        <v>6.0339999999999998</v>
      </c>
      <c r="BG44" s="204">
        <v>5.4610000000000003</v>
      </c>
      <c r="BH44" s="204">
        <v>4.6669999999999998</v>
      </c>
      <c r="BI44" s="204">
        <v>4.0579999999999998</v>
      </c>
      <c r="BJ44" s="204">
        <v>3.3039999999999998</v>
      </c>
      <c r="BK44" s="204">
        <v>2.742</v>
      </c>
      <c r="BL44" s="204">
        <v>2.3929999999999998</v>
      </c>
      <c r="BM44" s="204">
        <v>1.857</v>
      </c>
      <c r="BN44" s="204">
        <v>1.6479999999999999</v>
      </c>
      <c r="BO44" s="204">
        <v>1.18</v>
      </c>
      <c r="BP44" s="204">
        <v>0.90200000000000002</v>
      </c>
      <c r="BQ44" s="1255"/>
    </row>
    <row r="45" spans="1:69" x14ac:dyDescent="0.25">
      <c r="A45" s="236"/>
      <c r="B45" s="82"/>
      <c r="C45" s="236"/>
      <c r="D45" s="236"/>
      <c r="E45" s="236"/>
      <c r="F45" s="236"/>
      <c r="G45" s="1310"/>
      <c r="H45" s="1333"/>
      <c r="I45" s="1357"/>
      <c r="J45" s="236"/>
      <c r="K45" s="236"/>
      <c r="L45" s="30"/>
      <c r="M45" s="30"/>
      <c r="N45" s="1271"/>
      <c r="O45" s="1271"/>
      <c r="P45" s="1271"/>
      <c r="Q45" s="1271"/>
      <c r="R45" s="1272"/>
      <c r="S45" s="1272"/>
      <c r="T45" s="1272"/>
      <c r="U45" s="1272"/>
      <c r="V45" s="1272"/>
      <c r="W45" s="1272"/>
      <c r="X45" s="1272"/>
      <c r="Y45" s="1272"/>
      <c r="Z45" s="1272"/>
      <c r="AA45" s="1272"/>
      <c r="AB45" s="1284" t="s">
        <v>155</v>
      </c>
      <c r="AC45" s="1284"/>
      <c r="AD45" s="1284"/>
      <c r="AE45" s="1284"/>
      <c r="AF45" s="1285"/>
      <c r="AG45" s="1285"/>
      <c r="AH45" s="1285"/>
      <c r="AI45" s="1285"/>
      <c r="AJ45" s="1285"/>
      <c r="AK45" s="1285"/>
      <c r="AL45" s="1285"/>
      <c r="AM45" s="1285"/>
      <c r="AN45" s="1285"/>
      <c r="AO45" s="1285"/>
      <c r="AP45" s="1294" t="s">
        <v>155</v>
      </c>
      <c r="AQ45" s="1294"/>
      <c r="AR45" s="1294"/>
      <c r="AS45" s="1294"/>
      <c r="AT45" s="1295"/>
      <c r="AU45" s="1295"/>
      <c r="AV45" s="1295"/>
      <c r="AW45" s="1295"/>
      <c r="AX45" s="1295"/>
      <c r="AY45" s="1295"/>
      <c r="AZ45" s="1295"/>
      <c r="BA45" s="1295"/>
      <c r="BB45" s="1295"/>
      <c r="BC45" s="1295"/>
      <c r="BD45" s="1250" t="s">
        <v>156</v>
      </c>
      <c r="BE45" s="1250"/>
      <c r="BF45" s="1250"/>
      <c r="BG45" s="1250"/>
      <c r="BH45" s="1251"/>
      <c r="BI45" s="1251"/>
      <c r="BJ45" s="1251"/>
      <c r="BK45" s="1251"/>
      <c r="BL45" s="1251"/>
      <c r="BM45" s="1251"/>
      <c r="BN45" s="1251"/>
      <c r="BO45" s="1251"/>
      <c r="BP45" s="1251"/>
      <c r="BQ45" s="1251"/>
    </row>
    <row r="46" spans="1:69" x14ac:dyDescent="0.25">
      <c r="A46" s="236"/>
      <c r="B46" s="82"/>
      <c r="C46" s="236"/>
      <c r="D46" s="236"/>
      <c r="E46" s="236"/>
      <c r="F46" s="236"/>
      <c r="G46" s="1310"/>
      <c r="H46" s="1333"/>
      <c r="I46" s="1357"/>
      <c r="J46" s="236"/>
      <c r="K46" s="236"/>
      <c r="L46" s="30"/>
      <c r="M46" s="30"/>
      <c r="N46" s="1265"/>
      <c r="O46" s="1265"/>
      <c r="P46" s="1991"/>
      <c r="Q46" s="1991"/>
      <c r="R46" s="1991"/>
      <c r="S46" s="1991"/>
      <c r="T46" s="1991"/>
      <c r="U46" s="1991"/>
      <c r="V46" s="1991"/>
      <c r="W46" s="1991"/>
      <c r="X46" s="1991"/>
      <c r="Y46" s="1991"/>
      <c r="Z46" s="1991"/>
      <c r="AA46" s="1991"/>
      <c r="AB46" s="1978" t="s">
        <v>111</v>
      </c>
      <c r="AC46" s="1366"/>
      <c r="AD46" s="1926" t="s">
        <v>157</v>
      </c>
      <c r="AE46" s="1926"/>
      <c r="AF46" s="1926"/>
      <c r="AG46" s="1926"/>
      <c r="AH46" s="1926"/>
      <c r="AI46" s="1926"/>
      <c r="AJ46" s="1926"/>
      <c r="AK46" s="1926"/>
      <c r="AL46" s="1926"/>
      <c r="AM46" s="1926"/>
      <c r="AN46" s="1926"/>
      <c r="AO46" s="1926"/>
      <c r="AP46" s="1290"/>
      <c r="AQ46" s="1290"/>
      <c r="AR46" s="2006" t="s">
        <v>157</v>
      </c>
      <c r="AS46" s="2006"/>
      <c r="AT46" s="2006"/>
      <c r="AU46" s="2006"/>
      <c r="AV46" s="2006"/>
      <c r="AW46" s="2006"/>
      <c r="AX46" s="2006"/>
      <c r="AY46" s="2006"/>
      <c r="AZ46" s="2006"/>
      <c r="BA46" s="2006"/>
      <c r="BB46" s="2006"/>
      <c r="BC46" s="2006"/>
      <c r="BD46" s="1246"/>
      <c r="BE46" s="1246"/>
      <c r="BF46" s="2003" t="s">
        <v>157</v>
      </c>
      <c r="BG46" s="2003"/>
      <c r="BH46" s="2003"/>
      <c r="BI46" s="2003"/>
      <c r="BJ46" s="2003"/>
      <c r="BK46" s="2003"/>
      <c r="BL46" s="2003"/>
      <c r="BM46" s="2003"/>
      <c r="BN46" s="2003"/>
      <c r="BO46" s="2003"/>
      <c r="BP46" s="2003"/>
      <c r="BQ46" s="2003"/>
    </row>
    <row r="47" spans="1:69" x14ac:dyDescent="0.25">
      <c r="A47" s="236"/>
      <c r="B47" s="82"/>
      <c r="C47" s="236"/>
      <c r="D47" s="236"/>
      <c r="E47" s="236"/>
      <c r="F47" s="236"/>
      <c r="G47" s="1310"/>
      <c r="H47" s="1333"/>
      <c r="I47" s="1357"/>
      <c r="J47" s="236"/>
      <c r="K47" s="236"/>
      <c r="L47" s="30"/>
      <c r="M47" s="30"/>
      <c r="N47" s="1266"/>
      <c r="O47" s="1369"/>
      <c r="P47" s="1376"/>
      <c r="Q47" s="1376"/>
      <c r="R47" s="1376"/>
      <c r="S47" s="1376"/>
      <c r="T47" s="1376"/>
      <c r="U47" s="1376"/>
      <c r="V47" s="1376"/>
      <c r="W47" s="1376"/>
      <c r="X47" s="1376"/>
      <c r="Y47" s="1376"/>
      <c r="Z47" s="1376"/>
      <c r="AA47" s="1376"/>
      <c r="AB47" s="1979"/>
      <c r="AC47" s="1323" t="s">
        <v>93</v>
      </c>
      <c r="AD47" s="1381">
        <v>15</v>
      </c>
      <c r="AE47" s="1381">
        <v>20</v>
      </c>
      <c r="AF47" s="1381">
        <v>50</v>
      </c>
      <c r="AG47" s="1381">
        <v>100</v>
      </c>
      <c r="AH47" s="1381">
        <v>200</v>
      </c>
      <c r="AI47" s="1381">
        <v>500</v>
      </c>
      <c r="AJ47" s="1381">
        <v>1000</v>
      </c>
      <c r="AK47" s="1381">
        <v>2000</v>
      </c>
      <c r="AL47" s="1381">
        <v>5000</v>
      </c>
      <c r="AM47" s="1381">
        <v>10000</v>
      </c>
      <c r="AN47" s="1381">
        <v>20000</v>
      </c>
      <c r="AO47" s="1381">
        <v>30000</v>
      </c>
      <c r="AP47" s="1291" t="s">
        <v>111</v>
      </c>
      <c r="AQ47" s="1347" t="s">
        <v>93</v>
      </c>
      <c r="AR47" s="1347">
        <v>7</v>
      </c>
      <c r="AS47" s="1347">
        <v>10</v>
      </c>
      <c r="AT47" s="1347">
        <v>20</v>
      </c>
      <c r="AU47" s="1347">
        <v>50</v>
      </c>
      <c r="AV47" s="1347">
        <v>100</v>
      </c>
      <c r="AW47" s="1347">
        <v>200</v>
      </c>
      <c r="AX47" s="1347">
        <v>500</v>
      </c>
      <c r="AY47" s="1347">
        <v>1000</v>
      </c>
      <c r="AZ47" s="1347">
        <v>2000</v>
      </c>
      <c r="BA47" s="1347">
        <v>5000</v>
      </c>
      <c r="BB47" s="1347">
        <v>10000</v>
      </c>
      <c r="BC47" s="1296">
        <v>30000</v>
      </c>
      <c r="BD47" s="1449" t="s">
        <v>111</v>
      </c>
      <c r="BE47" s="203" t="s">
        <v>93</v>
      </c>
      <c r="BF47" s="204">
        <v>7</v>
      </c>
      <c r="BG47" s="204">
        <v>10</v>
      </c>
      <c r="BH47" s="204">
        <v>20</v>
      </c>
      <c r="BI47" s="204">
        <v>50</v>
      </c>
      <c r="BJ47" s="204">
        <v>100</v>
      </c>
      <c r="BK47" s="204">
        <v>200</v>
      </c>
      <c r="BL47" s="204">
        <v>500</v>
      </c>
      <c r="BM47" s="204">
        <v>1000</v>
      </c>
      <c r="BN47" s="204">
        <v>2000</v>
      </c>
      <c r="BO47" s="204">
        <v>5000</v>
      </c>
      <c r="BP47" s="1255">
        <v>10000</v>
      </c>
      <c r="BQ47" s="1253"/>
    </row>
    <row r="48" spans="1:69" x14ac:dyDescent="0.25">
      <c r="A48" s="236"/>
      <c r="B48" s="82"/>
      <c r="C48" s="236"/>
      <c r="D48" s="236"/>
      <c r="E48" s="236"/>
      <c r="F48" s="236"/>
      <c r="G48" s="1310"/>
      <c r="H48" s="1333"/>
      <c r="I48" s="1357"/>
      <c r="J48" s="236"/>
      <c r="K48" s="236"/>
      <c r="L48" s="30"/>
      <c r="M48" s="30"/>
      <c r="N48" s="1265"/>
      <c r="O48" s="1376"/>
      <c r="P48" s="1376"/>
      <c r="Q48" s="1376"/>
      <c r="R48" s="1376"/>
      <c r="S48" s="1376"/>
      <c r="T48" s="1376"/>
      <c r="U48" s="1376"/>
      <c r="V48" s="1376"/>
      <c r="W48" s="1376"/>
      <c r="X48" s="1376"/>
      <c r="Y48" s="1376"/>
      <c r="Z48" s="1376"/>
      <c r="AA48" s="1376"/>
      <c r="AB48" s="1366" t="s">
        <v>112</v>
      </c>
      <c r="AC48" s="1381">
        <v>1</v>
      </c>
      <c r="AD48" s="1381">
        <v>0.65500000000000003</v>
      </c>
      <c r="AE48" s="1381">
        <v>0.53800000000000003</v>
      </c>
      <c r="AF48" s="1381">
        <v>0.442</v>
      </c>
      <c r="AG48" s="1381">
        <v>0.314</v>
      </c>
      <c r="AH48" s="1381">
        <v>0.23699999999999999</v>
      </c>
      <c r="AI48" s="1381">
        <v>0.191</v>
      </c>
      <c r="AJ48" s="1381">
        <v>0.16400000000000001</v>
      </c>
      <c r="AK48" s="1381">
        <v>0.13900000000000001</v>
      </c>
      <c r="AL48" s="1381">
        <v>0.111</v>
      </c>
      <c r="AM48" s="1381">
        <v>8.8999999999999996E-2</v>
      </c>
      <c r="AN48" s="1381">
        <v>7.0000000000000007E-2</v>
      </c>
      <c r="AO48" s="1381">
        <v>5.7000000000000002E-2</v>
      </c>
      <c r="AP48" s="1290" t="s">
        <v>112</v>
      </c>
      <c r="AQ48" s="1296">
        <v>1</v>
      </c>
      <c r="AR48" s="1296">
        <v>0.68200000000000005</v>
      </c>
      <c r="AS48" s="1296">
        <v>0.54600000000000004</v>
      </c>
      <c r="AT48" s="1296">
        <v>0.44800000000000001</v>
      </c>
      <c r="AU48" s="1296">
        <v>0.36799999999999999</v>
      </c>
      <c r="AV48" s="1296">
        <v>0.27300000000000002</v>
      </c>
      <c r="AW48" s="1296">
        <v>0.215</v>
      </c>
      <c r="AX48" s="1296">
        <v>0.191</v>
      </c>
      <c r="AY48" s="1296">
        <v>0.16400000000000001</v>
      </c>
      <c r="AZ48" s="1296">
        <v>0.13900000000000001</v>
      </c>
      <c r="BA48" s="1296">
        <v>0.111</v>
      </c>
      <c r="BB48" s="1296">
        <v>8.8999999999999996E-2</v>
      </c>
      <c r="BC48" s="1296">
        <v>5.7000000000000002E-2</v>
      </c>
      <c r="BD48" s="1260" t="s">
        <v>112</v>
      </c>
      <c r="BE48" s="204">
        <v>1</v>
      </c>
      <c r="BF48" s="204">
        <v>0.68200000000000005</v>
      </c>
      <c r="BG48" s="204">
        <v>0.54600000000000004</v>
      </c>
      <c r="BH48" s="204">
        <v>0.44800000000000001</v>
      </c>
      <c r="BI48" s="204">
        <v>0.36799999999999999</v>
      </c>
      <c r="BJ48" s="204">
        <v>0.27300000000000002</v>
      </c>
      <c r="BK48" s="204">
        <v>0.215</v>
      </c>
      <c r="BL48" s="204">
        <v>0.191</v>
      </c>
      <c r="BM48" s="204">
        <v>0.16400000000000001</v>
      </c>
      <c r="BN48" s="204">
        <v>0.13900000000000001</v>
      </c>
      <c r="BO48" s="204">
        <v>0.111</v>
      </c>
      <c r="BP48" s="1255">
        <v>8.8999999999999996E-2</v>
      </c>
      <c r="BQ48" s="1253"/>
    </row>
    <row r="49" spans="1:69" x14ac:dyDescent="0.25">
      <c r="A49" s="236"/>
      <c r="B49" s="82"/>
      <c r="C49" s="236"/>
      <c r="D49" s="236"/>
      <c r="E49" s="236"/>
      <c r="F49" s="236"/>
      <c r="G49" s="1310"/>
      <c r="H49" s="1333"/>
      <c r="I49" s="1357"/>
      <c r="J49" s="236"/>
      <c r="K49" s="236"/>
      <c r="L49" s="30"/>
      <c r="M49" s="30"/>
      <c r="N49" s="1265"/>
      <c r="O49" s="1376"/>
      <c r="P49" s="1376"/>
      <c r="Q49" s="1376"/>
      <c r="R49" s="1376"/>
      <c r="S49" s="1376"/>
      <c r="T49" s="1376"/>
      <c r="U49" s="1376"/>
      <c r="V49" s="1376"/>
      <c r="W49" s="1376"/>
      <c r="X49" s="1376"/>
      <c r="Y49" s="1376"/>
      <c r="Z49" s="1376"/>
      <c r="AA49" s="1376"/>
      <c r="AB49" s="1366" t="s">
        <v>113</v>
      </c>
      <c r="AC49" s="1381">
        <v>2</v>
      </c>
      <c r="AD49" s="1381">
        <v>0.93400000000000005</v>
      </c>
      <c r="AE49" s="1381">
        <v>0.79400000000000004</v>
      </c>
      <c r="AF49" s="1381">
        <v>0.63</v>
      </c>
      <c r="AG49" s="1381">
        <v>0.46700000000000003</v>
      </c>
      <c r="AH49" s="1381">
        <v>0.36799999999999999</v>
      </c>
      <c r="AI49" s="1381">
        <v>0.34499999999999997</v>
      </c>
      <c r="AJ49" s="1381">
        <v>0.29899999999999999</v>
      </c>
      <c r="AK49" s="1381">
        <v>0.24199999999999999</v>
      </c>
      <c r="AL49" s="1381">
        <v>0.20699999999999999</v>
      </c>
      <c r="AM49" s="1381">
        <v>0.14499999999999999</v>
      </c>
      <c r="AN49" s="1381">
        <v>0.104</v>
      </c>
      <c r="AO49" s="1381">
        <v>7.3999999999999996E-2</v>
      </c>
      <c r="AP49" s="1290" t="s">
        <v>113</v>
      </c>
      <c r="AQ49" s="1296">
        <v>2</v>
      </c>
      <c r="AR49" s="1296">
        <v>1.167</v>
      </c>
      <c r="AS49" s="1296">
        <v>0.93400000000000005</v>
      </c>
      <c r="AT49" s="1296">
        <v>0.79400000000000004</v>
      </c>
      <c r="AU49" s="1296">
        <v>0.63</v>
      </c>
      <c r="AV49" s="1296">
        <v>0.46700000000000003</v>
      </c>
      <c r="AW49" s="1296">
        <v>0.36799999999999999</v>
      </c>
      <c r="AX49" s="1296">
        <v>0.34499999999999997</v>
      </c>
      <c r="AY49" s="1296">
        <v>0.29899999999999999</v>
      </c>
      <c r="AZ49" s="1296">
        <v>0.24199999999999999</v>
      </c>
      <c r="BA49" s="1296">
        <v>0.20699999999999999</v>
      </c>
      <c r="BB49" s="1296">
        <v>0.14499999999999999</v>
      </c>
      <c r="BC49" s="1296">
        <v>7.3999999999999996E-2</v>
      </c>
      <c r="BD49" s="1260" t="s">
        <v>113</v>
      </c>
      <c r="BE49" s="204">
        <v>2</v>
      </c>
      <c r="BF49" s="204">
        <v>1.167</v>
      </c>
      <c r="BG49" s="204">
        <v>0.93400000000000005</v>
      </c>
      <c r="BH49" s="204">
        <v>0.79400000000000004</v>
      </c>
      <c r="BI49" s="204">
        <v>0.63</v>
      </c>
      <c r="BJ49" s="204">
        <v>0.46700000000000003</v>
      </c>
      <c r="BK49" s="204">
        <v>0.36799999999999999</v>
      </c>
      <c r="BL49" s="204">
        <v>0.34499999999999997</v>
      </c>
      <c r="BM49" s="204">
        <v>0.29899999999999999</v>
      </c>
      <c r="BN49" s="204">
        <v>0.24199999999999999</v>
      </c>
      <c r="BO49" s="204">
        <v>0.20699999999999999</v>
      </c>
      <c r="BP49" s="1255">
        <v>0.14499999999999999</v>
      </c>
      <c r="BQ49" s="1253"/>
    </row>
    <row r="50" spans="1:69" x14ac:dyDescent="0.25">
      <c r="A50" s="236"/>
      <c r="B50" s="82"/>
      <c r="C50" s="236"/>
      <c r="D50" s="236"/>
      <c r="E50" s="236"/>
      <c r="F50" s="236"/>
      <c r="G50" s="1310"/>
      <c r="H50" s="1333"/>
      <c r="I50" s="1357"/>
      <c r="J50" s="236"/>
      <c r="K50" s="236"/>
      <c r="L50" s="30"/>
      <c r="M50" s="30"/>
      <c r="N50" s="1265"/>
      <c r="O50" s="1376"/>
      <c r="P50" s="1376"/>
      <c r="Q50" s="1376"/>
      <c r="R50" s="1376"/>
      <c r="S50" s="1376"/>
      <c r="T50" s="1376"/>
      <c r="U50" s="1376"/>
      <c r="V50" s="1376"/>
      <c r="W50" s="1376"/>
      <c r="X50" s="1376"/>
      <c r="Y50" s="1376"/>
      <c r="Z50" s="1376"/>
      <c r="AA50" s="1376"/>
      <c r="AB50" s="1366" t="s">
        <v>114</v>
      </c>
      <c r="AC50" s="1381">
        <v>3</v>
      </c>
      <c r="AD50" s="1381">
        <v>0.49199999999999999</v>
      </c>
      <c r="AE50" s="1381">
        <v>0.44900000000000001</v>
      </c>
      <c r="AF50" s="1381">
        <v>0.35799999999999998</v>
      </c>
      <c r="AG50" s="1381">
        <v>0.28100000000000003</v>
      </c>
      <c r="AH50" s="1381">
        <v>0.19400000000000001</v>
      </c>
      <c r="AI50" s="1381">
        <v>0.15</v>
      </c>
      <c r="AJ50" s="1381">
        <v>0.13100000000000001</v>
      </c>
      <c r="AK50" s="1381">
        <v>0.112</v>
      </c>
      <c r="AL50" s="1381">
        <v>8.8999999999999996E-2</v>
      </c>
      <c r="AM50" s="1381">
        <v>7.1999999999999995E-2</v>
      </c>
      <c r="AN50" s="1381">
        <v>5.8000000000000003E-2</v>
      </c>
      <c r="AO50" s="1381">
        <v>4.7E-2</v>
      </c>
      <c r="AP50" s="1290" t="s">
        <v>114</v>
      </c>
      <c r="AQ50" s="1296">
        <v>3</v>
      </c>
      <c r="AR50" s="1296">
        <v>0.56000000000000005</v>
      </c>
      <c r="AS50" s="1296">
        <v>0.41</v>
      </c>
      <c r="AT50" s="1296">
        <v>0.374</v>
      </c>
      <c r="AU50" s="1296">
        <v>0.29799999999999999</v>
      </c>
      <c r="AV50" s="1296">
        <v>0.24399999999999999</v>
      </c>
      <c r="AW50" s="1296">
        <v>0.17599999999999999</v>
      </c>
      <c r="AX50" s="1296">
        <v>0.15</v>
      </c>
      <c r="AY50" s="1296">
        <v>0.13100000000000001</v>
      </c>
      <c r="AZ50" s="1296">
        <v>0.112</v>
      </c>
      <c r="BA50" s="1296">
        <v>8.8999999999999996E-2</v>
      </c>
      <c r="BB50" s="1296">
        <v>7.1999999999999995E-2</v>
      </c>
      <c r="BC50" s="1296">
        <v>4.7E-2</v>
      </c>
      <c r="BD50" s="1260" t="s">
        <v>114</v>
      </c>
      <c r="BE50" s="204">
        <v>3</v>
      </c>
      <c r="BF50" s="204">
        <v>0.56000000000000005</v>
      </c>
      <c r="BG50" s="204">
        <v>0.41</v>
      </c>
      <c r="BH50" s="204">
        <v>0.374</v>
      </c>
      <c r="BI50" s="204">
        <v>0.29799999999999999</v>
      </c>
      <c r="BJ50" s="204">
        <v>0.24399999999999999</v>
      </c>
      <c r="BK50" s="204">
        <v>0.17599999999999999</v>
      </c>
      <c r="BL50" s="204">
        <v>0.15</v>
      </c>
      <c r="BM50" s="204">
        <v>0.13100000000000001</v>
      </c>
      <c r="BN50" s="204">
        <v>0.112</v>
      </c>
      <c r="BO50" s="204">
        <v>8.8999999999999996E-2</v>
      </c>
      <c r="BP50" s="1255">
        <v>7.1999999999999995E-2</v>
      </c>
      <c r="BQ50" s="1253"/>
    </row>
    <row r="51" spans="1:69" x14ac:dyDescent="0.25">
      <c r="A51" s="236"/>
      <c r="B51" s="82"/>
      <c r="C51" s="236"/>
      <c r="D51" s="236"/>
      <c r="E51" s="236"/>
      <c r="F51" s="236"/>
      <c r="G51" s="1310"/>
      <c r="H51" s="1333"/>
      <c r="I51" s="1357"/>
      <c r="J51" s="236"/>
      <c r="K51" s="236"/>
      <c r="L51" s="30"/>
      <c r="M51" s="30"/>
      <c r="N51" s="1265"/>
      <c r="O51" s="1376"/>
      <c r="P51" s="1376"/>
      <c r="Q51" s="1376"/>
      <c r="R51" s="1376"/>
      <c r="S51" s="1376"/>
      <c r="T51" s="1376"/>
      <c r="U51" s="1376"/>
      <c r="V51" s="1376"/>
      <c r="W51" s="1376"/>
      <c r="X51" s="1376"/>
      <c r="Y51" s="1376"/>
      <c r="Z51" s="1376"/>
      <c r="AA51" s="1376"/>
      <c r="AB51" s="1366" t="s">
        <v>115</v>
      </c>
      <c r="AC51" s="1381">
        <v>4</v>
      </c>
      <c r="AD51" s="1381">
        <v>0.58899999999999997</v>
      </c>
      <c r="AE51" s="1381">
        <v>0.53600000000000003</v>
      </c>
      <c r="AF51" s="1381">
        <v>0.42799999999999999</v>
      </c>
      <c r="AG51" s="1381">
        <v>0.3</v>
      </c>
      <c r="AH51" s="1381">
        <v>0.22600000000000001</v>
      </c>
      <c r="AI51" s="1381">
        <v>0.182</v>
      </c>
      <c r="AJ51" s="1381">
        <v>0.156</v>
      </c>
      <c r="AK51" s="1381">
        <v>0.13400000000000001</v>
      </c>
      <c r="AL51" s="1381">
        <v>0.107</v>
      </c>
      <c r="AM51" s="1381">
        <v>8.5999999999999993E-2</v>
      </c>
      <c r="AN51" s="1381">
        <v>6.9000000000000006E-2</v>
      </c>
      <c r="AO51" s="1381">
        <v>5.6000000000000001E-2</v>
      </c>
      <c r="AP51" s="1290" t="s">
        <v>115</v>
      </c>
      <c r="AQ51" s="1296">
        <v>4</v>
      </c>
      <c r="AR51" s="1296">
        <v>0.68100000000000005</v>
      </c>
      <c r="AS51" s="1296">
        <v>0.49099999999999999</v>
      </c>
      <c r="AT51" s="1296">
        <v>0.44700000000000001</v>
      </c>
      <c r="AU51" s="1296">
        <v>0.35699999999999998</v>
      </c>
      <c r="AV51" s="1296">
        <v>0.26100000000000001</v>
      </c>
      <c r="AW51" s="1296">
        <v>0.20499999999999999</v>
      </c>
      <c r="AX51" s="1296">
        <v>0.182</v>
      </c>
      <c r="AY51" s="1296">
        <v>0.156</v>
      </c>
      <c r="AZ51" s="1296">
        <v>0.13400000000000001</v>
      </c>
      <c r="BA51" s="1296">
        <v>0.107</v>
      </c>
      <c r="BB51" s="1296">
        <v>8.5999999999999993E-2</v>
      </c>
      <c r="BC51" s="1296">
        <v>5.6000000000000001E-2</v>
      </c>
      <c r="BD51" s="1260" t="s">
        <v>115</v>
      </c>
      <c r="BE51" s="204">
        <v>4</v>
      </c>
      <c r="BF51" s="204">
        <v>0.68100000000000005</v>
      </c>
      <c r="BG51" s="204">
        <v>0.49099999999999999</v>
      </c>
      <c r="BH51" s="204">
        <v>0.44700000000000001</v>
      </c>
      <c r="BI51" s="204">
        <v>0.35699999999999998</v>
      </c>
      <c r="BJ51" s="204">
        <v>0.29099999999999998</v>
      </c>
      <c r="BK51" s="204">
        <v>0.22500000000000001</v>
      </c>
      <c r="BL51" s="204">
        <v>0.191</v>
      </c>
      <c r="BM51" s="204">
        <v>0.156</v>
      </c>
      <c r="BN51" s="204">
        <v>0.13400000000000001</v>
      </c>
      <c r="BO51" s="204">
        <v>0.107</v>
      </c>
      <c r="BP51" s="1255">
        <v>8.5999999999999993E-2</v>
      </c>
      <c r="BQ51" s="1253"/>
    </row>
    <row r="52" spans="1:69" x14ac:dyDescent="0.25">
      <c r="A52" s="236"/>
      <c r="B52" s="237"/>
      <c r="C52" s="236"/>
      <c r="D52" s="236"/>
      <c r="E52" s="236"/>
      <c r="F52" s="236"/>
      <c r="G52" s="1310"/>
      <c r="H52" s="1333"/>
      <c r="I52" s="1357"/>
      <c r="J52" s="236"/>
      <c r="K52" s="236"/>
      <c r="L52" s="30"/>
      <c r="M52" s="30"/>
      <c r="N52" s="1265"/>
      <c r="O52" s="1376"/>
      <c r="P52" s="1376"/>
      <c r="Q52" s="1376"/>
      <c r="R52" s="1376"/>
      <c r="S52" s="1376"/>
      <c r="T52" s="1376"/>
      <c r="U52" s="1376"/>
      <c r="V52" s="1376"/>
      <c r="W52" s="1376"/>
      <c r="X52" s="1376"/>
      <c r="Y52" s="1376"/>
      <c r="Z52" s="1376"/>
      <c r="AA52" s="1376"/>
      <c r="AB52" s="1366" t="s">
        <v>116</v>
      </c>
      <c r="AC52" s="1381">
        <v>5</v>
      </c>
      <c r="AD52" s="1381">
        <v>0.51400000000000001</v>
      </c>
      <c r="AE52" s="1381">
        <v>0.46700000000000003</v>
      </c>
      <c r="AF52" s="1381">
        <v>0.374</v>
      </c>
      <c r="AG52" s="1381">
        <v>0.29099999999999998</v>
      </c>
      <c r="AH52" s="1381">
        <v>0.2</v>
      </c>
      <c r="AI52" s="1381">
        <v>0.156</v>
      </c>
      <c r="AJ52" s="1381">
        <v>0.13700000000000001</v>
      </c>
      <c r="AK52" s="1381">
        <v>0.11700000000000001</v>
      </c>
      <c r="AL52" s="1381">
        <v>9.4E-2</v>
      </c>
      <c r="AM52" s="1381">
        <v>7.4999999999999997E-2</v>
      </c>
      <c r="AN52" s="1381">
        <v>0.06</v>
      </c>
      <c r="AO52" s="1381">
        <v>4.8000000000000001E-2</v>
      </c>
      <c r="AP52" s="1290" t="s">
        <v>116</v>
      </c>
      <c r="AQ52" s="1296">
        <v>5</v>
      </c>
      <c r="AR52" s="1296">
        <v>0.58499999999999996</v>
      </c>
      <c r="AS52" s="1296">
        <v>0.42799999999999999</v>
      </c>
      <c r="AT52" s="1296">
        <v>0.38900000000000001</v>
      </c>
      <c r="AU52" s="1296">
        <v>0.312</v>
      </c>
      <c r="AV52" s="1296">
        <v>0.253</v>
      </c>
      <c r="AW52" s="1296">
        <v>0.182</v>
      </c>
      <c r="AX52" s="1296">
        <v>0.156</v>
      </c>
      <c r="AY52" s="1296">
        <v>0.13700000000000001</v>
      </c>
      <c r="AZ52" s="1296">
        <v>0.11700000000000001</v>
      </c>
      <c r="BA52" s="1296">
        <v>9.4E-2</v>
      </c>
      <c r="BB52" s="1296">
        <v>7.4999999999999997E-2</v>
      </c>
      <c r="BC52" s="1296">
        <v>4.8000000000000001E-2</v>
      </c>
      <c r="BD52" s="1260" t="s">
        <v>116</v>
      </c>
      <c r="BE52" s="204">
        <v>5</v>
      </c>
      <c r="BF52" s="204">
        <v>0.58499999999999996</v>
      </c>
      <c r="BG52" s="204">
        <v>0.42799999999999999</v>
      </c>
      <c r="BH52" s="204">
        <v>0.38900000000000001</v>
      </c>
      <c r="BI52" s="204">
        <v>0.312</v>
      </c>
      <c r="BJ52" s="204">
        <v>0.253</v>
      </c>
      <c r="BK52" s="204">
        <v>0.182</v>
      </c>
      <c r="BL52" s="204">
        <v>0.156</v>
      </c>
      <c r="BM52" s="204">
        <v>0.13700000000000001</v>
      </c>
      <c r="BN52" s="204">
        <v>0.11700000000000001</v>
      </c>
      <c r="BO52" s="204">
        <v>9.4E-2</v>
      </c>
      <c r="BP52" s="1255">
        <v>7.4999999999999997E-2</v>
      </c>
      <c r="BQ52" s="1253"/>
    </row>
    <row r="53" spans="1:69" x14ac:dyDescent="0.25">
      <c r="A53" s="236"/>
      <c r="B53" s="237"/>
      <c r="C53" s="236"/>
      <c r="D53" s="236"/>
      <c r="E53" s="236"/>
      <c r="F53" s="236"/>
      <c r="G53" s="1310"/>
      <c r="H53" s="1333"/>
      <c r="I53" s="1357"/>
      <c r="J53" s="236"/>
      <c r="K53" s="236"/>
      <c r="L53" s="30"/>
      <c r="M53" s="30"/>
      <c r="N53" s="1271" t="s">
        <v>158</v>
      </c>
      <c r="O53" s="1271"/>
      <c r="P53" s="1271"/>
      <c r="Q53" s="1271"/>
      <c r="R53" s="1272"/>
      <c r="S53" s="1272"/>
      <c r="T53" s="1272"/>
      <c r="U53" s="1272"/>
      <c r="V53" s="1272"/>
      <c r="W53" s="1272"/>
      <c r="X53" s="1272"/>
      <c r="Y53" s="1272"/>
      <c r="Z53" s="1272"/>
      <c r="AA53" s="1272"/>
      <c r="AB53" s="1284" t="s">
        <v>158</v>
      </c>
      <c r="AC53" s="1284"/>
      <c r="AD53" s="1284"/>
      <c r="AE53" s="1284"/>
      <c r="AF53" s="1285"/>
      <c r="AG53" s="1285"/>
      <c r="AH53" s="1285"/>
      <c r="AI53" s="1285"/>
      <c r="AJ53" s="1285"/>
      <c r="AK53" s="1285"/>
      <c r="AL53" s="1285"/>
      <c r="AM53" s="1285"/>
      <c r="AN53" s="1285"/>
      <c r="AO53" s="1285"/>
      <c r="AP53" s="1294" t="s">
        <v>158</v>
      </c>
      <c r="AQ53" s="1294"/>
      <c r="AR53" s="1294"/>
      <c r="AS53" s="1294"/>
      <c r="AT53" s="1295"/>
      <c r="AU53" s="1295"/>
      <c r="AV53" s="1295"/>
      <c r="AW53" s="1295"/>
      <c r="AX53" s="1295"/>
      <c r="AY53" s="1295"/>
      <c r="AZ53" s="1295"/>
      <c r="BA53" s="1295"/>
      <c r="BB53" s="1295"/>
      <c r="BC53" s="1295"/>
      <c r="BD53" s="1250" t="s">
        <v>159</v>
      </c>
      <c r="BE53" s="1250"/>
      <c r="BF53" s="1250"/>
      <c r="BG53" s="1250"/>
      <c r="BH53" s="1251"/>
      <c r="BI53" s="1251"/>
      <c r="BJ53" s="1251"/>
      <c r="BK53" s="1251"/>
      <c r="BL53" s="1251"/>
      <c r="BM53" s="1251"/>
      <c r="BN53" s="1251"/>
      <c r="BO53" s="1251"/>
      <c r="BP53" s="1251"/>
      <c r="BQ53" s="1251"/>
    </row>
    <row r="54" spans="1:69" x14ac:dyDescent="0.25">
      <c r="A54" s="236"/>
      <c r="B54" s="237"/>
      <c r="C54" s="236"/>
      <c r="D54" s="236"/>
      <c r="E54" s="236"/>
      <c r="F54" s="236"/>
      <c r="G54" s="1310"/>
      <c r="H54" s="1333"/>
      <c r="I54" s="1357"/>
      <c r="J54" s="236"/>
      <c r="K54" s="236"/>
      <c r="L54" s="30"/>
      <c r="M54" s="30"/>
      <c r="N54" s="1378" t="s">
        <v>111</v>
      </c>
      <c r="O54" s="1379" t="s">
        <v>93</v>
      </c>
      <c r="P54" s="1415" t="s">
        <v>160</v>
      </c>
      <c r="Q54" s="1416"/>
      <c r="R54" s="1417"/>
      <c r="S54" s="1273"/>
      <c r="T54" s="1265"/>
      <c r="U54" s="1265"/>
      <c r="V54" s="1265"/>
      <c r="W54" s="1265"/>
      <c r="X54" s="1265"/>
      <c r="Y54" s="1265"/>
      <c r="Z54" s="1265"/>
      <c r="AA54" s="1265"/>
      <c r="AB54" s="1435" t="s">
        <v>111</v>
      </c>
      <c r="AC54" s="1323" t="s">
        <v>93</v>
      </c>
      <c r="AD54" s="1926" t="s">
        <v>160</v>
      </c>
      <c r="AE54" s="1926"/>
      <c r="AF54" s="1926"/>
      <c r="AG54" s="1280"/>
      <c r="AH54" s="1280"/>
      <c r="AI54" s="1280"/>
      <c r="AJ54" s="1280"/>
      <c r="AK54" s="1280"/>
      <c r="AL54" s="1280"/>
      <c r="AM54" s="1280"/>
      <c r="AN54" s="1280"/>
      <c r="AO54" s="1280"/>
      <c r="AP54" s="1448" t="s">
        <v>111</v>
      </c>
      <c r="AQ54" s="1347" t="s">
        <v>93</v>
      </c>
      <c r="AR54" s="1928" t="s">
        <v>160</v>
      </c>
      <c r="AS54" s="1928"/>
      <c r="AT54" s="1928"/>
      <c r="AU54" s="1290"/>
      <c r="AV54" s="1290"/>
      <c r="AW54" s="1290"/>
      <c r="AX54" s="1290"/>
      <c r="AY54" s="1290"/>
      <c r="AZ54" s="1290"/>
      <c r="BA54" s="1290"/>
      <c r="BB54" s="1290"/>
      <c r="BC54" s="1290"/>
      <c r="BD54" s="1449" t="s">
        <v>111</v>
      </c>
      <c r="BE54" s="203" t="s">
        <v>93</v>
      </c>
      <c r="BF54" s="1260" t="s">
        <v>160</v>
      </c>
      <c r="BG54" s="1260"/>
      <c r="BH54" s="1260"/>
      <c r="BI54" s="1260"/>
      <c r="BJ54" s="1260"/>
      <c r="BK54" s="1260"/>
      <c r="BL54" s="1246"/>
      <c r="BM54" s="1246"/>
      <c r="BN54" s="1246"/>
      <c r="BO54" s="1246"/>
      <c r="BP54" s="1246"/>
      <c r="BQ54" s="1246"/>
    </row>
    <row r="55" spans="1:69" x14ac:dyDescent="0.25">
      <c r="A55" s="236"/>
      <c r="B55" s="237"/>
      <c r="C55" s="236"/>
      <c r="D55" s="236"/>
      <c r="E55" s="236"/>
      <c r="F55" s="236"/>
      <c r="G55" s="1310"/>
      <c r="H55" s="1333"/>
      <c r="I55" s="1357"/>
      <c r="J55" s="236"/>
      <c r="K55" s="236"/>
      <c r="L55" s="30"/>
      <c r="M55" s="30"/>
      <c r="N55" s="1273" t="s">
        <v>111</v>
      </c>
      <c r="O55" s="1273"/>
      <c r="P55" s="1383">
        <v>1</v>
      </c>
      <c r="Q55" s="1383">
        <v>3</v>
      </c>
      <c r="R55" s="1383">
        <v>7</v>
      </c>
      <c r="S55" s="1383">
        <v>15</v>
      </c>
      <c r="T55" s="1265"/>
      <c r="U55" s="1265"/>
      <c r="V55" s="1265"/>
      <c r="W55" s="1265"/>
      <c r="X55" s="1265"/>
      <c r="Y55" s="1265"/>
      <c r="Z55" s="1265"/>
      <c r="AA55" s="1265"/>
      <c r="AB55" s="1366" t="s">
        <v>111</v>
      </c>
      <c r="AC55" s="1366"/>
      <c r="AD55" s="1381">
        <v>3</v>
      </c>
      <c r="AE55" s="1381">
        <v>7</v>
      </c>
      <c r="AF55" s="1381">
        <v>15</v>
      </c>
      <c r="AG55" s="1280"/>
      <c r="AH55" s="1280"/>
      <c r="AI55" s="1280"/>
      <c r="AJ55" s="1280"/>
      <c r="AK55" s="1280"/>
      <c r="AL55" s="1280"/>
      <c r="AM55" s="1280"/>
      <c r="AN55" s="1280"/>
      <c r="AO55" s="1280"/>
      <c r="AP55" s="1367" t="s">
        <v>111</v>
      </c>
      <c r="AQ55" s="1367"/>
      <c r="AR55" s="1347">
        <v>1</v>
      </c>
      <c r="AS55" s="1347">
        <v>3</v>
      </c>
      <c r="AT55" s="1347">
        <v>7</v>
      </c>
      <c r="AU55" s="1290"/>
      <c r="AV55" s="1290"/>
      <c r="AW55" s="1290"/>
      <c r="AX55" s="1290"/>
      <c r="AY55" s="1290"/>
      <c r="AZ55" s="1290"/>
      <c r="BA55" s="1290"/>
      <c r="BB55" s="1290"/>
      <c r="BC55" s="1290"/>
      <c r="BD55" s="1260" t="s">
        <v>111</v>
      </c>
      <c r="BE55" s="1260"/>
      <c r="BF55" s="203">
        <v>0.2</v>
      </c>
      <c r="BG55" s="203">
        <v>0.5</v>
      </c>
      <c r="BH55" s="203">
        <v>1</v>
      </c>
      <c r="BI55" s="203">
        <v>2</v>
      </c>
      <c r="BJ55" s="203">
        <v>5</v>
      </c>
      <c r="BK55" s="203">
        <v>10</v>
      </c>
      <c r="BL55" s="1246"/>
      <c r="BM55" s="1246"/>
      <c r="BN55" s="1246"/>
      <c r="BO55" s="1246"/>
      <c r="BP55" s="1246"/>
      <c r="BQ55" s="1246"/>
    </row>
    <row r="56" spans="1:69" x14ac:dyDescent="0.25">
      <c r="A56" s="236"/>
      <c r="B56" s="237"/>
      <c r="C56" s="236"/>
      <c r="D56" s="236"/>
      <c r="E56" s="236"/>
      <c r="F56" s="236"/>
      <c r="G56" s="1310"/>
      <c r="H56" s="1333"/>
      <c r="I56" s="1357"/>
      <c r="J56" s="236"/>
      <c r="K56" s="236"/>
      <c r="L56" s="30"/>
      <c r="M56" s="30"/>
      <c r="N56" s="1273" t="s">
        <v>112</v>
      </c>
      <c r="O56" s="1383">
        <v>1</v>
      </c>
      <c r="P56" s="1383">
        <v>6.5</v>
      </c>
      <c r="Q56" s="1383">
        <v>4.7</v>
      </c>
      <c r="R56" s="1383">
        <v>4.2</v>
      </c>
      <c r="S56" s="1383">
        <v>3.6</v>
      </c>
      <c r="T56" s="1265"/>
      <c r="U56" s="1265"/>
      <c r="V56" s="1265"/>
      <c r="W56" s="1265"/>
      <c r="X56" s="1265"/>
      <c r="Y56" s="1265"/>
      <c r="Z56" s="1265"/>
      <c r="AA56" s="1265"/>
      <c r="AB56" s="1366" t="s">
        <v>112</v>
      </c>
      <c r="AC56" s="1381">
        <v>1</v>
      </c>
      <c r="AD56" s="1381">
        <v>3.6</v>
      </c>
      <c r="AE56" s="1381">
        <v>3.2</v>
      </c>
      <c r="AF56" s="1381">
        <v>2.8</v>
      </c>
      <c r="AG56" s="1280"/>
      <c r="AH56" s="1280"/>
      <c r="AI56" s="1280"/>
      <c r="AJ56" s="1280"/>
      <c r="AK56" s="1280"/>
      <c r="AL56" s="1280"/>
      <c r="AM56" s="1280"/>
      <c r="AN56" s="1280"/>
      <c r="AO56" s="1280"/>
      <c r="AP56" s="1367" t="s">
        <v>112</v>
      </c>
      <c r="AQ56" s="1296">
        <v>1</v>
      </c>
      <c r="AR56" s="1296">
        <v>2.58</v>
      </c>
      <c r="AS56" s="1296">
        <v>2.35</v>
      </c>
      <c r="AT56" s="1296">
        <v>2.13</v>
      </c>
      <c r="AU56" s="1290"/>
      <c r="AV56" s="1290"/>
      <c r="AW56" s="1290"/>
      <c r="AX56" s="1290"/>
      <c r="AY56" s="1290"/>
      <c r="AZ56" s="1290"/>
      <c r="BA56" s="1290"/>
      <c r="BB56" s="1290"/>
      <c r="BC56" s="1290"/>
      <c r="BD56" s="1260" t="s">
        <v>112</v>
      </c>
      <c r="BE56" s="204">
        <v>1</v>
      </c>
      <c r="BF56" s="204">
        <v>6.7000000000000004E-2</v>
      </c>
      <c r="BG56" s="204">
        <v>6.2E-2</v>
      </c>
      <c r="BH56" s="204">
        <v>4.2999999999999997E-2</v>
      </c>
      <c r="BI56" s="204">
        <v>2.5000000000000001E-2</v>
      </c>
      <c r="BJ56" s="204">
        <v>0.02</v>
      </c>
      <c r="BK56" s="204">
        <v>1.7000000000000001E-2</v>
      </c>
      <c r="BL56" s="1246"/>
      <c r="BM56" s="1246"/>
      <c r="BN56" s="1246"/>
      <c r="BO56" s="1246"/>
      <c r="BP56" s="1246"/>
      <c r="BQ56" s="1246"/>
    </row>
    <row r="57" spans="1:69" x14ac:dyDescent="0.25">
      <c r="A57" s="236"/>
      <c r="B57" s="237"/>
      <c r="C57" s="236"/>
      <c r="D57" s="236"/>
      <c r="E57" s="236"/>
      <c r="F57" s="236"/>
      <c r="G57" s="1310"/>
      <c r="H57" s="1333"/>
      <c r="I57" s="1357"/>
      <c r="J57" s="236"/>
      <c r="K57" s="236"/>
      <c r="L57" s="30"/>
      <c r="M57" s="30"/>
      <c r="N57" s="1273" t="s">
        <v>113</v>
      </c>
      <c r="O57" s="1383">
        <v>2</v>
      </c>
      <c r="P57" s="1383">
        <v>6.7</v>
      </c>
      <c r="Q57" s="1383">
        <v>4.8</v>
      </c>
      <c r="R57" s="1383">
        <v>4.3</v>
      </c>
      <c r="S57" s="1383">
        <v>3.8</v>
      </c>
      <c r="T57" s="1265"/>
      <c r="U57" s="1265"/>
      <c r="V57" s="1265"/>
      <c r="W57" s="1265"/>
      <c r="X57" s="1265"/>
      <c r="Y57" s="1265"/>
      <c r="Z57" s="1265"/>
      <c r="AA57" s="1265"/>
      <c r="AB57" s="1366" t="s">
        <v>113</v>
      </c>
      <c r="AC57" s="1381">
        <v>2</v>
      </c>
      <c r="AD57" s="1381">
        <v>3.7</v>
      </c>
      <c r="AE57" s="1381">
        <v>3.3</v>
      </c>
      <c r="AF57" s="1381">
        <v>2.9</v>
      </c>
      <c r="AG57" s="1280"/>
      <c r="AH57" s="1280"/>
      <c r="AI57" s="1280"/>
      <c r="AJ57" s="1280"/>
      <c r="AK57" s="1280"/>
      <c r="AL57" s="1280"/>
      <c r="AM57" s="1280"/>
      <c r="AN57" s="1280"/>
      <c r="AO57" s="1280"/>
      <c r="AP57" s="1367" t="s">
        <v>113</v>
      </c>
      <c r="AQ57" s="1296">
        <v>2</v>
      </c>
      <c r="AR57" s="1296">
        <v>3.04</v>
      </c>
      <c r="AS57" s="1296">
        <v>2.77</v>
      </c>
      <c r="AT57" s="1296">
        <v>2.5099999999999998</v>
      </c>
      <c r="AU57" s="1290"/>
      <c r="AV57" s="1290"/>
      <c r="AW57" s="1290"/>
      <c r="AX57" s="1290"/>
      <c r="AY57" s="1290"/>
      <c r="AZ57" s="1290"/>
      <c r="BA57" s="1290"/>
      <c r="BB57" s="1290"/>
      <c r="BC57" s="1290"/>
      <c r="BD57" s="1260" t="s">
        <v>113</v>
      </c>
      <c r="BE57" s="204">
        <v>2</v>
      </c>
      <c r="BF57" s="204">
        <v>7.2999999999999995E-2</v>
      </c>
      <c r="BG57" s="204">
        <v>6.6000000000000003E-2</v>
      </c>
      <c r="BH57" s="204">
        <v>4.5999999999999999E-2</v>
      </c>
      <c r="BI57" s="204">
        <v>2.9000000000000001E-2</v>
      </c>
      <c r="BJ57" s="204">
        <v>2.3E-2</v>
      </c>
      <c r="BK57" s="204">
        <v>0.02</v>
      </c>
      <c r="BL57" s="1246"/>
      <c r="BM57" s="1246"/>
      <c r="BN57" s="1246"/>
      <c r="BO57" s="1246"/>
      <c r="BP57" s="1246"/>
      <c r="BQ57" s="1246"/>
    </row>
    <row r="58" spans="1:69" x14ac:dyDescent="0.25">
      <c r="A58" s="236"/>
      <c r="B58" s="237"/>
      <c r="C58" s="236"/>
      <c r="D58" s="236"/>
      <c r="E58" s="236"/>
      <c r="F58" s="236"/>
      <c r="G58" s="1310"/>
      <c r="H58" s="1333"/>
      <c r="I58" s="1357"/>
      <c r="J58" s="236"/>
      <c r="K58" s="236"/>
      <c r="L58" s="30"/>
      <c r="M58" s="30"/>
      <c r="N58" s="1273" t="s">
        <v>114</v>
      </c>
      <c r="O58" s="1383">
        <v>3</v>
      </c>
      <c r="P58" s="1383">
        <v>5.4</v>
      </c>
      <c r="Q58" s="1383">
        <v>3.6</v>
      </c>
      <c r="R58" s="1383">
        <v>2.7</v>
      </c>
      <c r="S58" s="1383">
        <v>2.5</v>
      </c>
      <c r="T58" s="1265"/>
      <c r="U58" s="1265"/>
      <c r="V58" s="1265"/>
      <c r="W58" s="1265"/>
      <c r="X58" s="1265"/>
      <c r="Y58" s="1265"/>
      <c r="Z58" s="1265"/>
      <c r="AA58" s="1265"/>
      <c r="AB58" s="1366" t="s">
        <v>114</v>
      </c>
      <c r="AC58" s="1381">
        <v>3</v>
      </c>
      <c r="AD58" s="1381">
        <v>2.8</v>
      </c>
      <c r="AE58" s="1381">
        <v>2.1</v>
      </c>
      <c r="AF58" s="1381">
        <v>1.9</v>
      </c>
      <c r="AG58" s="1280"/>
      <c r="AH58" s="1280"/>
      <c r="AI58" s="1280"/>
      <c r="AJ58" s="1280"/>
      <c r="AK58" s="1280"/>
      <c r="AL58" s="1280"/>
      <c r="AM58" s="1280"/>
      <c r="AN58" s="1280"/>
      <c r="AO58" s="1280"/>
      <c r="AP58" s="1367" t="s">
        <v>114</v>
      </c>
      <c r="AQ58" s="1296">
        <v>3</v>
      </c>
      <c r="AR58" s="1296">
        <v>1.45</v>
      </c>
      <c r="AS58" s="1296">
        <v>1.33</v>
      </c>
      <c r="AT58" s="1296">
        <v>1.2</v>
      </c>
      <c r="AU58" s="1290"/>
      <c r="AV58" s="1290"/>
      <c r="AW58" s="1290"/>
      <c r="AX58" s="1290"/>
      <c r="AY58" s="1290"/>
      <c r="AZ58" s="1290"/>
      <c r="BA58" s="1290"/>
      <c r="BB58" s="1290"/>
      <c r="BC58" s="1290"/>
      <c r="BD58" s="1260" t="s">
        <v>114</v>
      </c>
      <c r="BE58" s="204">
        <v>3</v>
      </c>
      <c r="BF58" s="204">
        <v>4.5999999999999999E-2</v>
      </c>
      <c r="BG58" s="204">
        <v>4.2000000000000003E-2</v>
      </c>
      <c r="BH58" s="204">
        <v>2.8000000000000001E-2</v>
      </c>
      <c r="BI58" s="204">
        <v>1.7000000000000001E-2</v>
      </c>
      <c r="BJ58" s="204">
        <v>1.2999999999999999E-2</v>
      </c>
      <c r="BK58" s="204">
        <v>1.0999999999999999E-2</v>
      </c>
      <c r="BL58" s="1246"/>
      <c r="BM58" s="1246"/>
      <c r="BN58" s="1246"/>
      <c r="BO58" s="1246"/>
      <c r="BP58" s="1246"/>
      <c r="BQ58" s="1246"/>
    </row>
    <row r="59" spans="1:69" x14ac:dyDescent="0.25">
      <c r="A59" s="236"/>
      <c r="B59" s="237"/>
      <c r="C59" s="236"/>
      <c r="D59" s="236"/>
      <c r="E59" s="236"/>
      <c r="F59" s="236"/>
      <c r="G59" s="1310"/>
      <c r="H59" s="1333"/>
      <c r="I59" s="1357"/>
      <c r="J59" s="236"/>
      <c r="K59" s="236"/>
      <c r="L59" s="30"/>
      <c r="M59" s="30"/>
      <c r="N59" s="1273" t="s">
        <v>697</v>
      </c>
      <c r="O59" s="1383">
        <v>4</v>
      </c>
      <c r="P59" s="1383">
        <v>6.2</v>
      </c>
      <c r="Q59" s="1383">
        <v>4.4000000000000004</v>
      </c>
      <c r="R59" s="1383">
        <v>3.9</v>
      </c>
      <c r="S59" s="1383">
        <v>3.6</v>
      </c>
      <c r="T59" s="1265"/>
      <c r="U59" s="1265"/>
      <c r="V59" s="1265"/>
      <c r="W59" s="1265"/>
      <c r="X59" s="1265"/>
      <c r="Y59" s="1265"/>
      <c r="Z59" s="1265"/>
      <c r="AA59" s="1265"/>
      <c r="AB59" s="1366" t="s">
        <v>115</v>
      </c>
      <c r="AC59" s="1381">
        <v>4</v>
      </c>
      <c r="AD59" s="1381">
        <v>3.4</v>
      </c>
      <c r="AE59" s="1381">
        <v>3</v>
      </c>
      <c r="AF59" s="1381">
        <v>2.8</v>
      </c>
      <c r="AG59" s="1280"/>
      <c r="AH59" s="1280"/>
      <c r="AI59" s="1280"/>
      <c r="AJ59" s="1280"/>
      <c r="AK59" s="1280"/>
      <c r="AL59" s="1280"/>
      <c r="AM59" s="1280"/>
      <c r="AN59" s="1280"/>
      <c r="AO59" s="1280"/>
      <c r="AP59" s="1367" t="s">
        <v>115</v>
      </c>
      <c r="AQ59" s="1296">
        <v>4</v>
      </c>
      <c r="AR59" s="1296">
        <v>2.33</v>
      </c>
      <c r="AS59" s="1296">
        <v>2.11</v>
      </c>
      <c r="AT59" s="1296">
        <v>1.93</v>
      </c>
      <c r="AU59" s="1290"/>
      <c r="AV59" s="1290"/>
      <c r="AW59" s="1290"/>
      <c r="AX59" s="1290"/>
      <c r="AY59" s="1290"/>
      <c r="AZ59" s="1290"/>
      <c r="BA59" s="1290"/>
      <c r="BB59" s="1290"/>
      <c r="BC59" s="1290"/>
      <c r="BD59" s="1260" t="s">
        <v>115</v>
      </c>
      <c r="BE59" s="204">
        <v>4</v>
      </c>
      <c r="BF59" s="204">
        <v>0.05</v>
      </c>
      <c r="BG59" s="204">
        <v>4.3999999999999997E-2</v>
      </c>
      <c r="BH59" s="204">
        <v>3.1E-2</v>
      </c>
      <c r="BI59" s="204">
        <v>1.9E-2</v>
      </c>
      <c r="BJ59" s="204">
        <v>1.6E-2</v>
      </c>
      <c r="BK59" s="204">
        <v>1.2999999999999999E-2</v>
      </c>
      <c r="BL59" s="1246"/>
      <c r="BM59" s="1246"/>
      <c r="BN59" s="1246"/>
      <c r="BO59" s="1246"/>
      <c r="BP59" s="1246"/>
      <c r="BQ59" s="1246"/>
    </row>
    <row r="60" spans="1:69" x14ac:dyDescent="0.25">
      <c r="A60" s="236"/>
      <c r="B60" s="237"/>
      <c r="C60" s="236"/>
      <c r="D60" s="236"/>
      <c r="E60" s="236"/>
      <c r="F60" s="236"/>
      <c r="G60" s="1310"/>
      <c r="H60" s="1333"/>
      <c r="I60" s="1357"/>
      <c r="J60" s="236"/>
      <c r="K60" s="236"/>
      <c r="L60" s="30"/>
      <c r="M60" s="30"/>
      <c r="N60" s="1273" t="s">
        <v>116</v>
      </c>
      <c r="O60" s="1383">
        <v>5</v>
      </c>
      <c r="P60" s="1383">
        <v>5.8</v>
      </c>
      <c r="Q60" s="1383">
        <v>4.2</v>
      </c>
      <c r="R60" s="1383">
        <v>3.4</v>
      </c>
      <c r="S60" s="1383">
        <v>3</v>
      </c>
      <c r="T60" s="1265"/>
      <c r="U60" s="1265"/>
      <c r="V60" s="1265"/>
      <c r="W60" s="1265"/>
      <c r="X60" s="1265"/>
      <c r="Y60" s="1265"/>
      <c r="Z60" s="1265"/>
      <c r="AA60" s="1265"/>
      <c r="AB60" s="1366" t="s">
        <v>116</v>
      </c>
      <c r="AC60" s="1381">
        <v>5</v>
      </c>
      <c r="AD60" s="1381">
        <v>3.2</v>
      </c>
      <c r="AE60" s="1381">
        <v>2.6</v>
      </c>
      <c r="AF60" s="1381">
        <v>2.2999999999999998</v>
      </c>
      <c r="AG60" s="1280"/>
      <c r="AH60" s="1280"/>
      <c r="AI60" s="1280"/>
      <c r="AJ60" s="1280"/>
      <c r="AK60" s="1280"/>
      <c r="AL60" s="1280"/>
      <c r="AM60" s="1280"/>
      <c r="AN60" s="1280"/>
      <c r="AO60" s="1280"/>
      <c r="AP60" s="1367" t="s">
        <v>116</v>
      </c>
      <c r="AQ60" s="1296">
        <v>5</v>
      </c>
      <c r="AR60" s="1296">
        <v>2.21</v>
      </c>
      <c r="AS60" s="1296">
        <v>2</v>
      </c>
      <c r="AT60" s="1296">
        <v>1.82</v>
      </c>
      <c r="AU60" s="1290"/>
      <c r="AV60" s="1290"/>
      <c r="AW60" s="1290"/>
      <c r="AX60" s="1290"/>
      <c r="AY60" s="1290"/>
      <c r="AZ60" s="1290"/>
      <c r="BA60" s="1290"/>
      <c r="BB60" s="1290"/>
      <c r="BC60" s="1290"/>
      <c r="BD60" s="1260" t="s">
        <v>116</v>
      </c>
      <c r="BE60" s="204">
        <v>5</v>
      </c>
      <c r="BF60" s="204">
        <v>4.9000000000000002E-2</v>
      </c>
      <c r="BG60" s="204">
        <v>4.2999999999999997E-2</v>
      </c>
      <c r="BH60" s="204">
        <v>0.03</v>
      </c>
      <c r="BI60" s="204">
        <v>1.7999999999999999E-2</v>
      </c>
      <c r="BJ60" s="204">
        <v>1.4E-2</v>
      </c>
      <c r="BK60" s="204">
        <v>1.2E-2</v>
      </c>
      <c r="BL60" s="1246"/>
      <c r="BM60" s="1246"/>
      <c r="BN60" s="1246"/>
      <c r="BO60" s="1246"/>
      <c r="BP60" s="1246"/>
      <c r="BQ60" s="1246"/>
    </row>
    <row r="61" spans="1:69" x14ac:dyDescent="0.25">
      <c r="A61" s="236"/>
      <c r="B61" s="237"/>
      <c r="C61" s="236"/>
      <c r="D61" s="236"/>
      <c r="E61" s="236"/>
      <c r="F61" s="236"/>
      <c r="G61" s="1310"/>
      <c r="H61" s="1333"/>
      <c r="I61" s="1357"/>
      <c r="J61" s="236"/>
      <c r="K61" s="236"/>
      <c r="L61" s="30"/>
      <c r="M61" s="30"/>
      <c r="N61" s="1271" t="s">
        <v>161</v>
      </c>
      <c r="O61" s="1272"/>
      <c r="P61" s="1271"/>
      <c r="Q61" s="1271"/>
      <c r="R61" s="1272"/>
      <c r="S61" s="1272"/>
      <c r="T61" s="1272"/>
      <c r="U61" s="1272"/>
      <c r="V61" s="1272"/>
      <c r="W61" s="1272"/>
      <c r="X61" s="1272"/>
      <c r="Y61" s="1272"/>
      <c r="Z61" s="1272"/>
      <c r="AA61" s="1272"/>
      <c r="AB61" s="1284" t="s">
        <v>161</v>
      </c>
      <c r="AC61" s="1285"/>
      <c r="AD61" s="1284"/>
      <c r="AE61" s="1284"/>
      <c r="AF61" s="1285"/>
      <c r="AG61" s="1285"/>
      <c r="AH61" s="1285"/>
      <c r="AI61" s="1285"/>
      <c r="AJ61" s="1285"/>
      <c r="AK61" s="1285"/>
      <c r="AL61" s="1285"/>
      <c r="AM61" s="1285"/>
      <c r="AN61" s="1285"/>
      <c r="AO61" s="1285"/>
      <c r="AP61" s="1294" t="s">
        <v>161</v>
      </c>
      <c r="AQ61" s="1295"/>
      <c r="AR61" s="1294"/>
      <c r="AS61" s="1294"/>
      <c r="AT61" s="1295"/>
      <c r="AU61" s="1295"/>
      <c r="AV61" s="1295"/>
      <c r="AW61" s="1295"/>
      <c r="AX61" s="1295"/>
      <c r="AY61" s="1295"/>
      <c r="AZ61" s="1295"/>
      <c r="BA61" s="1295"/>
      <c r="BB61" s="1295"/>
      <c r="BC61" s="1295"/>
      <c r="BD61" s="1250" t="s">
        <v>161</v>
      </c>
      <c r="BE61" s="1251"/>
      <c r="BF61" s="1250"/>
      <c r="BG61" s="1250"/>
      <c r="BH61" s="1251"/>
      <c r="BI61" s="1251"/>
      <c r="BJ61" s="1251"/>
      <c r="BK61" s="1251"/>
      <c r="BL61" s="1251"/>
      <c r="BM61" s="1251"/>
      <c r="BN61" s="1251"/>
      <c r="BO61" s="1251"/>
      <c r="BP61" s="1251"/>
      <c r="BQ61" s="1251"/>
    </row>
    <row r="62" spans="1:69" x14ac:dyDescent="0.25">
      <c r="A62" s="236"/>
      <c r="B62" s="237"/>
      <c r="C62" s="236"/>
      <c r="D62" s="236"/>
      <c r="E62" s="236"/>
      <c r="F62" s="236"/>
      <c r="G62" s="1310"/>
      <c r="H62" s="1333"/>
      <c r="I62" s="1357"/>
      <c r="J62" s="236"/>
      <c r="K62" s="236"/>
      <c r="L62" s="30"/>
      <c r="M62" s="30"/>
      <c r="N62" s="1265"/>
      <c r="O62" s="1991" t="s">
        <v>117</v>
      </c>
      <c r="P62" s="1991"/>
      <c r="Q62" s="1991"/>
      <c r="R62" s="1991"/>
      <c r="S62" s="1991"/>
      <c r="T62" s="1265"/>
      <c r="U62" s="1265"/>
      <c r="V62" s="1265"/>
      <c r="W62" s="1265"/>
      <c r="X62" s="1265"/>
      <c r="Y62" s="1265"/>
      <c r="Z62" s="1265"/>
      <c r="AA62" s="1265"/>
      <c r="AB62" s="1968" t="s">
        <v>162</v>
      </c>
      <c r="AC62" s="1926" t="s">
        <v>117</v>
      </c>
      <c r="AD62" s="1926"/>
      <c r="AE62" s="1926"/>
      <c r="AF62" s="1926"/>
      <c r="AG62" s="1926"/>
      <c r="AH62" s="1280"/>
      <c r="AI62" s="1280"/>
      <c r="AJ62" s="1280"/>
      <c r="AK62" s="1280"/>
      <c r="AL62" s="1280"/>
      <c r="AM62" s="1280"/>
      <c r="AN62" s="1280"/>
      <c r="AO62" s="1280"/>
      <c r="AP62" s="1966" t="s">
        <v>162</v>
      </c>
      <c r="AQ62" s="1928" t="s">
        <v>117</v>
      </c>
      <c r="AR62" s="1928"/>
      <c r="AS62" s="1928"/>
      <c r="AT62" s="1928"/>
      <c r="AU62" s="1928"/>
      <c r="AV62" s="1290"/>
      <c r="AW62" s="1290"/>
      <c r="AX62" s="1290"/>
      <c r="AY62" s="1290"/>
      <c r="AZ62" s="1290"/>
      <c r="BA62" s="1290"/>
      <c r="BB62" s="1290"/>
      <c r="BC62" s="1290"/>
      <c r="BD62" s="1963" t="s">
        <v>162</v>
      </c>
      <c r="BE62" s="1930" t="s">
        <v>117</v>
      </c>
      <c r="BF62" s="1930"/>
      <c r="BG62" s="1930"/>
      <c r="BH62" s="1930"/>
      <c r="BI62" s="1930"/>
      <c r="BJ62" s="1246"/>
      <c r="BK62" s="1246"/>
      <c r="BL62" s="1246"/>
      <c r="BM62" s="1246"/>
      <c r="BN62" s="1246"/>
      <c r="BO62" s="1246"/>
      <c r="BP62" s="1246"/>
      <c r="BQ62" s="1246"/>
    </row>
    <row r="63" spans="1:69" x14ac:dyDescent="0.25">
      <c r="A63" s="236"/>
      <c r="B63" s="237"/>
      <c r="C63" s="236"/>
      <c r="D63" s="236"/>
      <c r="E63" s="236"/>
      <c r="F63" s="236"/>
      <c r="G63" s="1310"/>
      <c r="H63" s="1333"/>
      <c r="I63" s="1357"/>
      <c r="J63" s="236"/>
      <c r="K63" s="236"/>
      <c r="L63" s="30"/>
      <c r="M63" s="109"/>
      <c r="N63" s="1373" t="s">
        <v>162</v>
      </c>
      <c r="O63" s="1373" t="s">
        <v>118</v>
      </c>
      <c r="P63" s="1373" t="s">
        <v>163</v>
      </c>
      <c r="Q63" s="1373" t="s">
        <v>164</v>
      </c>
      <c r="R63" s="1373" t="s">
        <v>165</v>
      </c>
      <c r="S63" s="1373" t="s">
        <v>166</v>
      </c>
      <c r="T63" s="1265"/>
      <c r="U63" s="1265"/>
      <c r="V63" s="1265"/>
      <c r="W63" s="1265"/>
      <c r="X63" s="1265"/>
      <c r="Y63" s="1265"/>
      <c r="Z63" s="1265"/>
      <c r="AA63" s="1265"/>
      <c r="AB63" s="1969"/>
      <c r="AC63" s="1381" t="s">
        <v>118</v>
      </c>
      <c r="AD63" s="1381" t="s">
        <v>163</v>
      </c>
      <c r="AE63" s="1381" t="s">
        <v>164</v>
      </c>
      <c r="AF63" s="1381" t="s">
        <v>165</v>
      </c>
      <c r="AG63" s="1381" t="s">
        <v>166</v>
      </c>
      <c r="AH63" s="1280"/>
      <c r="AI63" s="1280"/>
      <c r="AJ63" s="1280"/>
      <c r="AK63" s="1280"/>
      <c r="AL63" s="1280"/>
      <c r="AM63" s="1280"/>
      <c r="AN63" s="1280"/>
      <c r="AO63" s="1280"/>
      <c r="AP63" s="1967"/>
      <c r="AQ63" s="1296" t="s">
        <v>118</v>
      </c>
      <c r="AR63" s="1296" t="s">
        <v>163</v>
      </c>
      <c r="AS63" s="1296" t="s">
        <v>164</v>
      </c>
      <c r="AT63" s="1296" t="s">
        <v>165</v>
      </c>
      <c r="AU63" s="1296" t="s">
        <v>166</v>
      </c>
      <c r="AV63" s="1290"/>
      <c r="AW63" s="1290"/>
      <c r="AX63" s="1290"/>
      <c r="AY63" s="1290"/>
      <c r="AZ63" s="1290"/>
      <c r="BA63" s="1290"/>
      <c r="BB63" s="1290"/>
      <c r="BC63" s="1290"/>
      <c r="BD63" s="1963"/>
      <c r="BE63" s="204" t="s">
        <v>118</v>
      </c>
      <c r="BF63" s="204" t="s">
        <v>163</v>
      </c>
      <c r="BG63" s="204" t="s">
        <v>164</v>
      </c>
      <c r="BH63" s="1381" t="s">
        <v>165</v>
      </c>
      <c r="BI63" s="1381" t="s">
        <v>166</v>
      </c>
      <c r="BJ63" s="1246"/>
      <c r="BK63" s="1246"/>
      <c r="BL63" s="1246"/>
      <c r="BM63" s="1246"/>
      <c r="BN63" s="1246"/>
      <c r="BO63" s="1246"/>
      <c r="BP63" s="1246"/>
      <c r="BQ63" s="1246"/>
    </row>
    <row r="64" spans="1:69" x14ac:dyDescent="0.25">
      <c r="A64" s="236"/>
      <c r="B64" s="237"/>
      <c r="C64" s="236"/>
      <c r="D64" s="236"/>
      <c r="E64" s="236"/>
      <c r="F64" s="236"/>
      <c r="G64" s="1310"/>
      <c r="H64" s="1333"/>
      <c r="I64" s="1357"/>
      <c r="J64" s="236"/>
      <c r="K64" s="236"/>
      <c r="L64" s="30"/>
      <c r="M64" s="109"/>
      <c r="N64" s="1383"/>
      <c r="O64" s="1383">
        <v>0</v>
      </c>
      <c r="P64" s="1383">
        <v>1</v>
      </c>
      <c r="Q64" s="1383">
        <v>2</v>
      </c>
      <c r="R64" s="1383">
        <v>3</v>
      </c>
      <c r="S64" s="1383">
        <v>4</v>
      </c>
      <c r="T64" s="1265"/>
      <c r="U64" s="1265"/>
      <c r="V64" s="1265"/>
      <c r="W64" s="1265"/>
      <c r="X64" s="1265"/>
      <c r="Y64" s="1265"/>
      <c r="Z64" s="1265"/>
      <c r="AA64" s="1265"/>
      <c r="AB64" s="1381"/>
      <c r="AC64" s="1381">
        <v>0</v>
      </c>
      <c r="AD64" s="1381">
        <v>1</v>
      </c>
      <c r="AE64" s="1381">
        <v>2</v>
      </c>
      <c r="AF64" s="1381">
        <v>3</v>
      </c>
      <c r="AG64" s="1381">
        <v>4</v>
      </c>
      <c r="AH64" s="1280"/>
      <c r="AI64" s="1280"/>
      <c r="AJ64" s="1280"/>
      <c r="AK64" s="1280"/>
      <c r="AL64" s="1280"/>
      <c r="AM64" s="1280"/>
      <c r="AN64" s="1280"/>
      <c r="AO64" s="1280"/>
      <c r="AP64" s="1296"/>
      <c r="AQ64" s="1296">
        <v>0</v>
      </c>
      <c r="AR64" s="1296">
        <v>1</v>
      </c>
      <c r="AS64" s="1296">
        <v>2</v>
      </c>
      <c r="AT64" s="1296">
        <v>3</v>
      </c>
      <c r="AU64" s="1296">
        <v>4</v>
      </c>
      <c r="AV64" s="1290"/>
      <c r="AW64" s="1290"/>
      <c r="AX64" s="1290"/>
      <c r="AY64" s="1290"/>
      <c r="AZ64" s="1290"/>
      <c r="BA64" s="1290"/>
      <c r="BB64" s="1290"/>
      <c r="BC64" s="1290"/>
      <c r="BD64" s="204"/>
      <c r="BE64" s="204">
        <v>0</v>
      </c>
      <c r="BF64" s="204">
        <v>1</v>
      </c>
      <c r="BG64" s="204">
        <v>2</v>
      </c>
      <c r="BH64" s="1296">
        <v>3</v>
      </c>
      <c r="BI64" s="1296">
        <v>4</v>
      </c>
      <c r="BJ64" s="1246"/>
      <c r="BK64" s="1246"/>
      <c r="BL64" s="1246"/>
      <c r="BM64" s="1246"/>
      <c r="BN64" s="1246"/>
      <c r="BO64" s="1246"/>
      <c r="BP64" s="1246"/>
      <c r="BQ64" s="1246"/>
    </row>
    <row r="65" spans="1:69" x14ac:dyDescent="0.25">
      <c r="A65" s="236"/>
      <c r="B65" s="237"/>
      <c r="C65" s="236"/>
      <c r="D65" s="236"/>
      <c r="E65" s="236"/>
      <c r="F65" s="236"/>
      <c r="G65" s="1310"/>
      <c r="H65" s="1333"/>
      <c r="I65" s="1357"/>
      <c r="J65" s="236"/>
      <c r="K65" s="236"/>
      <c r="L65" s="30"/>
      <c r="M65" s="109"/>
      <c r="N65" s="1399">
        <v>10000</v>
      </c>
      <c r="O65" s="1383">
        <v>0.61</v>
      </c>
      <c r="P65" s="1383">
        <v>0.55000000000000004</v>
      </c>
      <c r="Q65" s="1383">
        <v>0.5</v>
      </c>
      <c r="R65" s="1383">
        <v>0.44</v>
      </c>
      <c r="S65" s="1383">
        <f>S66</f>
        <v>0.89</v>
      </c>
      <c r="T65" s="1265"/>
      <c r="U65" s="1265"/>
      <c r="V65" s="1265"/>
      <c r="W65" s="1265"/>
      <c r="X65" s="1265"/>
      <c r="Y65" s="1265"/>
      <c r="Z65" s="1265"/>
      <c r="AA65" s="1265"/>
      <c r="AB65" s="1381">
        <v>8000</v>
      </c>
      <c r="AC65" s="1381">
        <v>0.57999999999999996</v>
      </c>
      <c r="AD65" s="1381">
        <v>0.53</v>
      </c>
      <c r="AE65" s="1381">
        <v>0.47</v>
      </c>
      <c r="AF65" s="1381">
        <v>0.42</v>
      </c>
      <c r="AG65" s="1581">
        <f>AG66</f>
        <v>0.61</v>
      </c>
      <c r="AH65" s="1280"/>
      <c r="AI65" s="1280"/>
      <c r="AJ65" s="1280"/>
      <c r="AK65" s="1280"/>
      <c r="AL65" s="1280"/>
      <c r="AM65" s="1280"/>
      <c r="AN65" s="1280"/>
      <c r="AO65" s="1280"/>
      <c r="AP65" s="1347">
        <v>5000</v>
      </c>
      <c r="AQ65" s="1296">
        <v>0.75</v>
      </c>
      <c r="AR65" s="1296">
        <v>0.68</v>
      </c>
      <c r="AS65" s="1296">
        <v>0.62</v>
      </c>
      <c r="AT65" s="1296">
        <v>0</v>
      </c>
      <c r="AU65" s="1296">
        <v>0</v>
      </c>
      <c r="AV65" s="1290"/>
      <c r="AW65" s="1290"/>
      <c r="AX65" s="1290"/>
      <c r="AY65" s="1290"/>
      <c r="AZ65" s="1290"/>
      <c r="BA65" s="1290"/>
      <c r="BB65" s="1290"/>
      <c r="BC65" s="1290"/>
      <c r="BD65" s="204">
        <v>2000</v>
      </c>
      <c r="BE65" s="204">
        <v>0.88</v>
      </c>
      <c r="BF65" s="204">
        <v>0.81</v>
      </c>
      <c r="BG65" s="204">
        <v>0.73</v>
      </c>
      <c r="BH65" s="1296">
        <v>0</v>
      </c>
      <c r="BI65" s="1296">
        <v>0</v>
      </c>
      <c r="BJ65" s="1246"/>
      <c r="BK65" s="1246"/>
      <c r="BL65" s="1246"/>
      <c r="BM65" s="1246"/>
      <c r="BN65" s="1246"/>
      <c r="BO65" s="1246"/>
      <c r="BP65" s="1246"/>
      <c r="BQ65" s="1246"/>
    </row>
    <row r="66" spans="1:69" x14ac:dyDescent="0.25">
      <c r="A66" s="236"/>
      <c r="B66" s="237"/>
      <c r="C66" s="236"/>
      <c r="D66" s="236"/>
      <c r="E66" s="236"/>
      <c r="F66" s="236"/>
      <c r="G66" s="1310"/>
      <c r="H66" s="1333"/>
      <c r="I66" s="1357"/>
      <c r="J66" s="236"/>
      <c r="K66" s="236"/>
      <c r="L66" s="30"/>
      <c r="M66" s="109"/>
      <c r="N66" s="1399">
        <v>8000</v>
      </c>
      <c r="O66" s="1383">
        <v>0.68</v>
      </c>
      <c r="P66" s="1383">
        <v>0.61</v>
      </c>
      <c r="Q66" s="1383">
        <v>0.55000000000000004</v>
      </c>
      <c r="R66" s="1383">
        <v>0.48</v>
      </c>
      <c r="S66" s="1383">
        <f>S67</f>
        <v>0.89</v>
      </c>
      <c r="T66" s="1265"/>
      <c r="U66" s="1265"/>
      <c r="V66" s="1265"/>
      <c r="W66" s="1265"/>
      <c r="X66" s="1265"/>
      <c r="Y66" s="1265"/>
      <c r="Z66" s="1265"/>
      <c r="AA66" s="1265"/>
      <c r="AB66" s="1381">
        <v>5000</v>
      </c>
      <c r="AC66" s="1381">
        <v>0.75</v>
      </c>
      <c r="AD66" s="1381">
        <v>0.68</v>
      </c>
      <c r="AE66" s="1381">
        <v>0.62</v>
      </c>
      <c r="AF66" s="1381">
        <v>0.55000000000000004</v>
      </c>
      <c r="AG66" s="1581">
        <f>AG67</f>
        <v>0.61</v>
      </c>
      <c r="AH66" s="1280"/>
      <c r="AI66" s="1280"/>
      <c r="AJ66" s="1280"/>
      <c r="AK66" s="1280"/>
      <c r="AL66" s="1280"/>
      <c r="AM66" s="1280"/>
      <c r="AN66" s="1280"/>
      <c r="AO66" s="1280"/>
      <c r="AP66" s="1347">
        <v>2000</v>
      </c>
      <c r="AQ66" s="1296">
        <v>0.97</v>
      </c>
      <c r="AR66" s="1296">
        <v>0.89</v>
      </c>
      <c r="AS66" s="1296">
        <v>0.8</v>
      </c>
      <c r="AT66" s="1296">
        <v>0</v>
      </c>
      <c r="AU66" s="1296">
        <v>0</v>
      </c>
      <c r="AV66" s="1290"/>
      <c r="AW66" s="1290"/>
      <c r="AX66" s="1290"/>
      <c r="AY66" s="1290"/>
      <c r="AZ66" s="1290"/>
      <c r="BA66" s="1290"/>
      <c r="BB66" s="1290"/>
      <c r="BC66" s="1290"/>
      <c r="BD66" s="204">
        <v>1000</v>
      </c>
      <c r="BE66" s="204">
        <v>1.03</v>
      </c>
      <c r="BF66" s="204">
        <v>0.94</v>
      </c>
      <c r="BG66" s="204">
        <v>0.86</v>
      </c>
      <c r="BH66" s="1296">
        <v>0</v>
      </c>
      <c r="BI66" s="1296">
        <v>0</v>
      </c>
      <c r="BJ66" s="1246"/>
      <c r="BK66" s="1246"/>
      <c r="BL66" s="1246"/>
      <c r="BM66" s="1246"/>
      <c r="BN66" s="1246"/>
      <c r="BO66" s="1246"/>
      <c r="BP66" s="1246"/>
      <c r="BQ66" s="1246"/>
    </row>
    <row r="67" spans="1:69" x14ac:dyDescent="0.25">
      <c r="A67" s="236"/>
      <c r="B67" s="238"/>
      <c r="C67" s="236"/>
      <c r="D67" s="236"/>
      <c r="E67" s="236"/>
      <c r="F67" s="236"/>
      <c r="G67" s="1310"/>
      <c r="H67" s="1333"/>
      <c r="I67" s="1357"/>
      <c r="J67" s="236"/>
      <c r="K67" s="236"/>
      <c r="L67" s="30"/>
      <c r="M67" s="109"/>
      <c r="N67" s="1399">
        <v>5000</v>
      </c>
      <c r="O67" s="1383">
        <v>0.89</v>
      </c>
      <c r="P67" s="1383">
        <v>0.8</v>
      </c>
      <c r="Q67" s="1383">
        <v>0.73</v>
      </c>
      <c r="R67" s="1383">
        <v>0.64</v>
      </c>
      <c r="S67" s="1383">
        <f>S68</f>
        <v>0.89</v>
      </c>
      <c r="T67" s="1265"/>
      <c r="U67" s="1265"/>
      <c r="V67" s="1265"/>
      <c r="W67" s="1265"/>
      <c r="X67" s="1265"/>
      <c r="Y67" s="1265"/>
      <c r="Z67" s="1265"/>
      <c r="AA67" s="1265"/>
      <c r="AB67" s="1381">
        <v>2000</v>
      </c>
      <c r="AC67" s="1381">
        <v>0.97</v>
      </c>
      <c r="AD67" s="1381">
        <v>0.89</v>
      </c>
      <c r="AE67" s="1381">
        <v>0.8</v>
      </c>
      <c r="AF67" s="1381">
        <v>0.72</v>
      </c>
      <c r="AG67" s="1381">
        <f>AG68</f>
        <v>0.61</v>
      </c>
      <c r="AH67" s="1280"/>
      <c r="AI67" s="1280"/>
      <c r="AJ67" s="1280"/>
      <c r="AK67" s="1280"/>
      <c r="AL67" s="1280"/>
      <c r="AM67" s="1280"/>
      <c r="AN67" s="1280"/>
      <c r="AO67" s="1280"/>
      <c r="AP67" s="1347">
        <v>1000</v>
      </c>
      <c r="AQ67" s="1296">
        <v>1.1299999999999999</v>
      </c>
      <c r="AR67" s="1296">
        <v>1.03</v>
      </c>
      <c r="AS67" s="1296">
        <v>0.95</v>
      </c>
      <c r="AT67" s="1296">
        <v>0</v>
      </c>
      <c r="AU67" s="1296">
        <v>0</v>
      </c>
      <c r="AV67" s="1290"/>
      <c r="AW67" s="1290"/>
      <c r="AX67" s="1290"/>
      <c r="AY67" s="1290"/>
      <c r="AZ67" s="1290"/>
      <c r="BA67" s="1290"/>
      <c r="BB67" s="1290"/>
      <c r="BC67" s="1290"/>
      <c r="BD67" s="204">
        <v>500</v>
      </c>
      <c r="BE67" s="204">
        <v>1.22</v>
      </c>
      <c r="BF67" s="204">
        <v>1.1000000000000001</v>
      </c>
      <c r="BG67" s="204">
        <v>1.01</v>
      </c>
      <c r="BH67" s="1296">
        <v>0</v>
      </c>
      <c r="BI67" s="1296">
        <v>0</v>
      </c>
      <c r="BJ67" s="1246"/>
      <c r="BK67" s="1246"/>
      <c r="BL67" s="1246"/>
      <c r="BM67" s="1246"/>
      <c r="BN67" s="1246"/>
      <c r="BO67" s="1246"/>
      <c r="BP67" s="1246"/>
      <c r="BQ67" s="1246"/>
    </row>
    <row r="68" spans="1:69" x14ac:dyDescent="0.25">
      <c r="A68" s="236"/>
      <c r="B68" s="237"/>
      <c r="C68" s="236"/>
      <c r="D68" s="236"/>
      <c r="E68" s="236"/>
      <c r="F68" s="236"/>
      <c r="G68" s="1310"/>
      <c r="H68" s="1333"/>
      <c r="I68" s="1357"/>
      <c r="J68" s="236"/>
      <c r="K68" s="236"/>
      <c r="L68" s="30"/>
      <c r="M68" s="109"/>
      <c r="N68" s="1399">
        <v>2000</v>
      </c>
      <c r="O68" s="1383">
        <v>1.1599999999999999</v>
      </c>
      <c r="P68" s="1383">
        <v>1.05</v>
      </c>
      <c r="Q68" s="1383">
        <v>0.94</v>
      </c>
      <c r="R68" s="1383">
        <v>0.83</v>
      </c>
      <c r="S68" s="1383">
        <f>S69</f>
        <v>0.89</v>
      </c>
      <c r="T68" s="1265"/>
      <c r="U68" s="1265"/>
      <c r="V68" s="1265"/>
      <c r="W68" s="1265"/>
      <c r="X68" s="1265"/>
      <c r="Y68" s="1265"/>
      <c r="Z68" s="1265"/>
      <c r="AA68" s="1265"/>
      <c r="AB68" s="1381">
        <v>1000</v>
      </c>
      <c r="AC68" s="1381">
        <v>1.1299999999999999</v>
      </c>
      <c r="AD68" s="1381">
        <v>1.03</v>
      </c>
      <c r="AE68" s="1381">
        <v>0.95</v>
      </c>
      <c r="AF68" s="1381">
        <v>0.85</v>
      </c>
      <c r="AG68" s="1381">
        <v>0.61</v>
      </c>
      <c r="AH68" s="1280"/>
      <c r="AI68" s="1280"/>
      <c r="AJ68" s="1280"/>
      <c r="AK68" s="1280"/>
      <c r="AL68" s="1280"/>
      <c r="AM68" s="1280"/>
      <c r="AN68" s="1280"/>
      <c r="AO68" s="1280"/>
      <c r="AP68" s="1347">
        <v>500</v>
      </c>
      <c r="AQ68" s="1296">
        <v>1.4</v>
      </c>
      <c r="AR68" s="1296">
        <v>1.27</v>
      </c>
      <c r="AS68" s="1296">
        <v>1.1599999999999999</v>
      </c>
      <c r="AT68" s="1296">
        <v>0</v>
      </c>
      <c r="AU68" s="1296">
        <v>0</v>
      </c>
      <c r="AV68" s="1290"/>
      <c r="AW68" s="1290"/>
      <c r="AX68" s="1290"/>
      <c r="AY68" s="1290"/>
      <c r="AZ68" s="1290"/>
      <c r="BA68" s="1290"/>
      <c r="BB68" s="1290"/>
      <c r="BC68" s="1290"/>
      <c r="BD68" s="204">
        <v>200</v>
      </c>
      <c r="BE68" s="204">
        <v>1.44</v>
      </c>
      <c r="BF68" s="204">
        <v>1.31</v>
      </c>
      <c r="BG68" s="204">
        <v>1.19</v>
      </c>
      <c r="BH68" s="1296">
        <v>0</v>
      </c>
      <c r="BI68" s="1296">
        <v>0</v>
      </c>
      <c r="BJ68" s="1246"/>
      <c r="BK68" s="1246"/>
      <c r="BL68" s="1246"/>
      <c r="BM68" s="1246"/>
      <c r="BN68" s="1246"/>
      <c r="BO68" s="1246"/>
      <c r="BP68" s="1246"/>
      <c r="BQ68" s="1246"/>
    </row>
    <row r="69" spans="1:69" x14ac:dyDescent="0.25">
      <c r="A69" s="236"/>
      <c r="B69" s="239"/>
      <c r="C69" s="236"/>
      <c r="D69" s="236"/>
      <c r="E69" s="236"/>
      <c r="F69" s="236"/>
      <c r="G69" s="1310"/>
      <c r="H69" s="1333"/>
      <c r="I69" s="1357"/>
      <c r="J69" s="236"/>
      <c r="K69" s="236"/>
      <c r="L69" s="30"/>
      <c r="M69" s="109"/>
      <c r="N69" s="1399">
        <v>1000</v>
      </c>
      <c r="O69" s="1383">
        <v>1.36</v>
      </c>
      <c r="P69" s="1383">
        <v>1.22</v>
      </c>
      <c r="Q69" s="1383">
        <v>1.1100000000000001</v>
      </c>
      <c r="R69" s="1383">
        <v>0.98</v>
      </c>
      <c r="S69" s="1383">
        <f>S70</f>
        <v>0.89</v>
      </c>
      <c r="T69" s="1265"/>
      <c r="U69" s="1265"/>
      <c r="V69" s="1265"/>
      <c r="W69" s="1265"/>
      <c r="X69" s="1265"/>
      <c r="Y69" s="1265"/>
      <c r="Z69" s="1265"/>
      <c r="AA69" s="1265"/>
      <c r="AB69" s="1381">
        <v>500</v>
      </c>
      <c r="AC69" s="1381">
        <v>1.4</v>
      </c>
      <c r="AD69" s="1381">
        <v>1.27</v>
      </c>
      <c r="AE69" s="1381">
        <v>1.1599999999999999</v>
      </c>
      <c r="AF69" s="1381">
        <v>1.04</v>
      </c>
      <c r="AG69" s="1381">
        <v>0.75</v>
      </c>
      <c r="AH69" s="1280"/>
      <c r="AI69" s="1280"/>
      <c r="AJ69" s="1280"/>
      <c r="AK69" s="1280"/>
      <c r="AL69" s="1280"/>
      <c r="AM69" s="1280"/>
      <c r="AN69" s="1280"/>
      <c r="AO69" s="1280"/>
      <c r="AP69" s="1347">
        <v>200</v>
      </c>
      <c r="AQ69" s="1296">
        <v>1.66</v>
      </c>
      <c r="AR69" s="1296">
        <v>1.51</v>
      </c>
      <c r="AS69" s="1296">
        <v>1.37</v>
      </c>
      <c r="AT69" s="1296">
        <v>0</v>
      </c>
      <c r="AU69" s="1296">
        <v>0</v>
      </c>
      <c r="AV69" s="1290"/>
      <c r="AW69" s="1290"/>
      <c r="AX69" s="1290"/>
      <c r="AY69" s="1290"/>
      <c r="AZ69" s="1290"/>
      <c r="BA69" s="1290"/>
      <c r="BB69" s="1290"/>
      <c r="BC69" s="1290"/>
      <c r="BD69" s="204">
        <v>100</v>
      </c>
      <c r="BE69" s="204">
        <v>1.58</v>
      </c>
      <c r="BF69" s="204">
        <v>1.43</v>
      </c>
      <c r="BG69" s="204">
        <v>1.31</v>
      </c>
      <c r="BH69" s="1296">
        <v>0</v>
      </c>
      <c r="BI69" s="1296">
        <v>0</v>
      </c>
      <c r="BJ69" s="1246"/>
      <c r="BK69" s="1246"/>
      <c r="BL69" s="1246"/>
      <c r="BM69" s="1246"/>
      <c r="BN69" s="1246"/>
      <c r="BO69" s="1246"/>
      <c r="BP69" s="1246"/>
      <c r="BQ69" s="1246"/>
    </row>
    <row r="70" spans="1:69" x14ac:dyDescent="0.25">
      <c r="A70" s="236"/>
      <c r="B70" s="237"/>
      <c r="C70" s="236"/>
      <c r="D70" s="236"/>
      <c r="E70" s="236"/>
      <c r="F70" s="236"/>
      <c r="G70" s="1310"/>
      <c r="H70" s="1333"/>
      <c r="I70" s="1357"/>
      <c r="J70" s="236"/>
      <c r="K70" s="236"/>
      <c r="L70" s="30"/>
      <c r="M70" s="109"/>
      <c r="N70" s="1399">
        <v>500</v>
      </c>
      <c r="O70" s="1383">
        <v>1.65</v>
      </c>
      <c r="P70" s="1383">
        <v>1.5</v>
      </c>
      <c r="Q70" s="1383">
        <v>1.37</v>
      </c>
      <c r="R70" s="1383">
        <v>1.21</v>
      </c>
      <c r="S70" s="1383">
        <v>0.89</v>
      </c>
      <c r="T70" s="1265"/>
      <c r="U70" s="1265"/>
      <c r="V70" s="1265"/>
      <c r="W70" s="1265"/>
      <c r="X70" s="1265"/>
      <c r="Y70" s="1265"/>
      <c r="Z70" s="1265"/>
      <c r="AA70" s="1265"/>
      <c r="AB70" s="1381">
        <v>200</v>
      </c>
      <c r="AC70" s="1381">
        <v>1.66</v>
      </c>
      <c r="AD70" s="1381">
        <v>1.51</v>
      </c>
      <c r="AE70" s="1381">
        <v>1.37</v>
      </c>
      <c r="AF70" s="1381">
        <v>1.23</v>
      </c>
      <c r="AG70" s="1381">
        <v>0.88</v>
      </c>
      <c r="AH70" s="1280"/>
      <c r="AI70" s="1280"/>
      <c r="AJ70" s="1280"/>
      <c r="AK70" s="1280"/>
      <c r="AL70" s="1280"/>
      <c r="AM70" s="1280"/>
      <c r="AN70" s="1280"/>
      <c r="AO70" s="1280"/>
      <c r="AP70" s="1347">
        <v>100</v>
      </c>
      <c r="AQ70" s="1296">
        <v>1.82</v>
      </c>
      <c r="AR70" s="1296">
        <v>1.64</v>
      </c>
      <c r="AS70" s="1296">
        <v>1.51</v>
      </c>
      <c r="AT70" s="1296">
        <v>0</v>
      </c>
      <c r="AU70" s="1296">
        <v>0</v>
      </c>
      <c r="AV70" s="1290"/>
      <c r="AW70" s="1290"/>
      <c r="AX70" s="1290"/>
      <c r="AY70" s="1290"/>
      <c r="AZ70" s="1290"/>
      <c r="BA70" s="1290"/>
      <c r="BB70" s="1290"/>
      <c r="BC70" s="1290"/>
      <c r="BD70" s="204">
        <v>50</v>
      </c>
      <c r="BE70" s="204">
        <v>1.74</v>
      </c>
      <c r="BF70" s="204">
        <v>1.58</v>
      </c>
      <c r="BG70" s="204">
        <v>1.44</v>
      </c>
      <c r="BH70" s="1296">
        <v>0</v>
      </c>
      <c r="BI70" s="1296">
        <v>0</v>
      </c>
      <c r="BJ70" s="1246"/>
      <c r="BK70" s="1246"/>
      <c r="BL70" s="1246"/>
      <c r="BM70" s="1246"/>
      <c r="BN70" s="1246"/>
      <c r="BO70" s="1246"/>
      <c r="BP70" s="1246"/>
      <c r="BQ70" s="1246"/>
    </row>
    <row r="71" spans="1:69" x14ac:dyDescent="0.25">
      <c r="A71" s="236"/>
      <c r="B71" s="237"/>
      <c r="C71" s="236"/>
      <c r="D71" s="236"/>
      <c r="E71" s="236"/>
      <c r="F71" s="236"/>
      <c r="G71" s="1310"/>
      <c r="H71" s="1333"/>
      <c r="I71" s="1357"/>
      <c r="J71" s="236"/>
      <c r="K71" s="236"/>
      <c r="L71" s="30"/>
      <c r="M71" s="109"/>
      <c r="N71" s="1399">
        <v>200</v>
      </c>
      <c r="O71" s="1383">
        <v>1.96</v>
      </c>
      <c r="P71" s="1383">
        <v>1.78</v>
      </c>
      <c r="Q71" s="1383">
        <v>1.62</v>
      </c>
      <c r="R71" s="1383">
        <v>1.43</v>
      </c>
      <c r="S71" s="1383">
        <v>1.06</v>
      </c>
      <c r="T71" s="1265"/>
      <c r="U71" s="1265"/>
      <c r="V71" s="1265"/>
      <c r="W71" s="1265"/>
      <c r="X71" s="1265"/>
      <c r="Y71" s="1265"/>
      <c r="Z71" s="1265"/>
      <c r="AA71" s="1265"/>
      <c r="AB71" s="1381">
        <v>100</v>
      </c>
      <c r="AC71" s="1381">
        <v>1.82</v>
      </c>
      <c r="AD71" s="1381">
        <v>1.64</v>
      </c>
      <c r="AE71" s="1381">
        <v>1.51</v>
      </c>
      <c r="AF71" s="1381">
        <v>1.34</v>
      </c>
      <c r="AG71" s="1381">
        <v>1.04</v>
      </c>
      <c r="AH71" s="1280"/>
      <c r="AI71" s="1280"/>
      <c r="AJ71" s="1280"/>
      <c r="AK71" s="1280"/>
      <c r="AL71" s="1280"/>
      <c r="AM71" s="1280"/>
      <c r="AN71" s="1280"/>
      <c r="AO71" s="1280"/>
      <c r="AP71" s="1347">
        <v>50</v>
      </c>
      <c r="AQ71" s="1296">
        <v>2</v>
      </c>
      <c r="AR71" s="1296">
        <v>1.82</v>
      </c>
      <c r="AS71" s="1296">
        <v>1.66</v>
      </c>
      <c r="AT71" s="1296">
        <v>0</v>
      </c>
      <c r="AU71" s="1296">
        <v>0</v>
      </c>
      <c r="AV71" s="1290"/>
      <c r="AW71" s="1290"/>
      <c r="AX71" s="1290"/>
      <c r="AY71" s="1290"/>
      <c r="AZ71" s="1290"/>
      <c r="BA71" s="1290"/>
      <c r="BB71" s="1290"/>
      <c r="BC71" s="1290"/>
      <c r="BD71" s="204">
        <v>20</v>
      </c>
      <c r="BE71" s="204">
        <v>2.0699999999999998</v>
      </c>
      <c r="BF71" s="204">
        <v>1.89</v>
      </c>
      <c r="BG71" s="204">
        <v>1.7</v>
      </c>
      <c r="BH71" s="1296">
        <v>0</v>
      </c>
      <c r="BI71" s="1296">
        <v>0</v>
      </c>
      <c r="BJ71" s="1246"/>
      <c r="BK71" s="1246"/>
      <c r="BL71" s="1246"/>
      <c r="BM71" s="1246"/>
      <c r="BN71" s="1246"/>
      <c r="BO71" s="1246"/>
      <c r="BP71" s="1246"/>
      <c r="BQ71" s="1246"/>
    </row>
    <row r="72" spans="1:69" x14ac:dyDescent="0.25">
      <c r="A72" s="236"/>
      <c r="B72" s="237"/>
      <c r="C72" s="236"/>
      <c r="D72" s="236"/>
      <c r="E72" s="236"/>
      <c r="F72" s="236"/>
      <c r="G72" s="1310"/>
      <c r="H72" s="1333"/>
      <c r="I72" s="1357"/>
      <c r="J72" s="236"/>
      <c r="K72" s="236"/>
      <c r="L72" s="30"/>
      <c r="M72" s="109"/>
      <c r="N72" s="1399">
        <v>100</v>
      </c>
      <c r="O72" s="1383">
        <v>2.15</v>
      </c>
      <c r="P72" s="1383">
        <v>1.94</v>
      </c>
      <c r="Q72" s="1383">
        <v>1.77</v>
      </c>
      <c r="R72" s="1383">
        <v>1.57</v>
      </c>
      <c r="S72" s="1383">
        <v>1.3</v>
      </c>
      <c r="T72" s="1265"/>
      <c r="U72" s="1265"/>
      <c r="V72" s="1265"/>
      <c r="W72" s="1265"/>
      <c r="X72" s="1265"/>
      <c r="Y72" s="1265"/>
      <c r="Z72" s="1265"/>
      <c r="AA72" s="1265"/>
      <c r="AB72" s="1381">
        <v>50</v>
      </c>
      <c r="AC72" s="1381">
        <v>2</v>
      </c>
      <c r="AD72" s="1381">
        <v>1.82</v>
      </c>
      <c r="AE72" s="1381">
        <v>1.66</v>
      </c>
      <c r="AF72" s="1381">
        <v>1.48</v>
      </c>
      <c r="AG72" s="1381">
        <v>1.23</v>
      </c>
      <c r="AH72" s="1280"/>
      <c r="AI72" s="1280"/>
      <c r="AJ72" s="1280"/>
      <c r="AK72" s="1280"/>
      <c r="AL72" s="1280"/>
      <c r="AM72" s="1280"/>
      <c r="AN72" s="1280"/>
      <c r="AO72" s="1280"/>
      <c r="AP72" s="1347">
        <v>20</v>
      </c>
      <c r="AQ72" s="1296">
        <v>2.38</v>
      </c>
      <c r="AR72" s="1296">
        <v>2.17</v>
      </c>
      <c r="AS72" s="1296">
        <v>1.96</v>
      </c>
      <c r="AT72" s="1296">
        <v>0</v>
      </c>
      <c r="AU72" s="1296">
        <v>0</v>
      </c>
      <c r="AV72" s="1290"/>
      <c r="AW72" s="1290"/>
      <c r="AX72" s="1290"/>
      <c r="AY72" s="1290"/>
      <c r="AZ72" s="1290"/>
      <c r="BA72" s="1290"/>
      <c r="BB72" s="1290"/>
      <c r="BC72" s="1290"/>
      <c r="BD72" s="204">
        <v>10</v>
      </c>
      <c r="BE72" s="204">
        <v>2.38</v>
      </c>
      <c r="BF72" s="204">
        <v>2.16</v>
      </c>
      <c r="BG72" s="204">
        <v>1.96</v>
      </c>
      <c r="BH72" s="1296">
        <v>0</v>
      </c>
      <c r="BI72" s="1296">
        <v>0</v>
      </c>
      <c r="BJ72" s="1246"/>
      <c r="BK72" s="1246"/>
      <c r="BL72" s="1246"/>
      <c r="BM72" s="1246"/>
      <c r="BN72" s="1246"/>
      <c r="BO72" s="1246"/>
      <c r="BP72" s="1246"/>
      <c r="BQ72" s="1246"/>
    </row>
    <row r="73" spans="1:69" x14ac:dyDescent="0.25">
      <c r="A73" s="236"/>
      <c r="B73" s="237"/>
      <c r="C73" s="236"/>
      <c r="D73" s="236"/>
      <c r="E73" s="236"/>
      <c r="F73" s="236"/>
      <c r="G73" s="1310"/>
      <c r="H73" s="1333"/>
      <c r="I73" s="1357"/>
      <c r="J73" s="236"/>
      <c r="K73" s="236"/>
      <c r="L73" s="30"/>
      <c r="M73" s="109"/>
      <c r="N73" s="1399">
        <v>50</v>
      </c>
      <c r="O73" s="1383">
        <v>2.36</v>
      </c>
      <c r="P73" s="1383">
        <v>2.14</v>
      </c>
      <c r="Q73" s="1383">
        <v>1.96</v>
      </c>
      <c r="R73" s="1383">
        <v>1.74</v>
      </c>
      <c r="S73" s="1383">
        <v>1.48</v>
      </c>
      <c r="T73" s="1265"/>
      <c r="U73" s="1265"/>
      <c r="V73" s="1265"/>
      <c r="W73" s="1265"/>
      <c r="X73" s="1265"/>
      <c r="Y73" s="1265"/>
      <c r="Z73" s="1265"/>
      <c r="AA73" s="1265"/>
      <c r="AB73" s="1381">
        <v>20</v>
      </c>
      <c r="AC73" s="1381">
        <v>2.38</v>
      </c>
      <c r="AD73" s="1381">
        <v>2.17</v>
      </c>
      <c r="AE73" s="1381">
        <v>1.96</v>
      </c>
      <c r="AF73" s="1381">
        <v>1.76</v>
      </c>
      <c r="AG73" s="1381">
        <v>1.57</v>
      </c>
      <c r="AH73" s="1280"/>
      <c r="AI73" s="1280"/>
      <c r="AJ73" s="1280"/>
      <c r="AK73" s="1280"/>
      <c r="AL73" s="1280"/>
      <c r="AM73" s="1280"/>
      <c r="AN73" s="1280"/>
      <c r="AO73" s="1280"/>
      <c r="AP73" s="1347">
        <v>10</v>
      </c>
      <c r="AQ73" s="1296">
        <v>2.74</v>
      </c>
      <c r="AR73" s="1296">
        <v>2.48</v>
      </c>
      <c r="AS73" s="1296">
        <v>2.25</v>
      </c>
      <c r="AT73" s="1296">
        <v>0</v>
      </c>
      <c r="AU73" s="1296">
        <v>0</v>
      </c>
      <c r="AV73" s="1290"/>
      <c r="AW73" s="1290"/>
      <c r="AX73" s="1290"/>
      <c r="AY73" s="1290"/>
      <c r="AZ73" s="1290"/>
      <c r="BA73" s="1290"/>
      <c r="BB73" s="1290"/>
      <c r="BC73" s="1290"/>
      <c r="BD73" s="204">
        <v>7</v>
      </c>
      <c r="BE73" s="204">
        <v>0</v>
      </c>
      <c r="BF73" s="204">
        <v>0</v>
      </c>
      <c r="BG73" s="204">
        <v>2.0499999999999998</v>
      </c>
      <c r="BH73" s="1296">
        <v>0</v>
      </c>
      <c r="BI73" s="1296">
        <v>0</v>
      </c>
      <c r="BJ73" s="1246"/>
      <c r="BK73" s="1246"/>
      <c r="BL73" s="1246"/>
      <c r="BM73" s="1246"/>
      <c r="BN73" s="1246"/>
      <c r="BO73" s="1246"/>
      <c r="BP73" s="1246"/>
      <c r="BQ73" s="1246"/>
    </row>
    <row r="74" spans="1:69" x14ac:dyDescent="0.25">
      <c r="A74" s="236"/>
      <c r="B74" s="237"/>
      <c r="C74" s="236"/>
      <c r="D74" s="236"/>
      <c r="E74" s="236"/>
      <c r="F74" s="236"/>
      <c r="G74" s="1310"/>
      <c r="H74" s="1333"/>
      <c r="I74" s="1357"/>
      <c r="J74" s="236"/>
      <c r="K74" s="236"/>
      <c r="L74" s="30"/>
      <c r="M74" s="109"/>
      <c r="N74" s="1399">
        <v>20</v>
      </c>
      <c r="O74" s="1383">
        <v>2.81</v>
      </c>
      <c r="P74" s="1383">
        <v>2.5499999999999998</v>
      </c>
      <c r="Q74" s="1383">
        <v>2.33</v>
      </c>
      <c r="R74" s="1383">
        <v>2.0699999999999998</v>
      </c>
      <c r="S74" s="1383">
        <v>1.81</v>
      </c>
      <c r="T74" s="1265"/>
      <c r="U74" s="1265"/>
      <c r="V74" s="1265"/>
      <c r="W74" s="1265"/>
      <c r="X74" s="1265"/>
      <c r="Y74" s="1265"/>
      <c r="Z74" s="1265"/>
      <c r="AA74" s="1265"/>
      <c r="AB74" s="1381">
        <v>10</v>
      </c>
      <c r="AC74" s="1381">
        <v>2.74</v>
      </c>
      <c r="AD74" s="1381">
        <v>2.48</v>
      </c>
      <c r="AE74" s="1381">
        <v>2.25</v>
      </c>
      <c r="AF74" s="1381">
        <v>2.0299999999999998</v>
      </c>
      <c r="AG74" s="1381">
        <v>1.8</v>
      </c>
      <c r="AH74" s="1280"/>
      <c r="AI74" s="1280"/>
      <c r="AJ74" s="1280"/>
      <c r="AK74" s="1280"/>
      <c r="AL74" s="1280"/>
      <c r="AM74" s="1280"/>
      <c r="AN74" s="1280"/>
      <c r="AO74" s="1280"/>
      <c r="AP74" s="1347">
        <v>7</v>
      </c>
      <c r="AQ74" s="1582">
        <f>AQ73</f>
        <v>2.74</v>
      </c>
      <c r="AR74" s="1296">
        <f>AR73</f>
        <v>2.48</v>
      </c>
      <c r="AS74" s="1296">
        <v>2.36</v>
      </c>
      <c r="AT74" s="1296">
        <v>0</v>
      </c>
      <c r="AU74" s="1296">
        <v>0</v>
      </c>
      <c r="AV74" s="1290"/>
      <c r="AW74" s="1290"/>
      <c r="AX74" s="1290"/>
      <c r="AY74" s="1290"/>
      <c r="AZ74" s="1290"/>
      <c r="BA74" s="1290"/>
      <c r="BB74" s="1290"/>
      <c r="BC74" s="1290"/>
      <c r="BD74" s="204">
        <v>3</v>
      </c>
      <c r="BE74" s="204">
        <v>0</v>
      </c>
      <c r="BF74" s="204">
        <v>0</v>
      </c>
      <c r="BG74" s="204">
        <v>2.2799999999999998</v>
      </c>
      <c r="BH74" s="1296">
        <v>0</v>
      </c>
      <c r="BI74" s="1296">
        <v>0</v>
      </c>
      <c r="BJ74" s="1246"/>
      <c r="BK74" s="1246"/>
      <c r="BL74" s="1246"/>
      <c r="BM74" s="1246"/>
      <c r="BN74" s="1246"/>
      <c r="BO74" s="1246"/>
      <c r="BP74" s="1246"/>
      <c r="BQ74" s="1246"/>
    </row>
    <row r="75" spans="1:69" x14ac:dyDescent="0.25">
      <c r="A75" s="236"/>
      <c r="B75" s="237"/>
      <c r="C75" s="236"/>
      <c r="D75" s="236"/>
      <c r="E75" s="236"/>
      <c r="F75" s="236"/>
      <c r="G75" s="1310"/>
      <c r="H75" s="1333"/>
      <c r="I75" s="1357"/>
      <c r="J75" s="236"/>
      <c r="K75" s="236"/>
      <c r="L75" s="30"/>
      <c r="M75" s="109"/>
      <c r="N75" s="1399">
        <v>10</v>
      </c>
      <c r="O75" s="1383">
        <v>3.22</v>
      </c>
      <c r="P75" s="1383">
        <v>2.93</v>
      </c>
      <c r="Q75" s="1383">
        <v>2.67</v>
      </c>
      <c r="R75" s="1383">
        <v>2.36</v>
      </c>
      <c r="S75" s="1383">
        <v>2.0699999999999998</v>
      </c>
      <c r="T75" s="1265"/>
      <c r="U75" s="1265"/>
      <c r="V75" s="1265"/>
      <c r="W75" s="1265"/>
      <c r="X75" s="1265"/>
      <c r="Y75" s="1265"/>
      <c r="Z75" s="1265"/>
      <c r="AA75" s="1265"/>
      <c r="AB75" s="1381">
        <v>7</v>
      </c>
      <c r="AC75" s="1567">
        <v>2.74</v>
      </c>
      <c r="AD75" s="1567">
        <v>2.48</v>
      </c>
      <c r="AE75" s="1381">
        <v>2.36</v>
      </c>
      <c r="AF75" s="1381">
        <v>2.12</v>
      </c>
      <c r="AG75" s="1381">
        <v>1.88</v>
      </c>
      <c r="AH75" s="1280"/>
      <c r="AI75" s="1280"/>
      <c r="AJ75" s="1280"/>
      <c r="AK75" s="1280"/>
      <c r="AL75" s="1280"/>
      <c r="AM75" s="1280"/>
      <c r="AN75" s="1280"/>
      <c r="AO75" s="1280"/>
      <c r="AP75" s="1290"/>
      <c r="AQ75" s="1290"/>
      <c r="AR75" s="1290"/>
      <c r="AS75" s="1290"/>
      <c r="AT75" s="1297"/>
      <c r="AU75" s="1297"/>
      <c r="AV75" s="1290"/>
      <c r="AW75" s="1290"/>
      <c r="AX75" s="1290"/>
      <c r="AY75" s="1290"/>
      <c r="AZ75" s="1290"/>
      <c r="BA75" s="1290"/>
      <c r="BB75" s="1290"/>
      <c r="BC75" s="1290"/>
      <c r="BD75" s="1246"/>
      <c r="BE75" s="1246"/>
      <c r="BF75" s="1246"/>
      <c r="BG75" s="1246"/>
      <c r="BH75" s="201"/>
      <c r="BI75" s="201"/>
      <c r="BJ75" s="1246"/>
      <c r="BK75" s="1246"/>
      <c r="BL75" s="1246"/>
      <c r="BM75" s="1246"/>
      <c r="BN75" s="1246"/>
      <c r="BO75" s="1246"/>
      <c r="BP75" s="1246"/>
      <c r="BQ75" s="1246"/>
    </row>
    <row r="76" spans="1:69" x14ac:dyDescent="0.25">
      <c r="A76" s="236"/>
      <c r="B76" s="237"/>
      <c r="C76" s="236"/>
      <c r="D76" s="236"/>
      <c r="E76" s="236"/>
      <c r="F76" s="236"/>
      <c r="G76" s="1310"/>
      <c r="H76" s="1333"/>
      <c r="I76" s="1357"/>
      <c r="J76" s="236"/>
      <c r="K76" s="236"/>
      <c r="L76" s="30"/>
      <c r="M76" s="30"/>
      <c r="N76" s="1271" t="s">
        <v>167</v>
      </c>
      <c r="O76" s="1272"/>
      <c r="P76" s="1271"/>
      <c r="Q76" s="1271"/>
      <c r="R76" s="1272"/>
      <c r="S76" s="1272"/>
      <c r="T76" s="1272"/>
      <c r="U76" s="1265"/>
      <c r="V76" s="1265"/>
      <c r="W76" s="1265"/>
      <c r="X76" s="1265"/>
      <c r="Y76" s="1265"/>
      <c r="Z76" s="1265"/>
      <c r="AA76" s="1265"/>
      <c r="AB76" s="1284" t="s">
        <v>167</v>
      </c>
      <c r="AC76" s="1285"/>
      <c r="AD76" s="1284"/>
      <c r="AE76" s="1284"/>
      <c r="AF76" s="1285"/>
      <c r="AG76" s="1285"/>
      <c r="AH76" s="1285"/>
      <c r="AI76" s="1280"/>
      <c r="AJ76" s="1280"/>
      <c r="AK76" s="1280"/>
      <c r="AL76" s="1280"/>
      <c r="AM76" s="1280"/>
      <c r="AN76" s="1280"/>
      <c r="AO76" s="1280"/>
      <c r="AP76" s="1294" t="s">
        <v>167</v>
      </c>
      <c r="AQ76" s="1295"/>
      <c r="AR76" s="1294"/>
      <c r="AS76" s="1294"/>
      <c r="AT76" s="1295"/>
      <c r="AU76" s="1295"/>
      <c r="AV76" s="1295"/>
      <c r="AW76" s="1290"/>
      <c r="AX76" s="1290"/>
      <c r="AY76" s="1290"/>
      <c r="AZ76" s="1290"/>
      <c r="BA76" s="1290"/>
      <c r="BB76" s="1290"/>
      <c r="BC76" s="1290"/>
      <c r="BD76" s="1250" t="s">
        <v>167</v>
      </c>
      <c r="BE76" s="1251"/>
      <c r="BF76" s="1250"/>
      <c r="BG76" s="1250"/>
      <c r="BH76" s="1251"/>
      <c r="BI76" s="1251"/>
      <c r="BJ76" s="1251"/>
      <c r="BK76" s="1246"/>
      <c r="BL76" s="1246"/>
      <c r="BM76" s="1246"/>
      <c r="BN76" s="1246"/>
      <c r="BO76" s="1246"/>
      <c r="BP76" s="1246"/>
      <c r="BQ76" s="1246"/>
    </row>
    <row r="77" spans="1:69" ht="15.75" customHeight="1" x14ac:dyDescent="0.25">
      <c r="A77" s="236"/>
      <c r="B77" s="237"/>
      <c r="C77" s="236"/>
      <c r="D77" s="236"/>
      <c r="E77" s="236"/>
      <c r="F77" s="236"/>
      <c r="G77" s="1310"/>
      <c r="H77" s="1333"/>
      <c r="I77" s="1357"/>
      <c r="J77" s="236"/>
      <c r="K77" s="236"/>
      <c r="L77" s="30"/>
      <c r="M77" s="109"/>
      <c r="N77" s="1993" t="s">
        <v>162</v>
      </c>
      <c r="O77" s="1965" t="s">
        <v>117</v>
      </c>
      <c r="P77" s="1965"/>
      <c r="Q77" s="1965"/>
      <c r="R77" s="1965"/>
      <c r="S77" s="1965"/>
      <c r="AB77" s="1968" t="s">
        <v>162</v>
      </c>
      <c r="AC77" s="1957" t="s">
        <v>117</v>
      </c>
      <c r="AD77" s="1958"/>
      <c r="AE77" s="1958"/>
      <c r="AF77" s="1958"/>
      <c r="AG77" s="1959"/>
      <c r="AH77" s="1280"/>
      <c r="AI77" s="1280"/>
      <c r="AJ77" s="1280"/>
      <c r="AK77" s="1280"/>
      <c r="AL77" s="1280"/>
      <c r="AM77" s="1280"/>
      <c r="AN77" s="1280"/>
      <c r="AO77" s="1280"/>
      <c r="AP77" s="1966" t="s">
        <v>162</v>
      </c>
      <c r="AQ77" s="1931" t="s">
        <v>117</v>
      </c>
      <c r="AR77" s="1932"/>
      <c r="AS77" s="1932"/>
      <c r="AT77" s="1932"/>
      <c r="AU77" s="1933"/>
      <c r="AV77" s="1290"/>
      <c r="AW77" s="1290"/>
      <c r="AX77" s="1290"/>
      <c r="AY77" s="1290"/>
      <c r="AZ77" s="1290"/>
      <c r="BA77" s="1290"/>
      <c r="BB77" s="1290"/>
      <c r="BC77" s="1290"/>
      <c r="BD77" s="1963" t="s">
        <v>162</v>
      </c>
      <c r="BE77" s="1930" t="s">
        <v>117</v>
      </c>
      <c r="BF77" s="1930"/>
      <c r="BG77" s="1930"/>
      <c r="BH77" s="1930"/>
      <c r="BI77" s="1930"/>
      <c r="BJ77" s="1246"/>
      <c r="BK77" s="1246"/>
      <c r="BL77" s="1246"/>
      <c r="BM77" s="1246"/>
      <c r="BN77" s="1246"/>
      <c r="BO77" s="1246"/>
      <c r="BP77" s="1246"/>
      <c r="BQ77" s="1246"/>
    </row>
    <row r="78" spans="1:69" x14ac:dyDescent="0.25">
      <c r="A78" s="236"/>
      <c r="B78" s="237"/>
      <c r="C78" s="236"/>
      <c r="D78" s="236"/>
      <c r="E78" s="236"/>
      <c r="F78" s="236"/>
      <c r="G78" s="1310"/>
      <c r="H78" s="1333"/>
      <c r="I78" s="1357"/>
      <c r="J78" s="236"/>
      <c r="K78" s="236"/>
      <c r="L78" s="30"/>
      <c r="M78" s="109"/>
      <c r="N78" s="1994"/>
      <c r="O78" s="1383" t="s">
        <v>118</v>
      </c>
      <c r="P78" s="1383" t="s">
        <v>163</v>
      </c>
      <c r="Q78" s="1383" t="s">
        <v>164</v>
      </c>
      <c r="R78" s="1383" t="s">
        <v>165</v>
      </c>
      <c r="S78" s="1383" t="s">
        <v>166</v>
      </c>
      <c r="T78" s="1265"/>
      <c r="U78" s="1265"/>
      <c r="V78" s="1265"/>
      <c r="W78" s="1265"/>
      <c r="X78" s="1265"/>
      <c r="Y78" s="1265"/>
      <c r="Z78" s="1265"/>
      <c r="AA78" s="1265"/>
      <c r="AB78" s="1969"/>
      <c r="AC78" s="1381" t="s">
        <v>118</v>
      </c>
      <c r="AD78" s="1381" t="s">
        <v>163</v>
      </c>
      <c r="AE78" s="1381" t="s">
        <v>164</v>
      </c>
      <c r="AF78" s="1381" t="s">
        <v>165</v>
      </c>
      <c r="AG78" s="1381" t="s">
        <v>166</v>
      </c>
      <c r="AH78" s="1280"/>
      <c r="AI78" s="1280"/>
      <c r="AJ78" s="1280"/>
      <c r="AK78" s="1280"/>
      <c r="AL78" s="1280"/>
      <c r="AM78" s="1280"/>
      <c r="AN78" s="1280"/>
      <c r="AO78" s="1280"/>
      <c r="AP78" s="1967"/>
      <c r="AQ78" s="1296" t="s">
        <v>118</v>
      </c>
      <c r="AR78" s="1296" t="s">
        <v>163</v>
      </c>
      <c r="AS78" s="1296" t="s">
        <v>164</v>
      </c>
      <c r="AT78" s="1296" t="s">
        <v>165</v>
      </c>
      <c r="AU78" s="1296" t="s">
        <v>166</v>
      </c>
      <c r="AV78" s="1290"/>
      <c r="AW78" s="1290"/>
      <c r="AX78" s="1290"/>
      <c r="AY78" s="1290"/>
      <c r="AZ78" s="1290"/>
      <c r="BA78" s="1290"/>
      <c r="BB78" s="1290"/>
      <c r="BC78" s="1290"/>
      <c r="BD78" s="1963"/>
      <c r="BE78" s="204" t="s">
        <v>118</v>
      </c>
      <c r="BF78" s="204" t="s">
        <v>163</v>
      </c>
      <c r="BG78" s="204" t="s">
        <v>164</v>
      </c>
      <c r="BH78" s="1381" t="s">
        <v>165</v>
      </c>
      <c r="BI78" s="1381" t="s">
        <v>166</v>
      </c>
      <c r="BJ78" s="1246"/>
      <c r="BK78" s="1246"/>
      <c r="BL78" s="1246"/>
      <c r="BM78" s="1246"/>
      <c r="BN78" s="1246"/>
      <c r="BO78" s="1246"/>
      <c r="BP78" s="1246"/>
      <c r="BQ78" s="1246"/>
    </row>
    <row r="79" spans="1:69" x14ac:dyDescent="0.25">
      <c r="A79" s="236"/>
      <c r="B79" s="237"/>
      <c r="C79" s="236"/>
      <c r="D79" s="236"/>
      <c r="E79" s="236"/>
      <c r="F79" s="236"/>
      <c r="G79" s="1310"/>
      <c r="H79" s="1333"/>
      <c r="I79" s="1357"/>
      <c r="J79" s="236"/>
      <c r="K79" s="236"/>
      <c r="L79" s="30"/>
      <c r="M79" s="109"/>
      <c r="N79" s="1466"/>
      <c r="O79" s="1383">
        <v>0</v>
      </c>
      <c r="P79" s="1383">
        <v>1</v>
      </c>
      <c r="Q79" s="1383">
        <v>2</v>
      </c>
      <c r="R79" s="1383">
        <v>3</v>
      </c>
      <c r="S79" s="1383">
        <v>4</v>
      </c>
      <c r="T79" s="1265"/>
      <c r="U79" s="1265"/>
      <c r="V79" s="1265"/>
      <c r="W79" s="1265"/>
      <c r="X79" s="1265"/>
      <c r="Y79" s="1265"/>
      <c r="Z79" s="1265"/>
      <c r="AA79" s="1265"/>
      <c r="AB79" s="1381"/>
      <c r="AC79" s="1381">
        <v>0</v>
      </c>
      <c r="AD79" s="1381">
        <v>1</v>
      </c>
      <c r="AE79" s="1381">
        <v>2</v>
      </c>
      <c r="AF79" s="1381">
        <v>3</v>
      </c>
      <c r="AG79" s="1381">
        <v>4</v>
      </c>
      <c r="AH79" s="1280"/>
      <c r="AI79" s="1280"/>
      <c r="AJ79" s="1280"/>
      <c r="AK79" s="1280"/>
      <c r="AL79" s="1280"/>
      <c r="AM79" s="1280"/>
      <c r="AN79" s="1280"/>
      <c r="AO79" s="1280"/>
      <c r="AP79" s="1296"/>
      <c r="AQ79" s="1296">
        <v>0</v>
      </c>
      <c r="AR79" s="1296">
        <v>1</v>
      </c>
      <c r="AS79" s="1296">
        <v>2</v>
      </c>
      <c r="AT79" s="1296">
        <v>3</v>
      </c>
      <c r="AU79" s="1296">
        <v>4</v>
      </c>
      <c r="AV79" s="1290"/>
      <c r="AW79" s="1290"/>
      <c r="AX79" s="1290"/>
      <c r="AY79" s="1290"/>
      <c r="AZ79" s="1290"/>
      <c r="BA79" s="1290"/>
      <c r="BB79" s="1290"/>
      <c r="BC79" s="1290"/>
      <c r="BD79" s="204"/>
      <c r="BE79" s="204">
        <v>0</v>
      </c>
      <c r="BF79" s="204">
        <v>1</v>
      </c>
      <c r="BG79" s="204">
        <v>2</v>
      </c>
      <c r="BH79" s="1296">
        <v>3</v>
      </c>
      <c r="BI79" s="1296">
        <v>4</v>
      </c>
      <c r="BJ79" s="1246"/>
      <c r="BK79" s="1246"/>
      <c r="BL79" s="1246"/>
      <c r="BM79" s="1246"/>
      <c r="BN79" s="1246"/>
      <c r="BO79" s="1246"/>
      <c r="BP79" s="1246"/>
      <c r="BQ79" s="1246"/>
    </row>
    <row r="80" spans="1:69" x14ac:dyDescent="0.25">
      <c r="A80" s="236"/>
      <c r="B80" s="240" t="s">
        <v>3787</v>
      </c>
      <c r="C80" s="274"/>
      <c r="D80" s="274"/>
      <c r="E80" s="274"/>
      <c r="F80" s="274"/>
      <c r="G80" s="1311"/>
      <c r="H80" s="1334"/>
      <c r="I80" s="1358"/>
      <c r="J80" s="274"/>
      <c r="K80" s="274"/>
      <c r="L80" s="33" t="s">
        <v>610</v>
      </c>
      <c r="M80" s="113"/>
      <c r="N80" s="1399">
        <v>10000</v>
      </c>
      <c r="O80" s="1383">
        <f t="shared" ref="O80:S90" si="7">O65*0.55</f>
        <v>0.33550000000000002</v>
      </c>
      <c r="P80" s="1383">
        <f t="shared" si="7"/>
        <v>0.30250000000000005</v>
      </c>
      <c r="Q80" s="1383">
        <f t="shared" si="7"/>
        <v>0.27500000000000002</v>
      </c>
      <c r="R80" s="1383">
        <f t="shared" si="7"/>
        <v>0.24200000000000002</v>
      </c>
      <c r="S80" s="1383">
        <f t="shared" si="7"/>
        <v>0.48950000000000005</v>
      </c>
      <c r="T80" s="1265"/>
      <c r="U80" s="1265"/>
      <c r="V80" s="1265"/>
      <c r="W80" s="1265"/>
      <c r="X80" s="1265"/>
      <c r="Y80" s="1265"/>
      <c r="Z80" s="1265"/>
      <c r="AA80" s="1265"/>
      <c r="AB80" s="1381">
        <v>8000</v>
      </c>
      <c r="AC80" s="1381">
        <f t="shared" ref="AC80:AG90" si="8">ROUND(AC65*0.55,3)</f>
        <v>0.31900000000000001</v>
      </c>
      <c r="AD80" s="1381">
        <f t="shared" si="8"/>
        <v>0.29199999999999998</v>
      </c>
      <c r="AE80" s="1381">
        <f t="shared" si="8"/>
        <v>0.25900000000000001</v>
      </c>
      <c r="AF80" s="1381">
        <f t="shared" si="8"/>
        <v>0.23100000000000001</v>
      </c>
      <c r="AG80" s="1581">
        <f>AG81</f>
        <v>0.33600000000000002</v>
      </c>
      <c r="AH80" s="1280"/>
      <c r="AI80" s="1280"/>
      <c r="AJ80" s="1280"/>
      <c r="AK80" s="1280"/>
      <c r="AL80" s="1280"/>
      <c r="AM80" s="1280"/>
      <c r="AN80" s="1280"/>
      <c r="AO80" s="1280"/>
      <c r="AP80" s="1377">
        <v>5000</v>
      </c>
      <c r="AQ80" s="1385">
        <f>AQ65*0.55</f>
        <v>0.41250000000000003</v>
      </c>
      <c r="AR80" s="1296">
        <f>AR65*0.55</f>
        <v>0.37400000000000005</v>
      </c>
      <c r="AS80" s="1385">
        <f>AS65*0.55</f>
        <v>0.34100000000000003</v>
      </c>
      <c r="AT80" s="1385">
        <f>AT65*0.55</f>
        <v>0</v>
      </c>
      <c r="AU80" s="1385">
        <f>AU65*0.55</f>
        <v>0</v>
      </c>
      <c r="AV80" s="1290"/>
      <c r="AW80" s="1290"/>
      <c r="AX80" s="1290"/>
      <c r="AY80" s="1290"/>
      <c r="AZ80" s="1290"/>
      <c r="BA80" s="1290"/>
      <c r="BB80" s="1290"/>
      <c r="BC80" s="1290"/>
      <c r="BD80" s="204">
        <v>2000</v>
      </c>
      <c r="BE80" s="204">
        <v>0.48399999999999999</v>
      </c>
      <c r="BF80" s="204">
        <v>0.44600000000000001</v>
      </c>
      <c r="BG80" s="204">
        <v>0.40200000000000002</v>
      </c>
      <c r="BH80" s="204">
        <v>0</v>
      </c>
      <c r="BI80" s="204">
        <v>0</v>
      </c>
      <c r="BJ80" s="1246"/>
      <c r="BK80" s="1246"/>
      <c r="BL80" s="1246"/>
      <c r="BM80" s="1246"/>
      <c r="BN80" s="1246"/>
      <c r="BO80" s="1246"/>
      <c r="BP80" s="1246"/>
      <c r="BQ80" s="1246"/>
    </row>
    <row r="81" spans="1:69" x14ac:dyDescent="0.25">
      <c r="A81" s="225" t="s">
        <v>109</v>
      </c>
      <c r="B81" s="226" t="s">
        <v>110</v>
      </c>
      <c r="C81" s="226"/>
      <c r="D81" s="226"/>
      <c r="E81" s="227" t="s">
        <v>611</v>
      </c>
      <c r="F81" s="227"/>
      <c r="G81" s="1312"/>
      <c r="H81" s="1335"/>
      <c r="I81" s="1359"/>
      <c r="J81" s="227"/>
      <c r="K81" s="227"/>
      <c r="L81" s="227"/>
      <c r="M81" s="1187"/>
      <c r="N81" s="1399">
        <v>8000</v>
      </c>
      <c r="O81" s="1383">
        <f t="shared" si="7"/>
        <v>0.37400000000000005</v>
      </c>
      <c r="P81" s="1383">
        <f t="shared" si="7"/>
        <v>0.33550000000000002</v>
      </c>
      <c r="Q81" s="1383">
        <f t="shared" si="7"/>
        <v>0.30250000000000005</v>
      </c>
      <c r="R81" s="1383">
        <f t="shared" si="7"/>
        <v>0.26400000000000001</v>
      </c>
      <c r="S81" s="1383">
        <f t="shared" si="7"/>
        <v>0.48950000000000005</v>
      </c>
      <c r="T81" s="1265"/>
      <c r="U81" s="1265"/>
      <c r="V81" s="1265"/>
      <c r="W81" s="1265"/>
      <c r="X81" s="1265"/>
      <c r="Y81" s="1265"/>
      <c r="Z81" s="1265"/>
      <c r="AA81" s="1265"/>
      <c r="AB81" s="1381">
        <v>5000</v>
      </c>
      <c r="AC81" s="1381">
        <f t="shared" si="8"/>
        <v>0.41299999999999998</v>
      </c>
      <c r="AD81" s="1381">
        <f t="shared" si="8"/>
        <v>0.374</v>
      </c>
      <c r="AE81" s="1381">
        <f t="shared" si="8"/>
        <v>0.34100000000000003</v>
      </c>
      <c r="AF81" s="1381">
        <f t="shared" si="8"/>
        <v>0.30299999999999999</v>
      </c>
      <c r="AG81" s="1581">
        <f>AG82</f>
        <v>0.33600000000000002</v>
      </c>
      <c r="AH81" s="1280"/>
      <c r="AI81" s="1280"/>
      <c r="AJ81" s="1280"/>
      <c r="AK81" s="1280"/>
      <c r="AL81" s="1280"/>
      <c r="AM81" s="1280"/>
      <c r="AN81" s="1280"/>
      <c r="AO81" s="1280"/>
      <c r="AP81" s="1377">
        <v>2000</v>
      </c>
      <c r="AQ81" s="1385">
        <f t="shared" ref="AQ81:AQ90" si="9">AQ66*0.55</f>
        <v>0.53349999999999997</v>
      </c>
      <c r="AR81" s="1385">
        <f t="shared" ref="AR81:AU90" si="10">AR66*0.55</f>
        <v>0.48950000000000005</v>
      </c>
      <c r="AS81" s="1385">
        <f t="shared" si="10"/>
        <v>0.44000000000000006</v>
      </c>
      <c r="AT81" s="1385">
        <f t="shared" si="10"/>
        <v>0</v>
      </c>
      <c r="AU81" s="1385">
        <f t="shared" si="10"/>
        <v>0</v>
      </c>
      <c r="AV81" s="1290"/>
      <c r="AW81" s="1290"/>
      <c r="AX81" s="1290"/>
      <c r="AY81" s="1290"/>
      <c r="AZ81" s="1290"/>
      <c r="BA81" s="1290"/>
      <c r="BB81" s="1290"/>
      <c r="BC81" s="1290"/>
      <c r="BD81" s="204">
        <v>1000</v>
      </c>
      <c r="BE81" s="204">
        <v>0.56699999999999995</v>
      </c>
      <c r="BF81" s="204">
        <v>0.51700000000000002</v>
      </c>
      <c r="BG81" s="204">
        <v>0.47299999999999998</v>
      </c>
      <c r="BH81" s="204">
        <v>0</v>
      </c>
      <c r="BI81" s="204">
        <v>0</v>
      </c>
      <c r="BJ81" s="1246"/>
      <c r="BK81" s="1246"/>
      <c r="BL81" s="1246"/>
      <c r="BM81" s="1246"/>
      <c r="BN81" s="1246"/>
      <c r="BO81" s="1246"/>
      <c r="BP81" s="1246"/>
      <c r="BQ81" s="1246"/>
    </row>
    <row r="82" spans="1:69" x14ac:dyDescent="0.25">
      <c r="A82" s="228" t="s">
        <v>15</v>
      </c>
      <c r="B82" s="27" t="s">
        <v>111</v>
      </c>
      <c r="C82" s="28">
        <v>1</v>
      </c>
      <c r="D82" s="107" t="s">
        <v>3630</v>
      </c>
      <c r="E82" s="275" t="s">
        <v>615</v>
      </c>
      <c r="F82" s="27"/>
      <c r="G82" s="1264"/>
      <c r="H82" s="1322"/>
      <c r="I82" s="1346"/>
      <c r="J82" s="38"/>
      <c r="K82" s="38"/>
      <c r="L82" s="38"/>
      <c r="M82" s="38"/>
      <c r="N82" s="1399">
        <v>5000</v>
      </c>
      <c r="O82" s="1383">
        <f t="shared" si="7"/>
        <v>0.48950000000000005</v>
      </c>
      <c r="P82" s="1383">
        <f t="shared" si="7"/>
        <v>0.44000000000000006</v>
      </c>
      <c r="Q82" s="1383">
        <f t="shared" si="7"/>
        <v>0.40150000000000002</v>
      </c>
      <c r="R82" s="1383">
        <f t="shared" si="7"/>
        <v>0.35200000000000004</v>
      </c>
      <c r="S82" s="1383">
        <f t="shared" si="7"/>
        <v>0.48950000000000005</v>
      </c>
      <c r="T82" s="1265"/>
      <c r="U82" s="1265"/>
      <c r="V82" s="1265"/>
      <c r="W82" s="1265"/>
      <c r="X82" s="1265"/>
      <c r="Y82" s="1265"/>
      <c r="Z82" s="1265"/>
      <c r="AA82" s="1265"/>
      <c r="AB82" s="1381">
        <v>2000</v>
      </c>
      <c r="AC82" s="1381">
        <f t="shared" si="8"/>
        <v>0.53400000000000003</v>
      </c>
      <c r="AD82" s="1381">
        <f t="shared" si="8"/>
        <v>0.49</v>
      </c>
      <c r="AE82" s="1381">
        <f t="shared" si="8"/>
        <v>0.44</v>
      </c>
      <c r="AF82" s="1381">
        <f t="shared" si="8"/>
        <v>0.39600000000000002</v>
      </c>
      <c r="AG82" s="1581">
        <f>AG83</f>
        <v>0.33600000000000002</v>
      </c>
      <c r="AH82" s="1280"/>
      <c r="AI82" s="1280"/>
      <c r="AJ82" s="1280"/>
      <c r="AK82" s="1280"/>
      <c r="AL82" s="1280"/>
      <c r="AM82" s="1280"/>
      <c r="AN82" s="1280"/>
      <c r="AO82" s="1280"/>
      <c r="AP82" s="1377">
        <v>1000</v>
      </c>
      <c r="AQ82" s="1385">
        <f t="shared" si="9"/>
        <v>0.62149999999999994</v>
      </c>
      <c r="AR82" s="1385">
        <f t="shared" si="10"/>
        <v>0.56650000000000011</v>
      </c>
      <c r="AS82" s="1385">
        <f t="shared" si="10"/>
        <v>0.52249999999999996</v>
      </c>
      <c r="AT82" s="1385">
        <f t="shared" si="10"/>
        <v>0</v>
      </c>
      <c r="AU82" s="1385">
        <f t="shared" si="10"/>
        <v>0</v>
      </c>
      <c r="AV82" s="1290"/>
      <c r="AW82" s="1290"/>
      <c r="AX82" s="1290"/>
      <c r="AY82" s="1290"/>
      <c r="AZ82" s="1290"/>
      <c r="BA82" s="1290"/>
      <c r="BB82" s="1290"/>
      <c r="BC82" s="1290"/>
      <c r="BD82" s="204">
        <v>500</v>
      </c>
      <c r="BE82" s="204">
        <v>0.67100000000000004</v>
      </c>
      <c r="BF82" s="204">
        <v>0.60499999999999998</v>
      </c>
      <c r="BG82" s="204">
        <v>0.55600000000000005</v>
      </c>
      <c r="BH82" s="204">
        <v>0</v>
      </c>
      <c r="BI82" s="204">
        <v>0</v>
      </c>
      <c r="BJ82" s="1246"/>
      <c r="BK82" s="1246"/>
      <c r="BL82" s="1246"/>
      <c r="BM82" s="1246"/>
      <c r="BN82" s="1246"/>
      <c r="BO82" s="1246"/>
      <c r="BP82" s="1246"/>
      <c r="BQ82" s="1246"/>
    </row>
    <row r="83" spans="1:69" ht="15.75" customHeight="1" x14ac:dyDescent="0.25">
      <c r="A83" s="216">
        <v>1</v>
      </c>
      <c r="B83" s="29" t="s">
        <v>112</v>
      </c>
      <c r="C83" s="30">
        <v>1</v>
      </c>
      <c r="D83" s="321"/>
      <c r="E83" s="38"/>
      <c r="F83" s="276" t="s">
        <v>612</v>
      </c>
      <c r="G83" s="1313" t="s">
        <v>238</v>
      </c>
      <c r="H83" s="1336"/>
      <c r="I83" s="1360" t="s">
        <v>614</v>
      </c>
      <c r="J83" s="277" t="s">
        <v>383</v>
      </c>
      <c r="K83" s="277" t="s">
        <v>245</v>
      </c>
      <c r="L83" s="277" t="s">
        <v>383</v>
      </c>
      <c r="M83" s="38"/>
      <c r="N83" s="1399">
        <v>2000</v>
      </c>
      <c r="O83" s="1383">
        <f t="shared" si="7"/>
        <v>0.63800000000000001</v>
      </c>
      <c r="P83" s="1383">
        <f t="shared" si="7"/>
        <v>0.57750000000000012</v>
      </c>
      <c r="Q83" s="1383">
        <f t="shared" si="7"/>
        <v>0.51700000000000002</v>
      </c>
      <c r="R83" s="1383">
        <f t="shared" si="7"/>
        <v>0.45650000000000002</v>
      </c>
      <c r="S83" s="1383">
        <f t="shared" si="7"/>
        <v>0.48950000000000005</v>
      </c>
      <c r="T83" s="1265"/>
      <c r="U83" s="1265"/>
      <c r="V83" s="1265"/>
      <c r="W83" s="1265"/>
      <c r="X83" s="1265"/>
      <c r="Y83" s="1265"/>
      <c r="Z83" s="1265"/>
      <c r="AA83" s="1265"/>
      <c r="AB83" s="1381">
        <v>1000</v>
      </c>
      <c r="AC83" s="1381">
        <f t="shared" si="8"/>
        <v>0.622</v>
      </c>
      <c r="AD83" s="1381">
        <f t="shared" si="8"/>
        <v>0.56699999999999995</v>
      </c>
      <c r="AE83" s="1381">
        <f t="shared" si="8"/>
        <v>0.52300000000000002</v>
      </c>
      <c r="AF83" s="1381">
        <f t="shared" si="8"/>
        <v>0.46800000000000003</v>
      </c>
      <c r="AG83" s="1381">
        <f t="shared" si="8"/>
        <v>0.33600000000000002</v>
      </c>
      <c r="AH83" s="1280"/>
      <c r="AI83" s="1280"/>
      <c r="AJ83" s="1280"/>
      <c r="AK83" s="1280"/>
      <c r="AL83" s="1280"/>
      <c r="AM83" s="1280"/>
      <c r="AN83" s="1280"/>
      <c r="AO83" s="1280"/>
      <c r="AP83" s="1377">
        <v>500</v>
      </c>
      <c r="AQ83" s="1385">
        <f t="shared" si="9"/>
        <v>0.77</v>
      </c>
      <c r="AR83" s="1385">
        <f t="shared" si="10"/>
        <v>0.69850000000000012</v>
      </c>
      <c r="AS83" s="1385">
        <f t="shared" si="10"/>
        <v>0.63800000000000001</v>
      </c>
      <c r="AT83" s="1385">
        <f t="shared" si="10"/>
        <v>0</v>
      </c>
      <c r="AU83" s="1385">
        <f t="shared" si="10"/>
        <v>0</v>
      </c>
      <c r="AV83" s="1290"/>
      <c r="AW83" s="1290"/>
      <c r="AX83" s="1290"/>
      <c r="AY83" s="1290"/>
      <c r="AZ83" s="1290"/>
      <c r="BA83" s="1290"/>
      <c r="BB83" s="1290"/>
      <c r="BC83" s="1290"/>
      <c r="BD83" s="204">
        <v>200</v>
      </c>
      <c r="BE83" s="204">
        <v>0.79200000000000004</v>
      </c>
      <c r="BF83" s="204">
        <v>0.72099999999999997</v>
      </c>
      <c r="BG83" s="204">
        <v>0.65500000000000003</v>
      </c>
      <c r="BH83" s="204">
        <v>0</v>
      </c>
      <c r="BI83" s="204">
        <v>0</v>
      </c>
      <c r="BJ83" s="1246"/>
      <c r="BK83" s="1246"/>
      <c r="BL83" s="1246"/>
      <c r="BM83" s="1246"/>
      <c r="BN83" s="1246"/>
      <c r="BO83" s="1246"/>
      <c r="BP83" s="1246"/>
      <c r="BQ83" s="1246"/>
    </row>
    <row r="84" spans="1:69" x14ac:dyDescent="0.25">
      <c r="A84" s="216">
        <v>2</v>
      </c>
      <c r="B84" s="29" t="s">
        <v>113</v>
      </c>
      <c r="C84" s="30">
        <v>2</v>
      </c>
      <c r="D84" s="108"/>
      <c r="E84" s="38"/>
      <c r="F84" s="278" t="s">
        <v>370</v>
      </c>
      <c r="G84" s="1314" t="s">
        <v>378</v>
      </c>
      <c r="H84" s="1337" t="s">
        <v>613</v>
      </c>
      <c r="I84" s="1361" t="s">
        <v>384</v>
      </c>
      <c r="J84" s="279" t="s">
        <v>385</v>
      </c>
      <c r="K84" s="279" t="s">
        <v>262</v>
      </c>
      <c r="L84" s="279" t="s">
        <v>385</v>
      </c>
      <c r="M84" s="38"/>
      <c r="N84" s="1399">
        <v>1000</v>
      </c>
      <c r="O84" s="1383">
        <f t="shared" si="7"/>
        <v>0.74800000000000011</v>
      </c>
      <c r="P84" s="1383">
        <f t="shared" si="7"/>
        <v>0.67100000000000004</v>
      </c>
      <c r="Q84" s="1383">
        <f t="shared" si="7"/>
        <v>0.61050000000000015</v>
      </c>
      <c r="R84" s="1383">
        <f t="shared" si="7"/>
        <v>0.53900000000000003</v>
      </c>
      <c r="S84" s="1383">
        <f t="shared" si="7"/>
        <v>0.48950000000000005</v>
      </c>
      <c r="T84" s="1265"/>
      <c r="U84" s="1265"/>
      <c r="V84" s="1265"/>
      <c r="W84" s="1265"/>
      <c r="X84" s="1265"/>
      <c r="Y84" s="1265"/>
      <c r="Z84" s="1265"/>
      <c r="AA84" s="1265"/>
      <c r="AB84" s="1381">
        <v>500</v>
      </c>
      <c r="AC84" s="1381">
        <f t="shared" si="8"/>
        <v>0.77</v>
      </c>
      <c r="AD84" s="1381">
        <f t="shared" si="8"/>
        <v>0.69899999999999995</v>
      </c>
      <c r="AE84" s="1381">
        <f t="shared" si="8"/>
        <v>0.63800000000000001</v>
      </c>
      <c r="AF84" s="1381">
        <f t="shared" si="8"/>
        <v>0.57199999999999995</v>
      </c>
      <c r="AG84" s="1381">
        <f t="shared" si="8"/>
        <v>0.41299999999999998</v>
      </c>
      <c r="AH84" s="1280"/>
      <c r="AI84" s="1280"/>
      <c r="AJ84" s="1280"/>
      <c r="AK84" s="1280"/>
      <c r="AL84" s="1280"/>
      <c r="AM84" s="1280"/>
      <c r="AN84" s="1280"/>
      <c r="AO84" s="1280"/>
      <c r="AP84" s="1377">
        <v>200</v>
      </c>
      <c r="AQ84" s="1385">
        <f t="shared" si="9"/>
        <v>0.91300000000000003</v>
      </c>
      <c r="AR84" s="1385">
        <f t="shared" si="10"/>
        <v>0.83050000000000013</v>
      </c>
      <c r="AS84" s="1385">
        <f t="shared" si="10"/>
        <v>0.75350000000000017</v>
      </c>
      <c r="AT84" s="1385">
        <f t="shared" si="10"/>
        <v>0</v>
      </c>
      <c r="AU84" s="1385">
        <f t="shared" si="10"/>
        <v>0</v>
      </c>
      <c r="AV84" s="1290"/>
      <c r="AW84" s="1290"/>
      <c r="AX84" s="1290"/>
      <c r="AY84" s="1290"/>
      <c r="AZ84" s="1290"/>
      <c r="BA84" s="1290"/>
      <c r="BB84" s="1290"/>
      <c r="BC84" s="1290"/>
      <c r="BD84" s="204">
        <v>100</v>
      </c>
      <c r="BE84" s="204">
        <v>0.86899999999999999</v>
      </c>
      <c r="BF84" s="204">
        <v>0.78700000000000003</v>
      </c>
      <c r="BG84" s="204">
        <v>0.72099999999999997</v>
      </c>
      <c r="BH84" s="204">
        <v>0</v>
      </c>
      <c r="BI84" s="204">
        <v>0</v>
      </c>
      <c r="BJ84" s="1246"/>
      <c r="BK84" s="1246"/>
      <c r="BL84" s="1246"/>
      <c r="BM84" s="1246"/>
      <c r="BN84" s="1246"/>
      <c r="BO84" s="1246"/>
      <c r="BP84" s="1246"/>
      <c r="BQ84" s="1246"/>
    </row>
    <row r="85" spans="1:69" x14ac:dyDescent="0.25">
      <c r="A85" s="216">
        <v>3</v>
      </c>
      <c r="B85" s="29" t="s">
        <v>114</v>
      </c>
      <c r="C85" s="30">
        <v>3</v>
      </c>
      <c r="D85" s="108"/>
      <c r="E85" s="275" t="s">
        <v>616</v>
      </c>
      <c r="F85" s="27"/>
      <c r="G85" s="1264"/>
      <c r="H85" s="1322"/>
      <c r="I85" s="1346"/>
      <c r="J85" s="38"/>
      <c r="K85" s="38"/>
      <c r="L85" s="38"/>
      <c r="M85" s="38"/>
      <c r="N85" s="1399">
        <v>500</v>
      </c>
      <c r="O85" s="1383">
        <f t="shared" si="7"/>
        <v>0.90749999999999997</v>
      </c>
      <c r="P85" s="1383">
        <f t="shared" si="7"/>
        <v>0.82500000000000007</v>
      </c>
      <c r="Q85" s="1383">
        <f t="shared" si="7"/>
        <v>0.75350000000000017</v>
      </c>
      <c r="R85" s="1383">
        <f t="shared" si="7"/>
        <v>0.66549999999999998</v>
      </c>
      <c r="S85" s="1383">
        <f t="shared" si="7"/>
        <v>0.48950000000000005</v>
      </c>
      <c r="T85" s="1265"/>
      <c r="U85" s="1265"/>
      <c r="V85" s="1265"/>
      <c r="W85" s="1265"/>
      <c r="X85" s="1265"/>
      <c r="Y85" s="1265"/>
      <c r="Z85" s="1265"/>
      <c r="AA85" s="1265"/>
      <c r="AB85" s="1381">
        <v>200</v>
      </c>
      <c r="AC85" s="1381">
        <f t="shared" si="8"/>
        <v>0.91300000000000003</v>
      </c>
      <c r="AD85" s="1381">
        <f t="shared" si="8"/>
        <v>0.83099999999999996</v>
      </c>
      <c r="AE85" s="1381">
        <f t="shared" si="8"/>
        <v>0.754</v>
      </c>
      <c r="AF85" s="1381">
        <f t="shared" si="8"/>
        <v>0.67700000000000005</v>
      </c>
      <c r="AG85" s="1381">
        <f t="shared" si="8"/>
        <v>0.48399999999999999</v>
      </c>
      <c r="AH85" s="1280"/>
      <c r="AI85" s="1280"/>
      <c r="AJ85" s="1280"/>
      <c r="AK85" s="1280"/>
      <c r="AL85" s="1280"/>
      <c r="AM85" s="1280"/>
      <c r="AN85" s="1280"/>
      <c r="AO85" s="1280"/>
      <c r="AP85" s="1377">
        <v>100</v>
      </c>
      <c r="AQ85" s="1385">
        <f t="shared" si="9"/>
        <v>1.0010000000000001</v>
      </c>
      <c r="AR85" s="1385">
        <f t="shared" si="10"/>
        <v>0.90200000000000002</v>
      </c>
      <c r="AS85" s="1385">
        <f t="shared" si="10"/>
        <v>0.83050000000000013</v>
      </c>
      <c r="AT85" s="1385">
        <f t="shared" si="10"/>
        <v>0</v>
      </c>
      <c r="AU85" s="1385">
        <f t="shared" si="10"/>
        <v>0</v>
      </c>
      <c r="AV85" s="1290"/>
      <c r="AW85" s="1290"/>
      <c r="AX85" s="1290"/>
      <c r="AY85" s="1290"/>
      <c r="AZ85" s="1290"/>
      <c r="BA85" s="1290"/>
      <c r="BB85" s="1290"/>
      <c r="BC85" s="1290"/>
      <c r="BD85" s="204">
        <v>50</v>
      </c>
      <c r="BE85" s="204">
        <v>0.95699999999999996</v>
      </c>
      <c r="BF85" s="204">
        <v>0.86899999999999999</v>
      </c>
      <c r="BG85" s="204">
        <v>0.79200000000000004</v>
      </c>
      <c r="BH85" s="204">
        <v>0</v>
      </c>
      <c r="BI85" s="204">
        <v>0</v>
      </c>
      <c r="BJ85" s="1246"/>
      <c r="BK85" s="1246"/>
      <c r="BL85" s="1246"/>
      <c r="BM85" s="1246"/>
      <c r="BN85" s="1246"/>
      <c r="BO85" s="1246"/>
      <c r="BP85" s="1246"/>
      <c r="BQ85" s="1246"/>
    </row>
    <row r="86" spans="1:69" x14ac:dyDescent="0.25">
      <c r="A86" s="216">
        <v>4</v>
      </c>
      <c r="B86" s="29" t="s">
        <v>703</v>
      </c>
      <c r="C86" s="30">
        <v>4</v>
      </c>
      <c r="D86" s="109"/>
      <c r="E86" s="38"/>
      <c r="F86" s="276" t="s">
        <v>612</v>
      </c>
      <c r="G86" s="1315" t="s">
        <v>617</v>
      </c>
      <c r="H86" s="1338" t="s">
        <v>383</v>
      </c>
      <c r="I86" s="1360" t="s">
        <v>245</v>
      </c>
      <c r="J86" s="277" t="s">
        <v>383</v>
      </c>
      <c r="K86" s="38"/>
      <c r="L86" s="38"/>
      <c r="M86" s="38"/>
      <c r="N86" s="1399">
        <v>200</v>
      </c>
      <c r="O86" s="1383">
        <f t="shared" si="7"/>
        <v>1.0780000000000001</v>
      </c>
      <c r="P86" s="1383">
        <f t="shared" si="7"/>
        <v>0.97900000000000009</v>
      </c>
      <c r="Q86" s="1383">
        <f t="shared" si="7"/>
        <v>0.89100000000000013</v>
      </c>
      <c r="R86" s="1383">
        <f t="shared" si="7"/>
        <v>0.78649999999999998</v>
      </c>
      <c r="S86" s="1383">
        <f t="shared" si="7"/>
        <v>0.58300000000000007</v>
      </c>
      <c r="T86" s="1265"/>
      <c r="U86" s="1265"/>
      <c r="V86" s="1265"/>
      <c r="W86" s="1265"/>
      <c r="X86" s="1265"/>
      <c r="Y86" s="1265"/>
      <c r="Z86" s="1265"/>
      <c r="AA86" s="1265"/>
      <c r="AB86" s="1381">
        <v>100</v>
      </c>
      <c r="AC86" s="1381">
        <f t="shared" si="8"/>
        <v>1.0009999999999999</v>
      </c>
      <c r="AD86" s="1381">
        <f t="shared" si="8"/>
        <v>0.90200000000000002</v>
      </c>
      <c r="AE86" s="1381">
        <f t="shared" si="8"/>
        <v>0.83099999999999996</v>
      </c>
      <c r="AF86" s="1381">
        <f t="shared" si="8"/>
        <v>0.73699999999999999</v>
      </c>
      <c r="AG86" s="1381">
        <f t="shared" si="8"/>
        <v>0.57199999999999995</v>
      </c>
      <c r="AH86" s="1280"/>
      <c r="AI86" s="1280"/>
      <c r="AJ86" s="1280"/>
      <c r="AK86" s="1280"/>
      <c r="AL86" s="1280"/>
      <c r="AM86" s="1280"/>
      <c r="AN86" s="1280"/>
      <c r="AO86" s="1280"/>
      <c r="AP86" s="1377">
        <v>50</v>
      </c>
      <c r="AQ86" s="1385">
        <f t="shared" si="9"/>
        <v>1.1000000000000001</v>
      </c>
      <c r="AR86" s="1385">
        <f t="shared" si="10"/>
        <v>1.0010000000000001</v>
      </c>
      <c r="AS86" s="1385">
        <f t="shared" si="10"/>
        <v>0.91300000000000003</v>
      </c>
      <c r="AT86" s="1385">
        <f t="shared" si="10"/>
        <v>0</v>
      </c>
      <c r="AU86" s="1385">
        <f t="shared" si="10"/>
        <v>0</v>
      </c>
      <c r="AV86" s="1290"/>
      <c r="AW86" s="1290"/>
      <c r="AX86" s="1290"/>
      <c r="AY86" s="1290"/>
      <c r="AZ86" s="1290"/>
      <c r="BA86" s="1290"/>
      <c r="BB86" s="1290"/>
      <c r="BC86" s="1290"/>
      <c r="BD86" s="204">
        <v>20</v>
      </c>
      <c r="BE86" s="204">
        <v>1.139</v>
      </c>
      <c r="BF86" s="204">
        <v>1.04</v>
      </c>
      <c r="BG86" s="204">
        <v>0.93500000000000005</v>
      </c>
      <c r="BH86" s="204">
        <v>0</v>
      </c>
      <c r="BI86" s="204">
        <v>0</v>
      </c>
      <c r="BJ86" s="1246"/>
      <c r="BK86" s="1246"/>
      <c r="BL86" s="1246"/>
      <c r="BM86" s="1246"/>
      <c r="BN86" s="1246"/>
      <c r="BO86" s="1246"/>
      <c r="BP86" s="1246"/>
      <c r="BQ86" s="1246"/>
    </row>
    <row r="87" spans="1:69" x14ac:dyDescent="0.25">
      <c r="A87" s="216">
        <v>5</v>
      </c>
      <c r="B87" s="29" t="s">
        <v>116</v>
      </c>
      <c r="C87" s="30">
        <v>5</v>
      </c>
      <c r="D87" s="109"/>
      <c r="E87" s="38"/>
      <c r="F87" s="278" t="s">
        <v>370</v>
      </c>
      <c r="G87" s="1316" t="s">
        <v>618</v>
      </c>
      <c r="H87" s="1339" t="s">
        <v>385</v>
      </c>
      <c r="I87" s="1361" t="s">
        <v>262</v>
      </c>
      <c r="J87" s="279" t="s">
        <v>385</v>
      </c>
      <c r="K87" s="38"/>
      <c r="L87" s="38"/>
      <c r="M87" s="38"/>
      <c r="N87" s="1399">
        <v>100</v>
      </c>
      <c r="O87" s="1383">
        <f t="shared" si="7"/>
        <v>1.1825000000000001</v>
      </c>
      <c r="P87" s="1383">
        <f t="shared" si="7"/>
        <v>1.0669999999999999</v>
      </c>
      <c r="Q87" s="1383">
        <f t="shared" si="7"/>
        <v>0.97350000000000014</v>
      </c>
      <c r="R87" s="1383">
        <f t="shared" si="7"/>
        <v>0.86350000000000016</v>
      </c>
      <c r="S87" s="1383">
        <f t="shared" si="7"/>
        <v>0.71500000000000008</v>
      </c>
      <c r="T87" s="1265"/>
      <c r="U87" s="1265"/>
      <c r="V87" s="1265"/>
      <c r="W87" s="1265"/>
      <c r="X87" s="1265"/>
      <c r="Y87" s="1265"/>
      <c r="Z87" s="1265"/>
      <c r="AA87" s="1265"/>
      <c r="AB87" s="1381">
        <v>50</v>
      </c>
      <c r="AC87" s="1381">
        <f t="shared" si="8"/>
        <v>1.1000000000000001</v>
      </c>
      <c r="AD87" s="1381">
        <f t="shared" si="8"/>
        <v>1.0009999999999999</v>
      </c>
      <c r="AE87" s="1381">
        <f t="shared" si="8"/>
        <v>0.91300000000000003</v>
      </c>
      <c r="AF87" s="1381">
        <f t="shared" si="8"/>
        <v>0.81399999999999995</v>
      </c>
      <c r="AG87" s="1381">
        <f t="shared" si="8"/>
        <v>0.67700000000000005</v>
      </c>
      <c r="AH87" s="1280"/>
      <c r="AI87" s="1280"/>
      <c r="AJ87" s="1280"/>
      <c r="AK87" s="1280"/>
      <c r="AL87" s="1280"/>
      <c r="AM87" s="1280"/>
      <c r="AN87" s="1280"/>
      <c r="AO87" s="1280"/>
      <c r="AP87" s="1377">
        <v>20</v>
      </c>
      <c r="AQ87" s="1385">
        <f t="shared" si="9"/>
        <v>1.3089999999999999</v>
      </c>
      <c r="AR87" s="1385">
        <f t="shared" si="10"/>
        <v>1.1935</v>
      </c>
      <c r="AS87" s="1385">
        <f t="shared" si="10"/>
        <v>1.0780000000000001</v>
      </c>
      <c r="AT87" s="1385">
        <f t="shared" si="10"/>
        <v>0</v>
      </c>
      <c r="AU87" s="1385">
        <f t="shared" si="10"/>
        <v>0</v>
      </c>
      <c r="AV87" s="1290"/>
      <c r="AW87" s="1290"/>
      <c r="AX87" s="1290"/>
      <c r="AY87" s="1290"/>
      <c r="AZ87" s="1290"/>
      <c r="BA87" s="1290"/>
      <c r="BB87" s="1290"/>
      <c r="BC87" s="1290"/>
      <c r="BD87" s="204">
        <v>10</v>
      </c>
      <c r="BE87" s="204">
        <v>1.3089999999999999</v>
      </c>
      <c r="BF87" s="204">
        <v>1.1879999999999999</v>
      </c>
      <c r="BG87" s="204">
        <v>1.0780000000000001</v>
      </c>
      <c r="BH87" s="204">
        <v>0</v>
      </c>
      <c r="BI87" s="204">
        <v>0</v>
      </c>
      <c r="BJ87" s="1246"/>
      <c r="BK87" s="1246"/>
      <c r="BL87" s="1246"/>
      <c r="BM87" s="1246"/>
      <c r="BN87" s="1246"/>
      <c r="BO87" s="1246"/>
      <c r="BP87" s="1246"/>
      <c r="BQ87" s="1246"/>
    </row>
    <row r="88" spans="1:69" x14ac:dyDescent="0.25">
      <c r="A88" s="229" t="s">
        <v>15</v>
      </c>
      <c r="B88" s="31" t="s">
        <v>117</v>
      </c>
      <c r="C88" s="32">
        <v>5</v>
      </c>
      <c r="D88" s="110" t="s">
        <v>3631</v>
      </c>
      <c r="E88" s="39" t="s">
        <v>656</v>
      </c>
      <c r="F88" s="38"/>
      <c r="G88" s="1264"/>
      <c r="H88" s="1322"/>
      <c r="I88" s="1346"/>
      <c r="J88" s="38"/>
      <c r="K88" s="38"/>
      <c r="L88" s="38"/>
      <c r="M88" s="38"/>
      <c r="N88" s="1399">
        <v>50</v>
      </c>
      <c r="O88" s="1383">
        <f t="shared" si="7"/>
        <v>1.298</v>
      </c>
      <c r="P88" s="1383">
        <f t="shared" si="7"/>
        <v>1.1770000000000003</v>
      </c>
      <c r="Q88" s="1383">
        <f t="shared" si="7"/>
        <v>1.0780000000000001</v>
      </c>
      <c r="R88" s="1383">
        <f t="shared" si="7"/>
        <v>0.95700000000000007</v>
      </c>
      <c r="S88" s="1383">
        <f t="shared" si="7"/>
        <v>0.81400000000000006</v>
      </c>
      <c r="T88" s="1265"/>
      <c r="U88" s="1265"/>
      <c r="V88" s="1265"/>
      <c r="W88" s="1265"/>
      <c r="X88" s="1265"/>
      <c r="Y88" s="1265"/>
      <c r="Z88" s="1265"/>
      <c r="AA88" s="1265"/>
      <c r="AB88" s="1381">
        <v>20</v>
      </c>
      <c r="AC88" s="1381">
        <f t="shared" si="8"/>
        <v>1.3089999999999999</v>
      </c>
      <c r="AD88" s="1381">
        <f t="shared" si="8"/>
        <v>1.194</v>
      </c>
      <c r="AE88" s="1381">
        <f t="shared" si="8"/>
        <v>1.0780000000000001</v>
      </c>
      <c r="AF88" s="1381">
        <f t="shared" si="8"/>
        <v>0.96799999999999997</v>
      </c>
      <c r="AG88" s="1381">
        <f t="shared" si="8"/>
        <v>0.86399999999999999</v>
      </c>
      <c r="AH88" s="1280"/>
      <c r="AI88" s="1280"/>
      <c r="AJ88" s="1280"/>
      <c r="AK88" s="1280"/>
      <c r="AL88" s="1280"/>
      <c r="AM88" s="1280"/>
      <c r="AN88" s="1280"/>
      <c r="AO88" s="1280"/>
      <c r="AP88" s="1377">
        <v>10</v>
      </c>
      <c r="AQ88" s="1385">
        <f t="shared" si="9"/>
        <v>1.5070000000000003</v>
      </c>
      <c r="AR88" s="1385">
        <f t="shared" si="10"/>
        <v>1.3640000000000001</v>
      </c>
      <c r="AS88" s="1385">
        <f t="shared" si="10"/>
        <v>1.2375</v>
      </c>
      <c r="AT88" s="1385">
        <f t="shared" si="10"/>
        <v>0</v>
      </c>
      <c r="AU88" s="1385">
        <f t="shared" si="10"/>
        <v>0</v>
      </c>
      <c r="AV88" s="1290"/>
      <c r="AW88" s="1290"/>
      <c r="AX88" s="1290"/>
      <c r="AY88" s="1290"/>
      <c r="AZ88" s="1290"/>
      <c r="BA88" s="1290"/>
      <c r="BB88" s="1290"/>
      <c r="BC88" s="1290"/>
      <c r="BD88" s="204">
        <v>7</v>
      </c>
      <c r="BE88" s="204">
        <v>0</v>
      </c>
      <c r="BF88" s="204">
        <v>0</v>
      </c>
      <c r="BG88" s="204">
        <v>1.1279999999999999</v>
      </c>
      <c r="BH88" s="204">
        <v>0</v>
      </c>
      <c r="BI88" s="204">
        <v>0</v>
      </c>
      <c r="BJ88" s="1246"/>
      <c r="BK88" s="1246"/>
      <c r="BL88" s="1246"/>
      <c r="BM88" s="1246"/>
      <c r="BN88" s="1246"/>
      <c r="BO88" s="1246"/>
      <c r="BP88" s="1246"/>
      <c r="BQ88" s="1246"/>
    </row>
    <row r="89" spans="1:69" x14ac:dyDescent="0.25">
      <c r="A89" s="216">
        <v>1</v>
      </c>
      <c r="B89" s="30" t="s">
        <v>118</v>
      </c>
      <c r="C89" s="30">
        <v>0</v>
      </c>
      <c r="D89" s="109"/>
      <c r="E89" s="2008" t="s">
        <v>15</v>
      </c>
      <c r="F89" s="436" t="s">
        <v>657</v>
      </c>
      <c r="G89" s="1317"/>
      <c r="H89" s="1340"/>
      <c r="I89" s="1362" t="s">
        <v>658</v>
      </c>
      <c r="J89" s="437"/>
      <c r="K89" s="438"/>
      <c r="L89" s="288" t="s">
        <v>659</v>
      </c>
      <c r="M89" s="1370" t="s">
        <v>660</v>
      </c>
      <c r="N89" s="1399">
        <v>20</v>
      </c>
      <c r="O89" s="1383">
        <f t="shared" si="7"/>
        <v>1.5455000000000001</v>
      </c>
      <c r="P89" s="1383">
        <f t="shared" si="7"/>
        <v>1.4025000000000001</v>
      </c>
      <c r="Q89" s="1383">
        <f t="shared" si="7"/>
        <v>1.2815000000000001</v>
      </c>
      <c r="R89" s="1383">
        <f t="shared" si="7"/>
        <v>1.1385000000000001</v>
      </c>
      <c r="S89" s="1383">
        <f t="shared" si="7"/>
        <v>0.99550000000000016</v>
      </c>
      <c r="T89" s="1265"/>
      <c r="U89" s="1265"/>
      <c r="V89" s="1265"/>
      <c r="W89" s="1265"/>
      <c r="X89" s="1265"/>
      <c r="Y89" s="1265"/>
      <c r="Z89" s="1265"/>
      <c r="AA89" s="1265"/>
      <c r="AB89" s="1381">
        <v>10</v>
      </c>
      <c r="AC89" s="1381">
        <f t="shared" si="8"/>
        <v>1.5069999999999999</v>
      </c>
      <c r="AD89" s="1381">
        <f t="shared" si="8"/>
        <v>1.3640000000000001</v>
      </c>
      <c r="AE89" s="1381">
        <f t="shared" si="8"/>
        <v>1.238</v>
      </c>
      <c r="AF89" s="1381">
        <f t="shared" si="8"/>
        <v>1.117</v>
      </c>
      <c r="AG89" s="1381">
        <f t="shared" si="8"/>
        <v>0.99</v>
      </c>
      <c r="AP89" s="1377">
        <v>7</v>
      </c>
      <c r="AQ89" s="1385">
        <f t="shared" si="9"/>
        <v>1.5070000000000003</v>
      </c>
      <c r="AR89" s="1385">
        <f t="shared" si="10"/>
        <v>1.3640000000000001</v>
      </c>
      <c r="AS89" s="1385">
        <f t="shared" si="10"/>
        <v>1.298</v>
      </c>
      <c r="AT89" s="1385">
        <f t="shared" si="10"/>
        <v>0</v>
      </c>
      <c r="AU89" s="1385">
        <f t="shared" si="10"/>
        <v>0</v>
      </c>
      <c r="BD89" s="204">
        <v>3</v>
      </c>
      <c r="BE89" s="204">
        <v>0</v>
      </c>
      <c r="BF89" s="204">
        <v>0</v>
      </c>
      <c r="BG89" s="204">
        <v>1.254</v>
      </c>
      <c r="BH89" s="204">
        <v>0</v>
      </c>
      <c r="BI89" s="204">
        <v>0</v>
      </c>
    </row>
    <row r="90" spans="1:69" ht="16.5" customHeight="1" thickBot="1" x14ac:dyDescent="0.3">
      <c r="A90" s="216">
        <v>2</v>
      </c>
      <c r="B90" s="30" t="s">
        <v>119</v>
      </c>
      <c r="C90" s="30">
        <v>1</v>
      </c>
      <c r="D90" s="109"/>
      <c r="E90" s="2008"/>
      <c r="F90" s="289" t="s">
        <v>661</v>
      </c>
      <c r="G90" s="1318" t="s">
        <v>68</v>
      </c>
      <c r="H90" s="1341" t="s">
        <v>662</v>
      </c>
      <c r="I90" s="1363" t="s">
        <v>661</v>
      </c>
      <c r="J90" s="290" t="s">
        <v>68</v>
      </c>
      <c r="K90" s="290" t="s">
        <v>662</v>
      </c>
      <c r="L90" s="291" t="s">
        <v>663</v>
      </c>
      <c r="M90" s="1371" t="s">
        <v>664</v>
      </c>
      <c r="N90" s="1399">
        <v>10</v>
      </c>
      <c r="O90" s="1383">
        <f t="shared" si="7"/>
        <v>1.7710000000000004</v>
      </c>
      <c r="P90" s="1383">
        <f t="shared" si="7"/>
        <v>1.6115000000000002</v>
      </c>
      <c r="Q90" s="1383">
        <f t="shared" si="7"/>
        <v>1.4685000000000001</v>
      </c>
      <c r="R90" s="1383">
        <f t="shared" si="7"/>
        <v>1.298</v>
      </c>
      <c r="S90" s="1383">
        <f t="shared" si="7"/>
        <v>1.1385000000000001</v>
      </c>
      <c r="T90" s="1265"/>
      <c r="U90" s="1265"/>
      <c r="V90" s="1265"/>
      <c r="W90" s="1265"/>
      <c r="X90" s="1265"/>
      <c r="Y90" s="1265"/>
      <c r="Z90" s="1265"/>
      <c r="AA90" s="1265"/>
      <c r="AB90" s="1381">
        <v>7</v>
      </c>
      <c r="AC90" s="1381">
        <f t="shared" si="8"/>
        <v>1.5069999999999999</v>
      </c>
      <c r="AD90" s="1381">
        <f t="shared" si="8"/>
        <v>1.3640000000000001</v>
      </c>
      <c r="AE90" s="1381">
        <f t="shared" si="8"/>
        <v>1.298</v>
      </c>
      <c r="AF90" s="1381">
        <f t="shared" si="8"/>
        <v>1.1659999999999999</v>
      </c>
      <c r="AG90" s="1381">
        <f t="shared" si="8"/>
        <v>1.034</v>
      </c>
      <c r="AH90" s="1280"/>
      <c r="AI90" s="1280"/>
      <c r="AJ90" s="1280"/>
      <c r="AK90" s="1280"/>
      <c r="AL90" s="1280"/>
      <c r="AM90" s="1280"/>
      <c r="AN90" s="1280"/>
      <c r="AO90" s="1280"/>
      <c r="AQ90" s="1385">
        <f t="shared" si="9"/>
        <v>0</v>
      </c>
      <c r="AR90" s="1385">
        <f t="shared" si="10"/>
        <v>0</v>
      </c>
      <c r="AS90" s="1385">
        <f t="shared" si="10"/>
        <v>0</v>
      </c>
      <c r="AT90" s="1385">
        <f t="shared" si="10"/>
        <v>0</v>
      </c>
      <c r="AU90" s="1385">
        <f t="shared" si="10"/>
        <v>0</v>
      </c>
      <c r="AV90" s="1290"/>
      <c r="AW90" s="1290"/>
      <c r="AX90" s="1290"/>
      <c r="AY90" s="1290"/>
      <c r="AZ90" s="1290"/>
      <c r="BA90" s="1290"/>
      <c r="BB90" s="1290"/>
      <c r="BC90" s="1290"/>
      <c r="BJ90" s="1246"/>
      <c r="BK90" s="1246"/>
      <c r="BL90" s="1246"/>
      <c r="BM90" s="1246"/>
      <c r="BN90" s="1246"/>
      <c r="BO90" s="1246"/>
      <c r="BP90" s="1246"/>
      <c r="BQ90" s="1246"/>
    </row>
    <row r="91" spans="1:69" ht="15.75" customHeight="1" x14ac:dyDescent="0.25">
      <c r="A91" s="216">
        <v>3</v>
      </c>
      <c r="B91" s="30" t="s">
        <v>120</v>
      </c>
      <c r="C91" s="30">
        <v>2</v>
      </c>
      <c r="D91" s="109"/>
      <c r="E91" s="38"/>
      <c r="F91" s="38"/>
      <c r="G91" s="1264"/>
      <c r="H91" s="1322"/>
      <c r="I91" s="1346"/>
      <c r="J91" s="38"/>
      <c r="K91" s="38"/>
      <c r="L91" s="38"/>
      <c r="M91" s="38"/>
      <c r="N91" s="1278" t="s">
        <v>168</v>
      </c>
      <c r="O91" s="1279"/>
      <c r="P91" s="1279"/>
      <c r="Q91" s="1279"/>
      <c r="R91" s="1279"/>
      <c r="S91" s="1279"/>
      <c r="T91" s="1265"/>
      <c r="U91" s="1265"/>
      <c r="V91" s="1265"/>
      <c r="W91" s="1265"/>
      <c r="X91" s="1265"/>
      <c r="Y91" s="1265"/>
      <c r="Z91" s="1265"/>
      <c r="AA91" s="1265"/>
      <c r="AB91" s="1284" t="s">
        <v>168</v>
      </c>
      <c r="AC91" s="1285"/>
      <c r="AH91" s="1280"/>
      <c r="AI91" s="1280"/>
      <c r="AJ91" s="1280"/>
      <c r="AK91" s="1280"/>
      <c r="AL91" s="1280"/>
      <c r="AM91" s="1280"/>
      <c r="AN91" s="1280"/>
      <c r="AO91" s="1280"/>
      <c r="AP91" s="1294" t="s">
        <v>168</v>
      </c>
      <c r="AQ91" s="1295"/>
      <c r="AR91" s="1294"/>
      <c r="AS91" s="1294"/>
      <c r="AT91" s="1295"/>
      <c r="AU91" s="1295"/>
      <c r="AV91" s="1290"/>
      <c r="AW91" s="1290"/>
      <c r="AX91" s="1290"/>
      <c r="AY91" s="1290"/>
      <c r="AZ91" s="1290"/>
      <c r="BA91" s="1290"/>
      <c r="BB91" s="1290"/>
      <c r="BC91" s="1290"/>
      <c r="BD91" s="1250" t="s">
        <v>168</v>
      </c>
      <c r="BE91" s="1251"/>
      <c r="BF91" s="1250"/>
      <c r="BG91" s="1250"/>
      <c r="BH91" s="1251"/>
      <c r="BI91" s="1251"/>
      <c r="BJ91" s="1246"/>
      <c r="BK91" s="1246"/>
      <c r="BL91" s="1246"/>
      <c r="BM91" s="1246"/>
      <c r="BN91" s="1246"/>
      <c r="BO91" s="1246"/>
      <c r="BP91" s="1246"/>
      <c r="BQ91" s="1246"/>
    </row>
    <row r="92" spans="1:69" x14ac:dyDescent="0.25">
      <c r="A92" s="216">
        <v>4</v>
      </c>
      <c r="B92" s="30" t="s">
        <v>121</v>
      </c>
      <c r="C92" s="30">
        <v>3</v>
      </c>
      <c r="D92" s="109"/>
      <c r="E92" s="38"/>
      <c r="F92" s="38"/>
      <c r="G92" s="1264"/>
      <c r="H92" s="1322"/>
      <c r="I92" s="1346"/>
      <c r="J92" s="38"/>
      <c r="K92" s="38"/>
      <c r="L92" s="38"/>
      <c r="M92" s="38"/>
      <c r="N92" s="1944" t="s">
        <v>162</v>
      </c>
      <c r="O92" s="1992" t="s">
        <v>117</v>
      </c>
      <c r="P92" s="1992"/>
      <c r="Q92" s="1992"/>
      <c r="R92" s="1992"/>
      <c r="S92" s="1992"/>
      <c r="T92" s="1265"/>
      <c r="U92" s="1265"/>
      <c r="V92" s="1265"/>
      <c r="W92" s="1265"/>
      <c r="X92" s="1265"/>
      <c r="Y92" s="1265"/>
      <c r="Z92" s="1265"/>
      <c r="AA92" s="1265"/>
      <c r="AB92" s="1962" t="s">
        <v>162</v>
      </c>
      <c r="AC92" s="1926" t="s">
        <v>117</v>
      </c>
      <c r="AD92" s="1926"/>
      <c r="AE92" s="1926"/>
      <c r="AF92" s="1926"/>
      <c r="AG92" s="1926"/>
      <c r="AH92" s="1280"/>
      <c r="AI92" s="1280"/>
      <c r="AJ92" s="1280"/>
      <c r="AK92" s="1280"/>
      <c r="AL92" s="1280"/>
      <c r="AM92" s="1280"/>
      <c r="AN92" s="1280"/>
      <c r="AO92" s="1280"/>
      <c r="AP92" s="1966" t="s">
        <v>162</v>
      </c>
      <c r="AQ92" s="1928" t="s">
        <v>117</v>
      </c>
      <c r="AR92" s="1928"/>
      <c r="AS92" s="1928"/>
      <c r="AT92" s="1928"/>
      <c r="AU92" s="1928"/>
      <c r="AV92" s="1290"/>
      <c r="AW92" s="1290"/>
      <c r="AX92" s="1290"/>
      <c r="AY92" s="1290"/>
      <c r="AZ92" s="1290"/>
      <c r="BA92" s="1290"/>
      <c r="BB92" s="1290"/>
      <c r="BC92" s="1290"/>
      <c r="BD92" s="1963" t="s">
        <v>162</v>
      </c>
      <c r="BE92" s="1930" t="s">
        <v>117</v>
      </c>
      <c r="BF92" s="1930"/>
      <c r="BG92" s="1930"/>
      <c r="BH92" s="1930"/>
      <c r="BI92" s="1930"/>
      <c r="BJ92" s="1246"/>
      <c r="BK92" s="1246"/>
      <c r="BL92" s="1246"/>
      <c r="BM92" s="1246"/>
      <c r="BN92" s="1246"/>
      <c r="BO92" s="1246"/>
      <c r="BP92" s="1246"/>
      <c r="BQ92" s="1246"/>
    </row>
    <row r="93" spans="1:69" x14ac:dyDescent="0.25">
      <c r="A93" s="216">
        <v>5</v>
      </c>
      <c r="B93" s="30" t="s">
        <v>122</v>
      </c>
      <c r="C93" s="30">
        <v>4</v>
      </c>
      <c r="D93" s="109"/>
      <c r="E93" s="38"/>
      <c r="F93" s="38"/>
      <c r="G93" s="1264"/>
      <c r="H93" s="1322"/>
      <c r="I93" s="1346"/>
      <c r="J93" s="38"/>
      <c r="K93" s="38"/>
      <c r="L93" s="38"/>
      <c r="M93" s="38"/>
      <c r="N93" s="1944"/>
      <c r="O93" s="1373" t="s">
        <v>118</v>
      </c>
      <c r="P93" s="1373" t="s">
        <v>163</v>
      </c>
      <c r="Q93" s="1373" t="s">
        <v>164</v>
      </c>
      <c r="R93" s="1373" t="s">
        <v>165</v>
      </c>
      <c r="S93" s="1373" t="s">
        <v>166</v>
      </c>
      <c r="T93" s="1265"/>
      <c r="U93" s="1265"/>
      <c r="V93" s="1265"/>
      <c r="W93" s="1265"/>
      <c r="X93" s="1265"/>
      <c r="Y93" s="1265"/>
      <c r="Z93" s="1265"/>
      <c r="AA93" s="1265"/>
      <c r="AB93" s="1962"/>
      <c r="AC93" s="1381" t="s">
        <v>118</v>
      </c>
      <c r="AD93" s="1381" t="s">
        <v>163</v>
      </c>
      <c r="AE93" s="1381" t="s">
        <v>164</v>
      </c>
      <c r="AF93" s="1381" t="s">
        <v>165</v>
      </c>
      <c r="AG93" s="1381" t="s">
        <v>166</v>
      </c>
      <c r="AH93" s="1280"/>
      <c r="AI93" s="1280"/>
      <c r="AJ93" s="1280"/>
      <c r="AK93" s="1280"/>
      <c r="AL93" s="1280"/>
      <c r="AM93" s="1280"/>
      <c r="AN93" s="1280"/>
      <c r="AO93" s="1280"/>
      <c r="AP93" s="1967"/>
      <c r="AQ93" s="1384" t="s">
        <v>118</v>
      </c>
      <c r="AR93" s="1384" t="s">
        <v>163</v>
      </c>
      <c r="AS93" s="1385" t="s">
        <v>164</v>
      </c>
      <c r="AT93" s="1385" t="s">
        <v>165</v>
      </c>
      <c r="AU93" s="1385" t="s">
        <v>166</v>
      </c>
      <c r="AV93" s="1290"/>
      <c r="AW93" s="1290"/>
      <c r="AX93" s="1290"/>
      <c r="AY93" s="1290"/>
      <c r="AZ93" s="1290"/>
      <c r="BA93" s="1290"/>
      <c r="BB93" s="1290"/>
      <c r="BC93" s="1290"/>
      <c r="BD93" s="1963"/>
      <c r="BE93" s="1384" t="s">
        <v>118</v>
      </c>
      <c r="BF93" s="1384" t="s">
        <v>163</v>
      </c>
      <c r="BG93" s="204" t="s">
        <v>164</v>
      </c>
      <c r="BH93" s="204" t="s">
        <v>165</v>
      </c>
      <c r="BI93" s="204" t="s">
        <v>166</v>
      </c>
      <c r="BJ93" s="1246"/>
      <c r="BK93" s="1246"/>
      <c r="BL93" s="1246"/>
      <c r="BM93" s="1246"/>
      <c r="BN93" s="1246"/>
      <c r="BO93" s="1246"/>
      <c r="BP93" s="1246"/>
      <c r="BQ93" s="1246"/>
    </row>
    <row r="94" spans="1:69" x14ac:dyDescent="0.25">
      <c r="A94" s="229" t="s">
        <v>15</v>
      </c>
      <c r="B94" s="31" t="s">
        <v>123</v>
      </c>
      <c r="C94" s="32">
        <v>1</v>
      </c>
      <c r="D94" s="111" t="s">
        <v>3632</v>
      </c>
      <c r="E94" s="38"/>
      <c r="F94" s="38" t="s">
        <v>3674</v>
      </c>
      <c r="G94" s="1264"/>
      <c r="H94" s="1322"/>
      <c r="I94" s="1346"/>
      <c r="J94" s="38"/>
      <c r="K94" s="38"/>
      <c r="L94" s="38"/>
      <c r="M94" s="38"/>
      <c r="N94" s="1373"/>
      <c r="O94" s="1373">
        <v>0</v>
      </c>
      <c r="P94" s="1373">
        <v>1</v>
      </c>
      <c r="Q94" s="1373">
        <v>2</v>
      </c>
      <c r="R94" s="1373">
        <v>3</v>
      </c>
      <c r="S94" s="1373">
        <v>4</v>
      </c>
      <c r="T94" s="1265"/>
      <c r="U94" s="1265"/>
      <c r="V94" s="1265"/>
      <c r="W94" s="1265"/>
      <c r="X94" s="1265"/>
      <c r="Y94" s="1265"/>
      <c r="Z94" s="1265"/>
      <c r="AA94" s="1265"/>
      <c r="AB94" s="1432"/>
      <c r="AC94" s="1432"/>
      <c r="AD94" s="1381">
        <v>1</v>
      </c>
      <c r="AE94" s="1381">
        <v>2</v>
      </c>
      <c r="AF94" s="1381">
        <v>3</v>
      </c>
      <c r="AG94" s="1381">
        <v>4</v>
      </c>
      <c r="AH94" s="1280"/>
      <c r="AI94" s="1280"/>
      <c r="AJ94" s="1280"/>
      <c r="AK94" s="1280"/>
      <c r="AL94" s="1280"/>
      <c r="AM94" s="1280"/>
      <c r="AN94" s="1280"/>
      <c r="AO94" s="1280"/>
      <c r="AP94" s="1385"/>
      <c r="AQ94" s="1405"/>
      <c r="AR94" s="1405">
        <v>1</v>
      </c>
      <c r="AS94" s="1385">
        <v>2</v>
      </c>
      <c r="AT94" s="1385">
        <v>3</v>
      </c>
      <c r="AU94" s="1385">
        <v>4</v>
      </c>
      <c r="AV94" s="1290"/>
      <c r="AW94" s="1290"/>
      <c r="AX94" s="1290"/>
      <c r="AY94" s="1290"/>
      <c r="AZ94" s="1290"/>
      <c r="BA94" s="1290"/>
      <c r="BB94" s="1290"/>
      <c r="BC94" s="1290"/>
      <c r="BD94" s="204"/>
      <c r="BE94" s="1406"/>
      <c r="BF94" s="1406">
        <v>1</v>
      </c>
      <c r="BG94" s="204">
        <v>2</v>
      </c>
      <c r="BH94" s="204">
        <v>3</v>
      </c>
      <c r="BI94" s="204">
        <v>4</v>
      </c>
      <c r="BJ94" s="1246"/>
      <c r="BK94" s="1246"/>
      <c r="BL94" s="1246"/>
      <c r="BM94" s="1246"/>
      <c r="BN94" s="1246"/>
      <c r="BO94" s="1246"/>
      <c r="BP94" s="1246"/>
      <c r="BQ94" s="1246"/>
    </row>
    <row r="95" spans="1:69" x14ac:dyDescent="0.25">
      <c r="A95" s="216">
        <v>1</v>
      </c>
      <c r="C95" s="30"/>
      <c r="D95" s="109"/>
      <c r="E95" s="38"/>
      <c r="F95" s="30" t="s">
        <v>3675</v>
      </c>
      <c r="G95" s="1264"/>
      <c r="H95" s="1322"/>
      <c r="I95" s="1346"/>
      <c r="J95" s="38"/>
      <c r="K95" s="38"/>
      <c r="L95" s="38"/>
      <c r="M95" s="38"/>
      <c r="N95" s="1373">
        <v>10000</v>
      </c>
      <c r="O95" s="1373">
        <v>0.91</v>
      </c>
      <c r="P95" s="1373">
        <v>0.8</v>
      </c>
      <c r="Q95" s="1373">
        <v>0.72</v>
      </c>
      <c r="R95" s="1373">
        <v>0.63</v>
      </c>
      <c r="S95" s="1583">
        <f>S96</f>
        <v>1.3</v>
      </c>
      <c r="T95" s="1265"/>
      <c r="U95" s="1265"/>
      <c r="V95" s="1265"/>
      <c r="W95" s="1265"/>
      <c r="X95" s="1265"/>
      <c r="Y95" s="1265"/>
      <c r="Z95" s="1265"/>
      <c r="AA95" s="1265"/>
      <c r="AB95" s="1381">
        <v>8000</v>
      </c>
      <c r="AC95" s="1381">
        <v>0.9</v>
      </c>
      <c r="AD95" s="1381">
        <v>0.82</v>
      </c>
      <c r="AE95" s="1381">
        <v>0.73</v>
      </c>
      <c r="AF95" s="1381">
        <v>0.65</v>
      </c>
      <c r="AG95" s="1381">
        <v>0.95</v>
      </c>
      <c r="AH95" s="1280"/>
      <c r="AI95" s="1280"/>
      <c r="AJ95" s="1280"/>
      <c r="AK95" s="1280"/>
      <c r="AL95" s="1280"/>
      <c r="AM95" s="1280"/>
      <c r="AN95" s="1280"/>
      <c r="AO95" s="1280"/>
      <c r="AP95" s="1377">
        <v>5000</v>
      </c>
      <c r="AQ95" s="1405">
        <v>0</v>
      </c>
      <c r="AR95" s="1405">
        <v>0</v>
      </c>
      <c r="AS95" s="1385">
        <v>0.96</v>
      </c>
      <c r="AT95" s="1385">
        <v>0.86</v>
      </c>
      <c r="AU95" s="1385">
        <v>0</v>
      </c>
      <c r="AV95" s="1290"/>
      <c r="AW95" s="1290"/>
      <c r="AX95" s="1290"/>
      <c r="AY95" s="1290"/>
      <c r="AZ95" s="1290"/>
      <c r="BA95" s="1290"/>
      <c r="BB95" s="1290"/>
      <c r="BC95" s="1290"/>
      <c r="BD95" s="204">
        <v>2000</v>
      </c>
      <c r="BE95" s="1406">
        <v>0</v>
      </c>
      <c r="BF95" s="1406">
        <v>0</v>
      </c>
      <c r="BG95" s="204">
        <v>1.1299999999999999</v>
      </c>
      <c r="BH95" s="204">
        <v>1.01</v>
      </c>
      <c r="BI95" s="204">
        <v>0</v>
      </c>
      <c r="BJ95" s="1246"/>
      <c r="BK95" s="1246"/>
      <c r="BL95" s="1246"/>
      <c r="BM95" s="1246"/>
      <c r="BN95" s="1246"/>
      <c r="BO95" s="1246"/>
      <c r="BP95" s="1246"/>
      <c r="BQ95" s="1246"/>
    </row>
    <row r="96" spans="1:69" x14ac:dyDescent="0.25">
      <c r="A96" s="216">
        <v>2</v>
      </c>
      <c r="C96" s="30"/>
      <c r="D96" s="109"/>
      <c r="E96" s="38"/>
      <c r="F96" s="30" t="s">
        <v>3677</v>
      </c>
      <c r="G96" s="1264"/>
      <c r="H96" s="1322"/>
      <c r="I96" s="1346"/>
      <c r="J96" s="38"/>
      <c r="K96" s="38"/>
      <c r="L96" s="38"/>
      <c r="M96" s="38"/>
      <c r="N96" s="1373">
        <v>8000</v>
      </c>
      <c r="O96" s="1373">
        <v>0.99</v>
      </c>
      <c r="P96" s="1373">
        <v>0.9</v>
      </c>
      <c r="Q96" s="1373">
        <v>0.82</v>
      </c>
      <c r="R96" s="1373">
        <v>0.72</v>
      </c>
      <c r="S96" s="1583">
        <f>S97</f>
        <v>1.3</v>
      </c>
      <c r="T96" s="1265"/>
      <c r="U96" s="1265"/>
      <c r="V96" s="1265"/>
      <c r="W96" s="1265"/>
      <c r="X96" s="1265"/>
      <c r="Y96" s="1265"/>
      <c r="Z96" s="1265"/>
      <c r="AA96" s="1265"/>
      <c r="AB96" s="1381">
        <v>5000</v>
      </c>
      <c r="AC96" s="1381">
        <v>1.1599999999999999</v>
      </c>
      <c r="AD96" s="1381">
        <v>1.05</v>
      </c>
      <c r="AE96" s="1381">
        <v>0.96</v>
      </c>
      <c r="AF96" s="1381">
        <v>0.86</v>
      </c>
      <c r="AG96" s="1381">
        <v>0.95</v>
      </c>
      <c r="AH96" s="1280"/>
      <c r="AI96" s="1280"/>
      <c r="AJ96" s="1280"/>
      <c r="AK96" s="1280"/>
      <c r="AL96" s="1280"/>
      <c r="AM96" s="1280"/>
      <c r="AN96" s="1280"/>
      <c r="AO96" s="1280"/>
      <c r="AP96" s="1377">
        <v>2000</v>
      </c>
      <c r="AQ96" s="1405">
        <v>0</v>
      </c>
      <c r="AR96" s="1405">
        <v>0</v>
      </c>
      <c r="AS96" s="1385">
        <v>1.24</v>
      </c>
      <c r="AT96" s="1385">
        <v>1.1100000000000001</v>
      </c>
      <c r="AU96" s="1385">
        <v>0</v>
      </c>
      <c r="AV96" s="1290"/>
      <c r="AW96" s="1290"/>
      <c r="AX96" s="1290"/>
      <c r="AY96" s="1290"/>
      <c r="AZ96" s="1290"/>
      <c r="BA96" s="1290"/>
      <c r="BB96" s="1290"/>
      <c r="BC96" s="1290"/>
      <c r="BD96" s="204">
        <v>1000</v>
      </c>
      <c r="BE96" s="1406">
        <v>0</v>
      </c>
      <c r="BF96" s="1406">
        <v>0</v>
      </c>
      <c r="BG96" s="204">
        <v>1.32</v>
      </c>
      <c r="BH96" s="204">
        <v>1.19</v>
      </c>
      <c r="BI96" s="204">
        <v>0.86</v>
      </c>
      <c r="BJ96" s="1246"/>
      <c r="BK96" s="1246"/>
      <c r="BL96" s="1246"/>
      <c r="BM96" s="1246"/>
      <c r="BN96" s="1246"/>
      <c r="BO96" s="1246"/>
      <c r="BP96" s="1246"/>
      <c r="BQ96" s="1246"/>
    </row>
    <row r="97" spans="1:69" x14ac:dyDescent="0.25">
      <c r="A97" s="216">
        <v>3</v>
      </c>
      <c r="C97" s="30"/>
      <c r="D97" s="109"/>
      <c r="E97" s="38"/>
      <c r="F97" s="30" t="s">
        <v>124</v>
      </c>
      <c r="G97" s="1264"/>
      <c r="H97" s="1322"/>
      <c r="I97" s="1346"/>
      <c r="J97" s="38"/>
      <c r="K97" s="38"/>
      <c r="L97" s="38"/>
      <c r="M97" s="38"/>
      <c r="N97" s="1373">
        <v>5000</v>
      </c>
      <c r="O97" s="1373">
        <v>1.28</v>
      </c>
      <c r="P97" s="1373">
        <v>1.1599999999999999</v>
      </c>
      <c r="Q97" s="1373">
        <v>1.06</v>
      </c>
      <c r="R97" s="1373">
        <v>0.94</v>
      </c>
      <c r="S97" s="1583">
        <f>S98</f>
        <v>1.3</v>
      </c>
      <c r="T97" s="1265"/>
      <c r="U97" s="1274"/>
      <c r="V97" s="1265"/>
      <c r="W97" s="1265"/>
      <c r="X97" s="1265"/>
      <c r="Y97" s="1265"/>
      <c r="Z97" s="1265"/>
      <c r="AA97" s="1265"/>
      <c r="AB97" s="1381">
        <v>2000</v>
      </c>
      <c r="AC97" s="1381">
        <v>1.5</v>
      </c>
      <c r="AD97" s="1381">
        <v>1.38</v>
      </c>
      <c r="AE97" s="1381">
        <v>1.24</v>
      </c>
      <c r="AF97" s="1381">
        <v>1.1100000000000001</v>
      </c>
      <c r="AG97" s="1381">
        <v>0.95</v>
      </c>
      <c r="AH97" s="1280"/>
      <c r="AI97" s="1280"/>
      <c r="AJ97" s="1280"/>
      <c r="AK97" s="1280"/>
      <c r="AL97" s="1280"/>
      <c r="AM97" s="1280"/>
      <c r="AN97" s="1280"/>
      <c r="AO97" s="1280"/>
      <c r="AP97" s="1377">
        <v>1000</v>
      </c>
      <c r="AQ97" s="1405">
        <v>0</v>
      </c>
      <c r="AR97" s="1405">
        <v>0</v>
      </c>
      <c r="AS97" s="1385">
        <v>1.45</v>
      </c>
      <c r="AT97" s="1385">
        <v>1.31</v>
      </c>
      <c r="AU97" s="1385">
        <v>0.95</v>
      </c>
      <c r="AV97" s="1290"/>
      <c r="AW97" s="1290"/>
      <c r="AX97" s="1290"/>
      <c r="AY97" s="1290"/>
      <c r="AZ97" s="1290"/>
      <c r="BA97" s="1290"/>
      <c r="BB97" s="1290"/>
      <c r="BC97" s="1290"/>
      <c r="BD97" s="204">
        <v>500</v>
      </c>
      <c r="BE97" s="1406">
        <v>0</v>
      </c>
      <c r="BF97" s="1406">
        <v>0</v>
      </c>
      <c r="BG97" s="204">
        <v>1.56</v>
      </c>
      <c r="BH97" s="204">
        <v>1.41</v>
      </c>
      <c r="BI97" s="204">
        <v>1.01</v>
      </c>
      <c r="BJ97" s="1246"/>
      <c r="BK97" s="1246"/>
      <c r="BL97" s="1246"/>
      <c r="BM97" s="1246"/>
      <c r="BN97" s="1246"/>
      <c r="BO97" s="1246"/>
      <c r="BP97" s="1246"/>
      <c r="BQ97" s="1246"/>
    </row>
    <row r="98" spans="1:69" x14ac:dyDescent="0.25">
      <c r="A98" s="216">
        <v>4</v>
      </c>
      <c r="B98" s="30" t="s">
        <v>124</v>
      </c>
      <c r="C98" s="30"/>
      <c r="D98" s="109"/>
      <c r="E98" s="551"/>
      <c r="F98" s="38"/>
      <c r="G98" s="1264"/>
      <c r="H98" s="1322"/>
      <c r="I98" s="1346"/>
      <c r="J98" s="38"/>
      <c r="K98" s="38"/>
      <c r="L98" s="38"/>
      <c r="M98" s="38"/>
      <c r="N98" s="1373">
        <v>2000</v>
      </c>
      <c r="O98" s="1373">
        <v>1.65</v>
      </c>
      <c r="P98" s="1373">
        <v>1.51</v>
      </c>
      <c r="Q98" s="1373">
        <v>1.36</v>
      </c>
      <c r="R98" s="1373">
        <v>1.2</v>
      </c>
      <c r="S98" s="1583">
        <f>S99</f>
        <v>1.3</v>
      </c>
      <c r="T98" s="1265"/>
      <c r="U98" s="1265"/>
      <c r="V98" s="1265"/>
      <c r="W98" s="1265"/>
      <c r="X98" s="1265"/>
      <c r="Y98" s="1265"/>
      <c r="Z98" s="1265"/>
      <c r="AA98" s="1265"/>
      <c r="AB98" s="1381">
        <v>1000</v>
      </c>
      <c r="AC98" s="1381">
        <v>1.75</v>
      </c>
      <c r="AD98" s="1381">
        <v>1.59</v>
      </c>
      <c r="AE98" s="1381">
        <v>1.45</v>
      </c>
      <c r="AF98" s="1381">
        <v>1.31</v>
      </c>
      <c r="AG98" s="1381">
        <v>0.95</v>
      </c>
      <c r="AH98" s="1280"/>
      <c r="AI98" s="1280"/>
      <c r="AJ98" s="1280"/>
      <c r="AK98" s="1280"/>
      <c r="AL98" s="1280"/>
      <c r="AM98" s="1280"/>
      <c r="AN98" s="1280"/>
      <c r="AO98" s="1280"/>
      <c r="AP98" s="1377">
        <v>500</v>
      </c>
      <c r="AQ98" s="1405">
        <v>0</v>
      </c>
      <c r="AR98" s="1405">
        <v>0</v>
      </c>
      <c r="AS98" s="1385">
        <v>1.79</v>
      </c>
      <c r="AT98" s="1385">
        <v>1.62</v>
      </c>
      <c r="AU98" s="1385">
        <v>1.1599999999999999</v>
      </c>
      <c r="AV98" s="1290"/>
      <c r="AW98" s="1290"/>
      <c r="AX98" s="1290"/>
      <c r="AY98" s="1290"/>
      <c r="AZ98" s="1290"/>
      <c r="BA98" s="1290"/>
      <c r="BB98" s="1290"/>
      <c r="BC98" s="1290"/>
      <c r="BD98" s="204">
        <v>200</v>
      </c>
      <c r="BE98" s="1406">
        <v>0</v>
      </c>
      <c r="BF98" s="1406">
        <v>0</v>
      </c>
      <c r="BG98" s="204">
        <v>1.83</v>
      </c>
      <c r="BH98" s="204">
        <v>1.65</v>
      </c>
      <c r="BI98" s="204">
        <v>1.19</v>
      </c>
      <c r="BJ98" s="1246"/>
      <c r="BK98" s="1246"/>
      <c r="BL98" s="1246"/>
      <c r="BM98" s="1246"/>
      <c r="BN98" s="1246"/>
      <c r="BO98" s="1246"/>
      <c r="BP98" s="1246"/>
      <c r="BQ98" s="1246"/>
    </row>
    <row r="99" spans="1:69" x14ac:dyDescent="0.25">
      <c r="A99" s="229" t="s">
        <v>15</v>
      </c>
      <c r="B99" s="31" t="s">
        <v>125</v>
      </c>
      <c r="C99" s="32">
        <v>1</v>
      </c>
      <c r="D99" s="111" t="s">
        <v>3633</v>
      </c>
      <c r="E99" s="551">
        <v>1</v>
      </c>
      <c r="F99" s="551">
        <v>1</v>
      </c>
      <c r="G99" s="1264"/>
      <c r="H99" s="1322"/>
      <c r="I99" s="1346"/>
      <c r="J99" s="38"/>
      <c r="K99" s="38"/>
      <c r="L99" s="38"/>
      <c r="M99" s="38"/>
      <c r="N99" s="1373">
        <v>1000</v>
      </c>
      <c r="O99" s="1373">
        <v>1.93</v>
      </c>
      <c r="P99" s="1373">
        <v>1.76</v>
      </c>
      <c r="Q99" s="1373">
        <v>1.61</v>
      </c>
      <c r="R99" s="1373">
        <v>1.43</v>
      </c>
      <c r="S99" s="1373">
        <f>S100</f>
        <v>1.3</v>
      </c>
      <c r="T99" s="1265"/>
      <c r="U99" s="1265"/>
      <c r="V99" s="1265"/>
      <c r="W99" s="1265"/>
      <c r="X99" s="1265"/>
      <c r="Y99" s="1265"/>
      <c r="Z99" s="1265"/>
      <c r="AA99" s="1265"/>
      <c r="AB99" s="1381">
        <v>500</v>
      </c>
      <c r="AC99" s="1381">
        <v>2.17</v>
      </c>
      <c r="AD99" s="1381">
        <v>1.96</v>
      </c>
      <c r="AE99" s="1381">
        <v>1.79</v>
      </c>
      <c r="AF99" s="1381">
        <v>1.62</v>
      </c>
      <c r="AG99" s="1381">
        <v>1.1599999999999999</v>
      </c>
      <c r="AH99" s="1280"/>
      <c r="AI99" s="1280"/>
      <c r="AJ99" s="1280"/>
      <c r="AK99" s="1280"/>
      <c r="AL99" s="1280"/>
      <c r="AM99" s="1280"/>
      <c r="AN99" s="1280"/>
      <c r="AO99" s="1280"/>
      <c r="AP99" s="1377">
        <v>200</v>
      </c>
      <c r="AQ99" s="1405">
        <v>0</v>
      </c>
      <c r="AR99" s="1405">
        <v>0</v>
      </c>
      <c r="AS99" s="1385">
        <v>2.1</v>
      </c>
      <c r="AT99" s="1385">
        <v>1.9</v>
      </c>
      <c r="AU99" s="1385">
        <v>1.37</v>
      </c>
      <c r="AV99" s="1290"/>
      <c r="AW99" s="1290"/>
      <c r="AX99" s="1290"/>
      <c r="AY99" s="1290"/>
      <c r="AZ99" s="1290"/>
      <c r="BA99" s="1290"/>
      <c r="BB99" s="1290"/>
      <c r="BC99" s="1290"/>
      <c r="BD99" s="204">
        <v>100</v>
      </c>
      <c r="BE99" s="1406">
        <v>0</v>
      </c>
      <c r="BF99" s="1406">
        <v>0</v>
      </c>
      <c r="BG99" s="204">
        <v>1.99</v>
      </c>
      <c r="BH99" s="204">
        <v>1.81</v>
      </c>
      <c r="BI99" s="204">
        <v>1.41</v>
      </c>
      <c r="BJ99" s="1246"/>
      <c r="BK99" s="1246"/>
      <c r="BL99" s="1246"/>
      <c r="BM99" s="1246"/>
      <c r="BN99" s="1246"/>
      <c r="BO99" s="1246"/>
      <c r="BP99" s="1246"/>
      <c r="BQ99" s="1246"/>
    </row>
    <row r="100" spans="1:69" x14ac:dyDescent="0.25">
      <c r="A100" s="216">
        <v>1</v>
      </c>
      <c r="B100" s="30" t="s">
        <v>3831</v>
      </c>
      <c r="C100" s="30"/>
      <c r="D100" s="109"/>
      <c r="E100" s="38" t="s">
        <v>3660</v>
      </c>
      <c r="F100" s="38" t="s">
        <v>3659</v>
      </c>
      <c r="G100" s="1264"/>
      <c r="H100" s="1322"/>
      <c r="I100" s="1346"/>
      <c r="J100" s="38"/>
      <c r="K100" s="38"/>
      <c r="L100" s="38"/>
      <c r="M100" s="38"/>
      <c r="N100" s="1373">
        <v>500</v>
      </c>
      <c r="O100" s="1373">
        <v>2.39</v>
      </c>
      <c r="P100" s="1373">
        <v>2.17</v>
      </c>
      <c r="Q100" s="1373">
        <v>1.98</v>
      </c>
      <c r="R100" s="1373">
        <v>1.75</v>
      </c>
      <c r="S100" s="1373">
        <v>1.3</v>
      </c>
      <c r="T100" s="1265"/>
      <c r="U100" s="1265"/>
      <c r="V100" s="1265"/>
      <c r="W100" s="1265"/>
      <c r="X100" s="1265"/>
      <c r="Y100" s="1265"/>
      <c r="Z100" s="1265"/>
      <c r="AA100" s="1265"/>
      <c r="AB100" s="1381">
        <v>200</v>
      </c>
      <c r="AC100" s="1381" t="s">
        <v>3761</v>
      </c>
      <c r="AD100" s="1381">
        <v>2.34</v>
      </c>
      <c r="AE100" s="1381">
        <v>2.1</v>
      </c>
      <c r="AF100" s="1381">
        <v>1.9</v>
      </c>
      <c r="AG100" s="1381">
        <v>1.37</v>
      </c>
      <c r="AH100" s="1280"/>
      <c r="AI100" s="1280"/>
      <c r="AJ100" s="1280"/>
      <c r="AK100" s="1280"/>
      <c r="AL100" s="1280"/>
      <c r="AM100" s="1280"/>
      <c r="AN100" s="1280"/>
      <c r="AO100" s="1280"/>
      <c r="AP100" s="1377">
        <v>100</v>
      </c>
      <c r="AQ100" s="1405">
        <v>0</v>
      </c>
      <c r="AR100" s="1405">
        <v>0</v>
      </c>
      <c r="AS100" s="1385">
        <v>2.29</v>
      </c>
      <c r="AT100" s="1385">
        <v>2.08</v>
      </c>
      <c r="AU100" s="1385">
        <v>1.62</v>
      </c>
      <c r="AV100" s="1290"/>
      <c r="AW100" s="1290"/>
      <c r="AX100" s="1290"/>
      <c r="AY100" s="1290"/>
      <c r="AZ100" s="1290"/>
      <c r="BA100" s="1290"/>
      <c r="BB100" s="1290"/>
      <c r="BC100" s="1290"/>
      <c r="BD100" s="204">
        <v>50</v>
      </c>
      <c r="BE100" s="1406">
        <v>0</v>
      </c>
      <c r="BF100" s="1406">
        <v>0</v>
      </c>
      <c r="BG100" s="204">
        <v>2.21</v>
      </c>
      <c r="BH100" s="204">
        <v>1.99</v>
      </c>
      <c r="BI100" s="204">
        <v>1.66</v>
      </c>
      <c r="BJ100" s="1246"/>
      <c r="BK100" s="1246"/>
      <c r="BL100" s="1246"/>
      <c r="BM100" s="1246"/>
      <c r="BN100" s="1246"/>
      <c r="BO100" s="1246"/>
      <c r="BP100" s="1246"/>
      <c r="BQ100" s="1246"/>
    </row>
    <row r="101" spans="1:69" x14ac:dyDescent="0.25">
      <c r="A101" s="216">
        <v>2</v>
      </c>
      <c r="B101" s="30" t="s">
        <v>3113</v>
      </c>
      <c r="C101" s="30"/>
      <c r="D101" s="109"/>
      <c r="E101" s="38" t="s">
        <v>3792</v>
      </c>
      <c r="F101" s="38" t="s">
        <v>3780</v>
      </c>
      <c r="G101" s="1264"/>
      <c r="H101" s="1322"/>
      <c r="I101" s="1346"/>
      <c r="J101" s="38"/>
      <c r="K101" s="38"/>
      <c r="L101" s="38"/>
      <c r="M101" s="38"/>
      <c r="N101" s="1373">
        <v>200</v>
      </c>
      <c r="O101" s="1373">
        <v>2.83</v>
      </c>
      <c r="P101" s="1373">
        <v>2.57</v>
      </c>
      <c r="Q101" s="1373">
        <v>2.34</v>
      </c>
      <c r="R101" s="1373">
        <v>2.0699999999999998</v>
      </c>
      <c r="S101" s="1373">
        <v>1.51</v>
      </c>
      <c r="T101" s="1265"/>
      <c r="U101" s="1265"/>
      <c r="V101" s="1265"/>
      <c r="W101" s="1265"/>
      <c r="X101" s="1265"/>
      <c r="Y101" s="1265"/>
      <c r="Z101" s="1265"/>
      <c r="AA101" s="1265"/>
      <c r="AB101" s="1381">
        <v>100</v>
      </c>
      <c r="AC101" s="1381">
        <v>2.82</v>
      </c>
      <c r="AD101" s="1381">
        <v>2.54</v>
      </c>
      <c r="AE101" s="1381">
        <v>2.29</v>
      </c>
      <c r="AF101" s="1381">
        <v>2.08</v>
      </c>
      <c r="AG101" s="1381">
        <v>1.62</v>
      </c>
      <c r="AH101" s="1280"/>
      <c r="AI101" s="1280"/>
      <c r="AJ101" s="1280"/>
      <c r="AK101" s="1280"/>
      <c r="AL101" s="1280"/>
      <c r="AM101" s="1280"/>
      <c r="AN101" s="1280"/>
      <c r="AO101" s="1280"/>
      <c r="AP101" s="1377">
        <v>50</v>
      </c>
      <c r="AQ101" s="1405">
        <v>0</v>
      </c>
      <c r="AR101" s="1405">
        <v>0</v>
      </c>
      <c r="AS101" s="1385">
        <v>2.54</v>
      </c>
      <c r="AT101" s="1385">
        <v>2.29</v>
      </c>
      <c r="AU101" s="1385">
        <v>1.91</v>
      </c>
      <c r="AV101" s="1290"/>
      <c r="AW101" s="1290"/>
      <c r="AX101" s="1290"/>
      <c r="AY101" s="1290"/>
      <c r="AZ101" s="1290"/>
      <c r="BA101" s="1290"/>
      <c r="BB101" s="1290"/>
      <c r="BC101" s="1290"/>
      <c r="BD101" s="204">
        <v>20</v>
      </c>
      <c r="BE101" s="1406">
        <v>0</v>
      </c>
      <c r="BF101" s="1406">
        <v>0</v>
      </c>
      <c r="BG101" s="204">
        <v>2.62</v>
      </c>
      <c r="BH101" s="204">
        <v>2.37</v>
      </c>
      <c r="BI101" s="204">
        <v>2.11</v>
      </c>
      <c r="BJ101" s="1246"/>
      <c r="BK101" s="1246"/>
      <c r="BL101" s="1246"/>
      <c r="BM101" s="1246"/>
      <c r="BN101" s="1246"/>
      <c r="BO101" s="1246"/>
      <c r="BP101" s="1246"/>
      <c r="BQ101" s="1246"/>
    </row>
    <row r="102" spans="1:69" x14ac:dyDescent="0.25">
      <c r="A102" s="216">
        <v>3</v>
      </c>
      <c r="B102" s="30" t="s">
        <v>3832</v>
      </c>
      <c r="C102" s="30"/>
      <c r="D102" s="109" t="s">
        <v>3785</v>
      </c>
      <c r="E102" s="38">
        <v>1</v>
      </c>
      <c r="F102" s="38"/>
      <c r="G102" s="1264"/>
      <c r="H102" s="1322"/>
      <c r="I102" s="1346"/>
      <c r="J102" s="38"/>
      <c r="K102" s="38"/>
      <c r="L102" s="38"/>
      <c r="M102" s="38"/>
      <c r="N102" s="1373">
        <v>100</v>
      </c>
      <c r="O102" s="1373">
        <v>3.1</v>
      </c>
      <c r="P102" s="1373">
        <v>2.82</v>
      </c>
      <c r="Q102" s="1373">
        <v>2.54</v>
      </c>
      <c r="R102" s="1373">
        <v>2.25</v>
      </c>
      <c r="S102" s="1373">
        <v>1.86</v>
      </c>
      <c r="T102" s="1265"/>
      <c r="U102" s="1265"/>
      <c r="V102" s="1265"/>
      <c r="W102" s="1265"/>
      <c r="X102" s="1265"/>
      <c r="Y102" s="1265"/>
      <c r="Z102" s="1265"/>
      <c r="AA102" s="1265"/>
      <c r="AB102" s="1381">
        <v>50</v>
      </c>
      <c r="AC102" s="1381">
        <v>3.1</v>
      </c>
      <c r="AD102" s="1381">
        <v>2.82</v>
      </c>
      <c r="AE102" s="1381">
        <v>2.54</v>
      </c>
      <c r="AF102" s="1381">
        <v>2.29</v>
      </c>
      <c r="AG102" s="1381">
        <v>1.91</v>
      </c>
      <c r="AH102" s="1280"/>
      <c r="AI102" s="1280"/>
      <c r="AJ102" s="1280"/>
      <c r="AK102" s="1280"/>
      <c r="AL102" s="1280"/>
      <c r="AM102" s="1280"/>
      <c r="AN102" s="1280"/>
      <c r="AO102" s="1280"/>
      <c r="AP102" s="1377">
        <v>20</v>
      </c>
      <c r="AQ102" s="1405">
        <v>0</v>
      </c>
      <c r="AR102" s="1405">
        <v>0</v>
      </c>
      <c r="AS102" s="1385">
        <v>3.01</v>
      </c>
      <c r="AT102" s="1385">
        <v>2.73</v>
      </c>
      <c r="AU102" s="1385">
        <v>2.4300000000000002</v>
      </c>
      <c r="AV102" s="1290"/>
      <c r="AW102" s="1290"/>
      <c r="AX102" s="1290"/>
      <c r="AY102" s="1290"/>
      <c r="AZ102" s="1290"/>
      <c r="BA102" s="1290"/>
      <c r="BB102" s="1290"/>
      <c r="BC102" s="1290"/>
      <c r="BD102" s="204">
        <v>10</v>
      </c>
      <c r="BE102" s="1406">
        <v>0</v>
      </c>
      <c r="BF102" s="1406">
        <v>0</v>
      </c>
      <c r="BG102" s="204">
        <v>3.03</v>
      </c>
      <c r="BH102" s="204">
        <v>2.73</v>
      </c>
      <c r="BI102" s="204">
        <v>2.42</v>
      </c>
      <c r="BJ102" s="1246"/>
      <c r="BK102" s="1246"/>
      <c r="BL102" s="1246"/>
      <c r="BM102" s="1246"/>
      <c r="BN102" s="1246"/>
      <c r="BO102" s="1246"/>
      <c r="BP102" s="1246"/>
      <c r="BQ102" s="1246"/>
    </row>
    <row r="103" spans="1:69" x14ac:dyDescent="0.25">
      <c r="A103" s="216">
        <v>4</v>
      </c>
      <c r="B103" s="30" t="s">
        <v>126</v>
      </c>
      <c r="C103" s="30"/>
      <c r="D103" s="109"/>
      <c r="E103" s="38"/>
      <c r="F103" s="38"/>
      <c r="G103" s="1264"/>
      <c r="H103" s="1322"/>
      <c r="I103" s="1346"/>
      <c r="J103" s="38"/>
      <c r="K103" s="38"/>
      <c r="L103" s="38"/>
      <c r="M103" s="38"/>
      <c r="N103" s="1373">
        <v>50</v>
      </c>
      <c r="O103" s="1373">
        <v>3.41</v>
      </c>
      <c r="P103" s="1373">
        <v>3.1</v>
      </c>
      <c r="Q103" s="1373">
        <v>2.8</v>
      </c>
      <c r="R103" s="1373">
        <v>2.48</v>
      </c>
      <c r="S103" s="1373">
        <v>2.12</v>
      </c>
      <c r="T103" s="1265"/>
      <c r="U103" s="1265"/>
      <c r="V103" s="1265"/>
      <c r="W103" s="1265"/>
      <c r="X103" s="1265"/>
      <c r="Y103" s="1265"/>
      <c r="Z103" s="1265"/>
      <c r="AA103" s="1265"/>
      <c r="AB103" s="1381">
        <v>20</v>
      </c>
      <c r="AC103" s="1381">
        <v>3.68</v>
      </c>
      <c r="AD103" s="1381">
        <v>3.36</v>
      </c>
      <c r="AE103" s="1381">
        <v>3.01</v>
      </c>
      <c r="AF103" s="1381">
        <v>2.73</v>
      </c>
      <c r="AG103" s="1381">
        <v>2.4300000000000002</v>
      </c>
      <c r="AH103" s="1280"/>
      <c r="AI103" s="1280"/>
      <c r="AJ103" s="1280"/>
      <c r="AK103" s="1280"/>
      <c r="AL103" s="1280"/>
      <c r="AM103" s="1280"/>
      <c r="AN103" s="1280"/>
      <c r="AO103" s="1280"/>
      <c r="AP103" s="1377">
        <v>10</v>
      </c>
      <c r="AQ103" s="1405">
        <v>0</v>
      </c>
      <c r="AR103" s="1405">
        <v>0</v>
      </c>
      <c r="AS103" s="1385">
        <v>3.48</v>
      </c>
      <c r="AT103" s="1385">
        <v>3.14</v>
      </c>
      <c r="AU103" s="1385">
        <v>2.78</v>
      </c>
      <c r="AV103" s="1290"/>
      <c r="AW103" s="1290"/>
      <c r="AX103" s="1290"/>
      <c r="AY103" s="1290"/>
      <c r="AZ103" s="1290"/>
      <c r="BA103" s="1290"/>
      <c r="BB103" s="1290"/>
      <c r="BC103" s="1290"/>
      <c r="BD103" s="204">
        <v>7</v>
      </c>
      <c r="BE103" s="1406">
        <v>0</v>
      </c>
      <c r="BF103" s="1406">
        <v>0</v>
      </c>
      <c r="BG103" s="204">
        <v>3.16</v>
      </c>
      <c r="BH103" s="204">
        <v>2.84</v>
      </c>
      <c r="BI103" s="204">
        <v>2.52</v>
      </c>
      <c r="BJ103" s="1246"/>
      <c r="BK103" s="1246"/>
      <c r="BL103" s="1246"/>
      <c r="BM103" s="1246"/>
      <c r="BN103" s="1246"/>
      <c r="BO103" s="1246"/>
      <c r="BP103" s="1246"/>
      <c r="BQ103" s="1246"/>
    </row>
    <row r="104" spans="1:69" x14ac:dyDescent="0.25">
      <c r="A104" s="229" t="s">
        <v>15</v>
      </c>
      <c r="B104" s="31" t="s">
        <v>127</v>
      </c>
      <c r="C104" s="32">
        <v>2</v>
      </c>
      <c r="D104" s="112">
        <v>1</v>
      </c>
      <c r="E104" s="115" t="s">
        <v>3634</v>
      </c>
      <c r="F104" s="38"/>
      <c r="G104" s="1264"/>
      <c r="H104" s="1322"/>
      <c r="I104" s="1346"/>
      <c r="J104" s="38"/>
      <c r="K104" s="38"/>
      <c r="L104" s="38"/>
      <c r="M104" s="38"/>
      <c r="N104" s="1373">
        <v>20</v>
      </c>
      <c r="O104" s="1373">
        <v>4.05</v>
      </c>
      <c r="P104" s="1373">
        <v>3.66</v>
      </c>
      <c r="Q104" s="1373">
        <v>3.33</v>
      </c>
      <c r="R104" s="1373">
        <v>2.95</v>
      </c>
      <c r="S104" s="1373">
        <v>2.5499999999999998</v>
      </c>
      <c r="T104" s="1265"/>
      <c r="U104" s="1265"/>
      <c r="V104" s="1265"/>
      <c r="W104" s="1265"/>
      <c r="X104" s="1265"/>
      <c r="Y104" s="1265"/>
      <c r="Z104" s="1265"/>
      <c r="AA104" s="1265"/>
      <c r="AB104" s="1381">
        <v>10</v>
      </c>
      <c r="AC104" s="1381">
        <v>4.24</v>
      </c>
      <c r="AD104" s="1381">
        <v>3.84</v>
      </c>
      <c r="AE104" s="1381">
        <v>3.48</v>
      </c>
      <c r="AF104" s="1381">
        <v>3.15</v>
      </c>
      <c r="AG104" s="1381">
        <v>2.78</v>
      </c>
      <c r="AH104" s="1280"/>
      <c r="AI104" s="1280"/>
      <c r="AJ104" s="1280"/>
      <c r="AK104" s="1280"/>
      <c r="AL104" s="1280"/>
      <c r="AM104" s="1280"/>
      <c r="AN104" s="1280"/>
      <c r="AO104" s="1280"/>
      <c r="AP104" s="1377">
        <v>7</v>
      </c>
      <c r="AQ104" s="1405">
        <v>0</v>
      </c>
      <c r="AR104" s="1405">
        <v>0</v>
      </c>
      <c r="AS104" s="1385">
        <v>3.63</v>
      </c>
      <c r="AT104" s="1385">
        <v>3.27</v>
      </c>
      <c r="AU104" s="1385">
        <v>2.9</v>
      </c>
      <c r="AV104" s="1290"/>
      <c r="AW104" s="1290"/>
      <c r="AX104" s="1290"/>
      <c r="AY104" s="1290"/>
      <c r="AZ104" s="1290"/>
      <c r="BA104" s="1290"/>
      <c r="BB104" s="1290"/>
      <c r="BC104" s="1290"/>
      <c r="BD104" s="204">
        <v>3</v>
      </c>
      <c r="BE104" s="1406">
        <v>0</v>
      </c>
      <c r="BF104" s="1406">
        <v>0</v>
      </c>
      <c r="BG104" s="204">
        <v>3.51</v>
      </c>
      <c r="BH104" s="204">
        <v>3.16</v>
      </c>
      <c r="BI104" s="204">
        <v>2.81</v>
      </c>
      <c r="BJ104" s="1246"/>
      <c r="BK104" s="1246"/>
      <c r="BL104" s="1246"/>
      <c r="BM104" s="1246"/>
      <c r="BN104" s="1246"/>
      <c r="BO104" s="1246"/>
      <c r="BP104" s="1246"/>
      <c r="BQ104" s="1246"/>
    </row>
    <row r="105" spans="1:69" ht="15.75" customHeight="1" x14ac:dyDescent="0.25">
      <c r="A105" s="216">
        <v>1</v>
      </c>
      <c r="B105" s="30" t="s">
        <v>128</v>
      </c>
      <c r="C105" s="30"/>
      <c r="D105" s="109"/>
      <c r="E105" s="38"/>
      <c r="F105" s="38"/>
      <c r="G105" s="1264"/>
      <c r="H105" s="1322"/>
      <c r="I105" s="1346"/>
      <c r="J105" s="38"/>
      <c r="K105" s="38"/>
      <c r="L105" s="38"/>
      <c r="M105" s="38"/>
      <c r="N105" s="1373">
        <v>10</v>
      </c>
      <c r="O105" s="1373">
        <v>4.66</v>
      </c>
      <c r="P105" s="1373">
        <v>4.22</v>
      </c>
      <c r="Q105" s="1373">
        <v>3.85</v>
      </c>
      <c r="R105" s="1373">
        <v>3.41</v>
      </c>
      <c r="S105" s="1373">
        <v>2.92</v>
      </c>
      <c r="T105" s="1265"/>
      <c r="U105" s="1265"/>
      <c r="V105" s="1265"/>
      <c r="W105" s="1265"/>
      <c r="X105" s="1265"/>
      <c r="Y105" s="1265"/>
      <c r="Z105" s="1265"/>
      <c r="AA105" s="1265"/>
      <c r="AB105" s="1381">
        <v>7</v>
      </c>
      <c r="AC105" s="1579">
        <v>4.24</v>
      </c>
      <c r="AD105" s="1579">
        <v>3.84</v>
      </c>
      <c r="AE105" s="1381">
        <v>3.63</v>
      </c>
      <c r="AF105" s="1381">
        <v>3.27</v>
      </c>
      <c r="AG105" s="1381">
        <v>2.9</v>
      </c>
      <c r="AH105" s="1280"/>
      <c r="AI105" s="1280"/>
      <c r="AJ105" s="1280"/>
      <c r="AK105" s="1280"/>
      <c r="AL105" s="1280"/>
      <c r="AM105" s="1280"/>
      <c r="AN105" s="1280"/>
      <c r="AO105" s="1280"/>
      <c r="AV105" s="1290"/>
      <c r="AW105" s="1290"/>
      <c r="AX105" s="1290"/>
      <c r="AY105" s="1290"/>
      <c r="AZ105" s="1290"/>
      <c r="BA105" s="1290"/>
      <c r="BB105" s="1290"/>
      <c r="BC105" s="1290"/>
      <c r="BJ105" s="1246"/>
      <c r="BK105" s="1246"/>
      <c r="BL105" s="1246"/>
      <c r="BM105" s="1246"/>
      <c r="BN105" s="1246"/>
      <c r="BO105" s="1246"/>
      <c r="BP105" s="1246"/>
      <c r="BQ105" s="1246"/>
    </row>
    <row r="106" spans="1:69" ht="15.75" customHeight="1" x14ac:dyDescent="0.25">
      <c r="A106" s="216">
        <v>2</v>
      </c>
      <c r="B106" s="30" t="s">
        <v>129</v>
      </c>
      <c r="C106" s="30"/>
      <c r="D106" s="109"/>
      <c r="E106" s="38"/>
      <c r="F106" s="38"/>
      <c r="G106" s="1264"/>
      <c r="H106" s="1322"/>
      <c r="I106" s="1346"/>
      <c r="J106" s="38"/>
      <c r="K106" s="38"/>
      <c r="L106" s="38"/>
      <c r="M106" s="38"/>
      <c r="N106" s="1271" t="s">
        <v>169</v>
      </c>
      <c r="O106" s="1272"/>
      <c r="P106" s="1271"/>
      <c r="Q106" s="1271"/>
      <c r="R106" s="1272"/>
      <c r="S106" s="1272"/>
      <c r="T106" s="1265"/>
      <c r="U106" s="1265"/>
      <c r="V106" s="1265"/>
      <c r="W106" s="1265"/>
      <c r="X106" s="1265"/>
      <c r="Y106" s="1265"/>
      <c r="Z106" s="1265"/>
      <c r="AA106" s="1265"/>
      <c r="AB106" s="1284" t="s">
        <v>169</v>
      </c>
      <c r="AC106" s="1285"/>
      <c r="AD106" s="1284"/>
      <c r="AE106" s="1284"/>
      <c r="AF106" s="1285"/>
      <c r="AG106" s="1285"/>
      <c r="AH106" s="1280"/>
      <c r="AI106" s="1280"/>
      <c r="AJ106" s="1280"/>
      <c r="AK106" s="1280"/>
      <c r="AL106" s="1280"/>
      <c r="AM106" s="1280"/>
      <c r="AN106" s="1280"/>
      <c r="AO106" s="1366"/>
      <c r="AP106" s="1294" t="s">
        <v>169</v>
      </c>
      <c r="AQ106" s="1295"/>
      <c r="AR106" s="1294"/>
      <c r="AS106" s="1294"/>
      <c r="AT106" s="1295"/>
      <c r="AU106" s="1295"/>
      <c r="AV106" s="1290"/>
      <c r="AW106" s="1290"/>
      <c r="AX106" s="1290"/>
      <c r="AY106" s="1290"/>
      <c r="AZ106" s="1290"/>
      <c r="BA106" s="1290"/>
      <c r="BB106" s="1290"/>
      <c r="BC106" s="1290"/>
      <c r="BD106" s="1250" t="s">
        <v>169</v>
      </c>
      <c r="BE106" s="1251"/>
      <c r="BF106" s="1250"/>
      <c r="BG106" s="1250"/>
      <c r="BH106" s="1251"/>
      <c r="BI106" s="1251"/>
      <c r="BJ106" s="1246"/>
      <c r="BK106" s="1246"/>
      <c r="BL106" s="1246"/>
      <c r="BM106" s="1246"/>
      <c r="BN106" s="1246"/>
      <c r="BO106" s="1246"/>
      <c r="BP106" s="1246"/>
      <c r="BQ106" s="1246"/>
    </row>
    <row r="107" spans="1:69" ht="31.5" customHeight="1" x14ac:dyDescent="0.25">
      <c r="A107" s="216">
        <v>3</v>
      </c>
      <c r="B107" s="30" t="s">
        <v>130</v>
      </c>
      <c r="C107" s="30"/>
      <c r="D107" s="109"/>
      <c r="E107" s="38"/>
      <c r="F107" s="38"/>
      <c r="G107" s="1264"/>
      <c r="H107" s="1322"/>
      <c r="I107" s="1346"/>
      <c r="J107" s="38"/>
      <c r="K107" s="38"/>
      <c r="L107" s="38"/>
      <c r="M107" s="38"/>
      <c r="N107" s="1955" t="s">
        <v>162</v>
      </c>
      <c r="O107" s="1944" t="s">
        <v>117</v>
      </c>
      <c r="P107" s="1944"/>
      <c r="Q107" s="1944"/>
      <c r="R107" s="1944"/>
      <c r="S107" s="1944"/>
      <c r="T107" s="1265"/>
      <c r="U107" s="1265"/>
      <c r="V107" s="1265"/>
      <c r="W107" s="1265"/>
      <c r="X107" s="1265"/>
      <c r="Y107" s="1265"/>
      <c r="Z107" s="1265"/>
      <c r="AA107" s="1265"/>
      <c r="AB107" s="1962" t="s">
        <v>162</v>
      </c>
      <c r="AC107" s="1957" t="s">
        <v>117</v>
      </c>
      <c r="AD107" s="1958"/>
      <c r="AE107" s="1958"/>
      <c r="AF107" s="1958"/>
      <c r="AG107" s="1959"/>
      <c r="AH107" s="1280"/>
      <c r="AI107" s="1280"/>
      <c r="AJ107" s="1280"/>
      <c r="AK107" s="1280"/>
      <c r="AL107" s="1280"/>
      <c r="AM107" s="1280"/>
      <c r="AN107" s="1280"/>
      <c r="AO107" s="1366"/>
      <c r="AP107" s="1966" t="s">
        <v>162</v>
      </c>
      <c r="AQ107" s="1931" t="s">
        <v>117</v>
      </c>
      <c r="AR107" s="1932"/>
      <c r="AS107" s="1932"/>
      <c r="AT107" s="1932"/>
      <c r="AU107" s="1933"/>
      <c r="AV107" s="1290"/>
      <c r="AW107" s="1290"/>
      <c r="AX107" s="1290"/>
      <c r="AY107" s="1290"/>
      <c r="AZ107" s="1290"/>
      <c r="BA107" s="1290"/>
      <c r="BB107" s="1290"/>
      <c r="BC107" s="1290"/>
      <c r="BD107" s="2009" t="s">
        <v>162</v>
      </c>
      <c r="BE107" s="1998" t="s">
        <v>117</v>
      </c>
      <c r="BF107" s="1999"/>
      <c r="BG107" s="1999"/>
      <c r="BH107" s="1999"/>
      <c r="BI107" s="2000"/>
      <c r="BJ107" s="1246"/>
      <c r="BK107" s="1246"/>
      <c r="BL107" s="1246"/>
      <c r="BM107" s="1246"/>
      <c r="BN107" s="1246"/>
      <c r="BO107" s="1246"/>
      <c r="BP107" s="1246"/>
      <c r="BQ107" s="1246"/>
    </row>
    <row r="108" spans="1:69" x14ac:dyDescent="0.25">
      <c r="A108" s="216">
        <v>4</v>
      </c>
      <c r="B108" s="30" t="s">
        <v>131</v>
      </c>
      <c r="C108" s="30"/>
      <c r="D108" s="109"/>
      <c r="E108" s="38"/>
      <c r="F108" s="38"/>
      <c r="G108" s="1264"/>
      <c r="H108" s="1322"/>
      <c r="I108" s="1346"/>
      <c r="J108" s="38"/>
      <c r="K108" s="38"/>
      <c r="L108" s="38"/>
      <c r="M108" s="38"/>
      <c r="N108" s="1956"/>
      <c r="O108" s="1373" t="s">
        <v>118</v>
      </c>
      <c r="P108" s="1373" t="s">
        <v>163</v>
      </c>
      <c r="Q108" s="1373" t="s">
        <v>164</v>
      </c>
      <c r="R108" s="1373" t="s">
        <v>165</v>
      </c>
      <c r="S108" s="1373" t="s">
        <v>166</v>
      </c>
      <c r="T108" s="1265"/>
      <c r="U108" s="1265"/>
      <c r="V108" s="1265"/>
      <c r="W108" s="1265"/>
      <c r="X108" s="1265"/>
      <c r="Y108" s="1265"/>
      <c r="Z108" s="1265"/>
      <c r="AA108" s="1265"/>
      <c r="AB108" s="1962"/>
      <c r="AC108" s="1381" t="s">
        <v>118</v>
      </c>
      <c r="AD108" s="1381" t="s">
        <v>163</v>
      </c>
      <c r="AE108" s="1381" t="s">
        <v>164</v>
      </c>
      <c r="AF108" s="1381" t="s">
        <v>165</v>
      </c>
      <c r="AG108" s="1381" t="s">
        <v>166</v>
      </c>
      <c r="AH108" s="1280"/>
      <c r="AI108" s="1280"/>
      <c r="AJ108" s="1280"/>
      <c r="AK108" s="1280"/>
      <c r="AL108" s="1280"/>
      <c r="AM108" s="1280"/>
      <c r="AN108" s="1280"/>
      <c r="AO108" s="1366"/>
      <c r="AP108" s="1967"/>
      <c r="AQ108" s="1296" t="s">
        <v>118</v>
      </c>
      <c r="AR108" s="1296" t="s">
        <v>163</v>
      </c>
      <c r="AS108" s="1296" t="s">
        <v>164</v>
      </c>
      <c r="AT108" s="1381" t="s">
        <v>165</v>
      </c>
      <c r="AU108" s="1381" t="s">
        <v>166</v>
      </c>
      <c r="AV108" s="1290"/>
      <c r="AW108" s="1290"/>
      <c r="AX108" s="1290"/>
      <c r="AY108" s="1290"/>
      <c r="AZ108" s="1290"/>
      <c r="BA108" s="1290"/>
      <c r="BB108" s="1290"/>
      <c r="BC108" s="1290"/>
      <c r="BD108" s="2010"/>
      <c r="BE108" s="204" t="s">
        <v>118</v>
      </c>
      <c r="BF108" s="204" t="s">
        <v>163</v>
      </c>
      <c r="BG108" s="204" t="s">
        <v>164</v>
      </c>
      <c r="BH108" s="1384" t="s">
        <v>165</v>
      </c>
      <c r="BI108" s="1384" t="s">
        <v>166</v>
      </c>
      <c r="BJ108" s="1246"/>
      <c r="BK108" s="1246"/>
      <c r="BL108" s="1246"/>
      <c r="BM108" s="1246"/>
      <c r="BN108" s="1246"/>
      <c r="BO108" s="1246"/>
      <c r="BP108" s="1246"/>
      <c r="BQ108" s="1246"/>
    </row>
    <row r="109" spans="1:69" x14ac:dyDescent="0.25">
      <c r="A109" s="216">
        <v>5</v>
      </c>
      <c r="B109" s="30" t="s">
        <v>132</v>
      </c>
      <c r="C109" s="30"/>
      <c r="D109" s="109"/>
      <c r="E109" s="38"/>
      <c r="F109" s="38"/>
      <c r="G109" s="1264"/>
      <c r="H109" s="1322"/>
      <c r="I109" s="1346"/>
      <c r="J109" s="38"/>
      <c r="K109" s="38"/>
      <c r="L109" s="38"/>
      <c r="M109" s="38"/>
      <c r="N109" s="1373"/>
      <c r="O109" s="1373">
        <v>0</v>
      </c>
      <c r="P109" s="1373">
        <v>1</v>
      </c>
      <c r="Q109" s="1373">
        <v>2</v>
      </c>
      <c r="R109" s="1373">
        <v>3</v>
      </c>
      <c r="S109" s="1373">
        <v>4</v>
      </c>
      <c r="T109" s="1265"/>
      <c r="U109" s="1265"/>
      <c r="V109" s="1265"/>
      <c r="W109" s="1265"/>
      <c r="X109" s="1265"/>
      <c r="Y109" s="1265"/>
      <c r="Z109" s="1265"/>
      <c r="AA109" s="1265"/>
      <c r="AB109" s="1381"/>
      <c r="AC109" s="1381">
        <v>0</v>
      </c>
      <c r="AD109" s="1381">
        <v>1</v>
      </c>
      <c r="AE109" s="1381">
        <v>2</v>
      </c>
      <c r="AF109" s="1381">
        <v>3</v>
      </c>
      <c r="AG109" s="1381">
        <v>4</v>
      </c>
      <c r="AH109" s="1280"/>
      <c r="AI109" s="1280"/>
      <c r="AJ109" s="1280"/>
      <c r="AK109" s="1280"/>
      <c r="AL109" s="1280"/>
      <c r="AM109" s="1280"/>
      <c r="AN109" s="1280"/>
      <c r="AO109" s="1366"/>
      <c r="AP109" s="1296"/>
      <c r="AQ109" s="1296">
        <v>0</v>
      </c>
      <c r="AR109" s="1296">
        <v>1</v>
      </c>
      <c r="AS109" s="1296">
        <v>2</v>
      </c>
      <c r="AT109" s="1296">
        <v>3</v>
      </c>
      <c r="AU109" s="1296">
        <v>4</v>
      </c>
      <c r="AV109" s="1290"/>
      <c r="AW109" s="1290"/>
      <c r="AX109" s="1290"/>
      <c r="AY109" s="1290"/>
      <c r="AZ109" s="1290"/>
      <c r="BA109" s="1290"/>
      <c r="BB109" s="1290"/>
      <c r="BC109" s="1290"/>
      <c r="BD109" s="204"/>
      <c r="BE109" s="204">
        <v>0</v>
      </c>
      <c r="BF109" s="204">
        <v>1</v>
      </c>
      <c r="BG109" s="204">
        <v>2</v>
      </c>
      <c r="BH109" s="204">
        <v>3</v>
      </c>
      <c r="BI109" s="204">
        <v>4</v>
      </c>
      <c r="BJ109" s="1246"/>
      <c r="BK109" s="1246"/>
      <c r="BL109" s="1246"/>
      <c r="BM109" s="1246"/>
      <c r="BN109" s="1246"/>
      <c r="BO109" s="1246"/>
      <c r="BP109" s="1246"/>
      <c r="BQ109" s="1246"/>
    </row>
    <row r="110" spans="1:69" x14ac:dyDescent="0.25">
      <c r="A110" s="229" t="s">
        <v>15</v>
      </c>
      <c r="B110" s="31" t="s">
        <v>133</v>
      </c>
      <c r="C110" s="32">
        <v>1</v>
      </c>
      <c r="D110" s="111" t="s">
        <v>3635</v>
      </c>
      <c r="E110" s="38" t="s">
        <v>3289</v>
      </c>
      <c r="F110" s="1264"/>
      <c r="G110" s="1264"/>
      <c r="H110" s="1322"/>
      <c r="I110" s="1346"/>
      <c r="J110" s="38"/>
      <c r="K110" s="38"/>
      <c r="L110" s="38"/>
      <c r="M110" s="38"/>
      <c r="N110" s="1407">
        <v>10000</v>
      </c>
      <c r="O110" s="1408">
        <v>0.7</v>
      </c>
      <c r="P110" s="1408">
        <v>0.57999999999999996</v>
      </c>
      <c r="Q110" s="1408">
        <v>0.48</v>
      </c>
      <c r="R110" s="1408">
        <v>0.42</v>
      </c>
      <c r="S110" s="1408">
        <f>S111</f>
        <v>0.83</v>
      </c>
      <c r="T110" s="1265"/>
      <c r="U110" s="1265"/>
      <c r="V110" s="1265"/>
      <c r="W110" s="1265"/>
      <c r="X110" s="1265"/>
      <c r="Y110" s="1265"/>
      <c r="Z110" s="1265"/>
      <c r="AA110" s="1265"/>
      <c r="AB110" s="1381">
        <v>8000</v>
      </c>
      <c r="AC110" s="1381">
        <v>0.73</v>
      </c>
      <c r="AD110" s="1381">
        <v>0.61</v>
      </c>
      <c r="AE110" s="1381">
        <v>0.51</v>
      </c>
      <c r="AF110" s="1381">
        <v>0.46</v>
      </c>
      <c r="AG110" s="1581">
        <f>AG111</f>
        <v>0.67</v>
      </c>
      <c r="AH110" s="1280"/>
      <c r="AI110" s="1280"/>
      <c r="AJ110" s="1280"/>
      <c r="AK110" s="1280"/>
      <c r="AL110" s="1280"/>
      <c r="AM110" s="1280"/>
      <c r="AN110" s="1280"/>
      <c r="AO110" s="1366"/>
      <c r="AP110" s="1347">
        <v>5000</v>
      </c>
      <c r="AQ110" s="1296">
        <v>0.95</v>
      </c>
      <c r="AR110" s="1296">
        <v>0.79</v>
      </c>
      <c r="AS110" s="1296">
        <v>0.66</v>
      </c>
      <c r="AT110" s="1296"/>
      <c r="AU110" s="1296"/>
      <c r="AV110" s="1290"/>
      <c r="AW110" s="1290"/>
      <c r="AX110" s="1290"/>
      <c r="AY110" s="1290"/>
      <c r="AZ110" s="1290"/>
      <c r="BA110" s="1290"/>
      <c r="BB110" s="1290"/>
      <c r="BC110" s="1290"/>
      <c r="BD110" s="204">
        <v>2000</v>
      </c>
      <c r="BE110" s="204">
        <v>1.23</v>
      </c>
      <c r="BF110" s="204">
        <v>1.03</v>
      </c>
      <c r="BG110" s="204">
        <v>0.86</v>
      </c>
      <c r="BH110" s="204"/>
      <c r="BI110" s="204"/>
      <c r="BJ110" s="1246"/>
      <c r="BK110" s="1246"/>
      <c r="BL110" s="1246"/>
      <c r="BM110" s="1246"/>
      <c r="BN110" s="1246"/>
      <c r="BO110" s="1246"/>
      <c r="BP110" s="1246"/>
      <c r="BQ110" s="1246"/>
    </row>
    <row r="111" spans="1:69" x14ac:dyDescent="0.25">
      <c r="A111" s="216">
        <v>1</v>
      </c>
      <c r="C111" s="30"/>
      <c r="D111" s="109"/>
      <c r="E111" s="30" t="s">
        <v>135</v>
      </c>
      <c r="F111" s="1264"/>
      <c r="G111" s="1264"/>
      <c r="H111" s="1322"/>
      <c r="I111" s="1346"/>
      <c r="J111" s="38"/>
      <c r="K111" s="38"/>
      <c r="L111" s="38"/>
      <c r="M111" s="38"/>
      <c r="N111" s="1407">
        <v>8000</v>
      </c>
      <c r="O111" s="1408">
        <v>0.79</v>
      </c>
      <c r="P111" s="1408">
        <v>0.65</v>
      </c>
      <c r="Q111" s="1408">
        <v>0.53</v>
      </c>
      <c r="R111" s="1408">
        <v>0.47</v>
      </c>
      <c r="S111" s="1408">
        <f>S112</f>
        <v>0.83</v>
      </c>
      <c r="T111" s="1265"/>
      <c r="U111" s="1265"/>
      <c r="V111" s="1265"/>
      <c r="W111" s="1265"/>
      <c r="X111" s="1265"/>
      <c r="Y111" s="1265"/>
      <c r="Z111" s="1265"/>
      <c r="AA111" s="1265"/>
      <c r="AB111" s="1381">
        <v>5000</v>
      </c>
      <c r="AC111" s="1381">
        <v>0.95</v>
      </c>
      <c r="AD111" s="1381">
        <v>0.79</v>
      </c>
      <c r="AE111" s="1381">
        <v>0.66</v>
      </c>
      <c r="AF111" s="1381">
        <v>0.59</v>
      </c>
      <c r="AG111" s="1581">
        <f>AG112</f>
        <v>0.67</v>
      </c>
      <c r="AH111" s="1280"/>
      <c r="AI111" s="1280"/>
      <c r="AJ111" s="1280"/>
      <c r="AK111" s="1280"/>
      <c r="AL111" s="1280"/>
      <c r="AM111" s="1280"/>
      <c r="AN111" s="1280"/>
      <c r="AO111" s="1366"/>
      <c r="AP111" s="1347">
        <v>2000</v>
      </c>
      <c r="AQ111" s="1296">
        <v>1.23</v>
      </c>
      <c r="AR111" s="1296">
        <v>1.03</v>
      </c>
      <c r="AS111" s="1296">
        <v>0.86</v>
      </c>
      <c r="AT111" s="1296"/>
      <c r="AU111" s="1296"/>
      <c r="AV111" s="1290"/>
      <c r="AW111" s="1290"/>
      <c r="AX111" s="1290"/>
      <c r="AY111" s="1290"/>
      <c r="AZ111" s="1290"/>
      <c r="BA111" s="1290"/>
      <c r="BB111" s="1290"/>
      <c r="BC111" s="1290"/>
      <c r="BD111" s="204">
        <v>1000</v>
      </c>
      <c r="BE111" s="204">
        <v>1.45</v>
      </c>
      <c r="BF111" s="204">
        <v>1.21</v>
      </c>
      <c r="BG111" s="204">
        <v>1.01</v>
      </c>
      <c r="BH111" s="204"/>
      <c r="BI111" s="204"/>
      <c r="BJ111" s="1246"/>
      <c r="BK111" s="1246"/>
      <c r="BL111" s="1246"/>
      <c r="BM111" s="1246"/>
      <c r="BN111" s="1246"/>
      <c r="BO111" s="1246"/>
      <c r="BP111" s="1246"/>
      <c r="BQ111" s="1246"/>
    </row>
    <row r="112" spans="1:69" x14ac:dyDescent="0.25">
      <c r="A112" s="216">
        <v>2</v>
      </c>
      <c r="C112" s="30"/>
      <c r="D112" s="109"/>
      <c r="E112" s="30" t="s">
        <v>134</v>
      </c>
      <c r="F112" s="1264"/>
      <c r="G112" s="1264"/>
      <c r="H112" s="1322"/>
      <c r="I112" s="1346"/>
      <c r="J112" s="38"/>
      <c r="K112" s="38"/>
      <c r="L112" s="38"/>
      <c r="M112" s="38"/>
      <c r="N112" s="1407">
        <v>5000</v>
      </c>
      <c r="O112" s="1408">
        <v>0.97</v>
      </c>
      <c r="P112" s="1408">
        <v>0.8</v>
      </c>
      <c r="Q112" s="1408">
        <v>0.66</v>
      </c>
      <c r="R112" s="1408">
        <v>0.57999999999999996</v>
      </c>
      <c r="S112" s="1408">
        <f>S113</f>
        <v>0.83</v>
      </c>
      <c r="T112" s="1265"/>
      <c r="U112" s="1265"/>
      <c r="V112" s="1265"/>
      <c r="W112" s="1265"/>
      <c r="X112" s="1265"/>
      <c r="Y112" s="1265"/>
      <c r="Z112" s="1265"/>
      <c r="AA112" s="1265"/>
      <c r="AB112" s="1381">
        <v>2000</v>
      </c>
      <c r="AC112" s="1381">
        <v>1.23</v>
      </c>
      <c r="AD112" s="1381">
        <v>1.03</v>
      </c>
      <c r="AE112" s="1381">
        <v>0.86</v>
      </c>
      <c r="AF112" s="1381">
        <v>0.77</v>
      </c>
      <c r="AG112" s="1381">
        <f>AG113</f>
        <v>0.67</v>
      </c>
      <c r="AH112" s="1280"/>
      <c r="AI112" s="1280"/>
      <c r="AJ112" s="1280"/>
      <c r="AK112" s="1280"/>
      <c r="AL112" s="1280"/>
      <c r="AM112" s="1280"/>
      <c r="AN112" s="1280"/>
      <c r="AO112" s="1366"/>
      <c r="AP112" s="1347">
        <v>1000</v>
      </c>
      <c r="AQ112" s="1296">
        <v>1.45</v>
      </c>
      <c r="AR112" s="1296">
        <v>1.21</v>
      </c>
      <c r="AS112" s="1296">
        <v>1.01</v>
      </c>
      <c r="AT112" s="1296"/>
      <c r="AU112" s="1296"/>
      <c r="AV112" s="1290"/>
      <c r="AW112" s="1290"/>
      <c r="AX112" s="1290"/>
      <c r="AY112" s="1290"/>
      <c r="AZ112" s="1290"/>
      <c r="BA112" s="1290"/>
      <c r="BB112" s="1290"/>
      <c r="BC112" s="1290"/>
      <c r="BD112" s="204">
        <v>500</v>
      </c>
      <c r="BE112" s="204">
        <v>1.66</v>
      </c>
      <c r="BF112" s="204">
        <v>1.38</v>
      </c>
      <c r="BG112" s="204">
        <v>1.1499999999999999</v>
      </c>
      <c r="BH112" s="204"/>
      <c r="BI112" s="204"/>
      <c r="BJ112" s="1246"/>
      <c r="BK112" s="1246"/>
      <c r="BL112" s="1246"/>
      <c r="BM112" s="1246"/>
      <c r="BN112" s="1246"/>
      <c r="BO112" s="1246"/>
      <c r="BP112" s="1246"/>
      <c r="BQ112" s="1246"/>
    </row>
    <row r="113" spans="1:69" x14ac:dyDescent="0.25">
      <c r="A113" s="229" t="s">
        <v>15</v>
      </c>
      <c r="B113" s="31" t="s">
        <v>136</v>
      </c>
      <c r="C113" s="32">
        <v>2</v>
      </c>
      <c r="D113" s="111" t="s">
        <v>3636</v>
      </c>
      <c r="E113" s="38"/>
      <c r="F113" s="38"/>
      <c r="G113" s="1264"/>
      <c r="H113" s="1322"/>
      <c r="I113" s="1346"/>
      <c r="J113" s="38"/>
      <c r="K113" s="38"/>
      <c r="L113" s="38"/>
      <c r="M113" s="38"/>
      <c r="N113" s="1407">
        <v>2000</v>
      </c>
      <c r="O113" s="1408">
        <v>1.3</v>
      </c>
      <c r="P113" s="1408">
        <v>1.0900000000000001</v>
      </c>
      <c r="Q113" s="1408">
        <v>0.9</v>
      </c>
      <c r="R113" s="1408">
        <v>0.79</v>
      </c>
      <c r="S113" s="1408">
        <f>S114</f>
        <v>0.83</v>
      </c>
      <c r="T113" s="1265"/>
      <c r="U113" s="1265"/>
      <c r="V113" s="1265"/>
      <c r="W113" s="1265"/>
      <c r="X113" s="1265"/>
      <c r="Y113" s="1265"/>
      <c r="Z113" s="1265"/>
      <c r="AA113" s="1265"/>
      <c r="AB113" s="1381">
        <v>1000</v>
      </c>
      <c r="AC113" s="1381">
        <v>1.45</v>
      </c>
      <c r="AD113" s="1381">
        <v>1.21</v>
      </c>
      <c r="AE113" s="1381">
        <v>1.01</v>
      </c>
      <c r="AF113" s="1381">
        <v>0.9</v>
      </c>
      <c r="AG113" s="1381">
        <v>0.67</v>
      </c>
      <c r="AH113" s="1280"/>
      <c r="AI113" s="1280"/>
      <c r="AJ113" s="1280"/>
      <c r="AK113" s="1280"/>
      <c r="AL113" s="1280"/>
      <c r="AM113" s="1280"/>
      <c r="AN113" s="1280"/>
      <c r="AO113" s="1366"/>
      <c r="AP113" s="1347">
        <v>500</v>
      </c>
      <c r="AQ113" s="1296">
        <v>1.66</v>
      </c>
      <c r="AR113" s="1296">
        <v>1.38</v>
      </c>
      <c r="AS113" s="1296">
        <v>1.1499999999999999</v>
      </c>
      <c r="AT113" s="1296"/>
      <c r="AU113" s="1296"/>
      <c r="AV113" s="1290"/>
      <c r="AW113" s="1290"/>
      <c r="AX113" s="1290"/>
      <c r="AY113" s="1290"/>
      <c r="AZ113" s="1290"/>
      <c r="BA113" s="1290"/>
      <c r="BB113" s="1290"/>
      <c r="BC113" s="1290"/>
      <c r="BD113" s="204">
        <v>200</v>
      </c>
      <c r="BE113" s="204">
        <v>1.82</v>
      </c>
      <c r="BF113" s="204">
        <v>1.51</v>
      </c>
      <c r="BG113" s="204">
        <v>1.26</v>
      </c>
      <c r="BH113" s="204"/>
      <c r="BI113" s="204"/>
      <c r="BJ113" s="1246"/>
      <c r="BK113" s="1246"/>
      <c r="BL113" s="1246"/>
      <c r="BM113" s="1246"/>
      <c r="BN113" s="1246"/>
      <c r="BO113" s="1246"/>
      <c r="BP113" s="1246"/>
      <c r="BQ113" s="1246"/>
    </row>
    <row r="114" spans="1:69" x14ac:dyDescent="0.25">
      <c r="A114" s="216">
        <v>1</v>
      </c>
      <c r="B114" s="30" t="s">
        <v>137</v>
      </c>
      <c r="C114" s="30"/>
      <c r="D114" s="109"/>
      <c r="E114" s="38"/>
      <c r="F114" s="38"/>
      <c r="G114" s="1264"/>
      <c r="H114" s="1322"/>
      <c r="I114" s="1346"/>
      <c r="J114" s="38"/>
      <c r="K114" s="38"/>
      <c r="L114" s="38"/>
      <c r="M114" s="38"/>
      <c r="N114" s="1407">
        <v>1000</v>
      </c>
      <c r="O114" s="1408">
        <v>1.54</v>
      </c>
      <c r="P114" s="1408">
        <v>1.28</v>
      </c>
      <c r="Q114" s="1408">
        <v>1.05</v>
      </c>
      <c r="R114" s="1408">
        <v>0.93</v>
      </c>
      <c r="S114" s="1408">
        <f>S115</f>
        <v>0.83</v>
      </c>
      <c r="T114" s="1265"/>
      <c r="U114" s="1265"/>
      <c r="V114" s="1265"/>
      <c r="W114" s="1265"/>
      <c r="X114" s="1265"/>
      <c r="Y114" s="1265"/>
      <c r="Z114" s="1265"/>
      <c r="AA114" s="1265"/>
      <c r="AB114" s="1381">
        <v>500</v>
      </c>
      <c r="AC114" s="1381">
        <v>1.66</v>
      </c>
      <c r="AD114" s="1381">
        <v>1.38</v>
      </c>
      <c r="AE114" s="1381">
        <v>1.1499999999999999</v>
      </c>
      <c r="AF114" s="1381">
        <v>1.01</v>
      </c>
      <c r="AG114" s="1381">
        <v>0.78</v>
      </c>
      <c r="AH114" s="1280"/>
      <c r="AI114" s="1280"/>
      <c r="AJ114" s="1280"/>
      <c r="AK114" s="1280"/>
      <c r="AL114" s="1280"/>
      <c r="AM114" s="1280"/>
      <c r="AN114" s="1280"/>
      <c r="AO114" s="1366"/>
      <c r="AP114" s="1347">
        <v>200</v>
      </c>
      <c r="AQ114" s="1296">
        <v>1.82</v>
      </c>
      <c r="AR114" s="1296">
        <v>1.51</v>
      </c>
      <c r="AS114" s="1296">
        <v>1.26</v>
      </c>
      <c r="AT114" s="1296"/>
      <c r="AU114" s="1296"/>
      <c r="AV114" s="1290"/>
      <c r="AW114" s="1290"/>
      <c r="AX114" s="1290"/>
      <c r="AY114" s="1290"/>
      <c r="AZ114" s="1290"/>
      <c r="BA114" s="1290"/>
      <c r="BB114" s="1290"/>
      <c r="BC114" s="1290"/>
      <c r="BD114" s="204">
        <v>100</v>
      </c>
      <c r="BE114" s="204">
        <v>2.0099999999999998</v>
      </c>
      <c r="BF114" s="204">
        <v>1.67</v>
      </c>
      <c r="BG114" s="204">
        <v>1.39</v>
      </c>
      <c r="BH114" s="204"/>
      <c r="BI114" s="204"/>
      <c r="BJ114" s="1246"/>
      <c r="BK114" s="1246"/>
      <c r="BL114" s="1246"/>
      <c r="BM114" s="1246"/>
      <c r="BN114" s="1246"/>
      <c r="BO114" s="1246"/>
      <c r="BP114" s="1246"/>
      <c r="BQ114" s="1246"/>
    </row>
    <row r="115" spans="1:69" x14ac:dyDescent="0.25">
      <c r="A115" s="221">
        <v>2</v>
      </c>
      <c r="B115" s="33" t="s">
        <v>138</v>
      </c>
      <c r="C115" s="33"/>
      <c r="D115" s="113"/>
      <c r="E115" s="38"/>
      <c r="F115" s="38"/>
      <c r="G115" s="1264"/>
      <c r="H115" s="1322"/>
      <c r="I115" s="1346"/>
      <c r="J115" s="38"/>
      <c r="K115" s="38"/>
      <c r="L115" s="38"/>
      <c r="M115" s="38"/>
      <c r="N115" s="1407">
        <v>500</v>
      </c>
      <c r="O115" s="1408">
        <v>1.76</v>
      </c>
      <c r="P115" s="1408">
        <v>1.46</v>
      </c>
      <c r="Q115" s="1408">
        <v>1.2</v>
      </c>
      <c r="R115" s="1408">
        <v>1.06</v>
      </c>
      <c r="S115" s="1408">
        <v>0.83</v>
      </c>
      <c r="T115" s="1265"/>
      <c r="U115" s="1265"/>
      <c r="V115" s="1265"/>
      <c r="W115" s="1265"/>
      <c r="X115" s="1265"/>
      <c r="Y115" s="1265"/>
      <c r="Z115" s="1265"/>
      <c r="AA115" s="1265"/>
      <c r="AB115" s="1381">
        <v>200</v>
      </c>
      <c r="AC115" s="1381">
        <v>1.82</v>
      </c>
      <c r="AD115" s="1381">
        <v>1.51</v>
      </c>
      <c r="AE115" s="1381">
        <v>1.26</v>
      </c>
      <c r="AF115" s="1381">
        <v>1.1000000000000001</v>
      </c>
      <c r="AG115" s="1381">
        <v>0.92</v>
      </c>
      <c r="AH115" s="1280"/>
      <c r="AI115" s="1280"/>
      <c r="AJ115" s="1280"/>
      <c r="AK115" s="1280"/>
      <c r="AL115" s="1280"/>
      <c r="AM115" s="1280"/>
      <c r="AN115" s="1280"/>
      <c r="AO115" s="1366"/>
      <c r="AP115" s="1347">
        <v>100</v>
      </c>
      <c r="AQ115" s="1296">
        <v>2.0099999999999998</v>
      </c>
      <c r="AR115" s="1296">
        <v>1.67</v>
      </c>
      <c r="AS115" s="1296">
        <v>1.39</v>
      </c>
      <c r="AT115" s="1296"/>
      <c r="AU115" s="1296"/>
      <c r="AV115" s="1290"/>
      <c r="AW115" s="1290"/>
      <c r="AX115" s="1290"/>
      <c r="AY115" s="1290"/>
      <c r="AZ115" s="1290"/>
      <c r="BA115" s="1290"/>
      <c r="BB115" s="1290"/>
      <c r="BC115" s="1290"/>
      <c r="BD115" s="204">
        <v>50</v>
      </c>
      <c r="BE115" s="204">
        <v>2.21</v>
      </c>
      <c r="BF115" s="204">
        <v>1.83</v>
      </c>
      <c r="BG115" s="204">
        <v>1.53</v>
      </c>
      <c r="BH115" s="204"/>
      <c r="BI115" s="204"/>
      <c r="BJ115" s="1246"/>
      <c r="BK115" s="1246"/>
      <c r="BL115" s="1246"/>
      <c r="BM115" s="1246"/>
      <c r="BN115" s="1246"/>
      <c r="BO115" s="1246"/>
      <c r="BP115" s="1246"/>
      <c r="BQ115" s="1246"/>
    </row>
    <row r="116" spans="1:69" x14ac:dyDescent="0.25">
      <c r="A116" s="230" t="s">
        <v>139</v>
      </c>
      <c r="B116" s="231" t="s">
        <v>713</v>
      </c>
      <c r="C116" s="231"/>
      <c r="D116" s="232"/>
      <c r="E116" s="233"/>
      <c r="F116" s="233"/>
      <c r="G116" s="1308"/>
      <c r="H116" s="1331"/>
      <c r="I116" s="1355"/>
      <c r="J116" s="233"/>
      <c r="K116" s="233"/>
      <c r="L116" s="233"/>
      <c r="M116" s="233"/>
      <c r="N116" s="1407">
        <v>200</v>
      </c>
      <c r="O116" s="1408">
        <v>1.92</v>
      </c>
      <c r="P116" s="1408">
        <v>1.6</v>
      </c>
      <c r="Q116" s="1408">
        <v>1.32</v>
      </c>
      <c r="R116" s="1408">
        <v>1.17</v>
      </c>
      <c r="S116" s="1408">
        <v>0.98</v>
      </c>
      <c r="T116" s="1265"/>
      <c r="U116" s="1265"/>
      <c r="V116" s="1265"/>
      <c r="W116" s="1265"/>
      <c r="X116" s="1265"/>
      <c r="Y116" s="1265"/>
      <c r="Z116" s="1265"/>
      <c r="AA116" s="1265"/>
      <c r="AB116" s="1381">
        <v>100</v>
      </c>
      <c r="AC116" s="1381">
        <v>2.0099999999999998</v>
      </c>
      <c r="AD116" s="1381">
        <v>1.67</v>
      </c>
      <c r="AE116" s="1381">
        <v>1.39</v>
      </c>
      <c r="AF116" s="1381">
        <v>1.2</v>
      </c>
      <c r="AG116" s="1381">
        <v>1.08</v>
      </c>
      <c r="AH116" s="1280"/>
      <c r="AI116" s="1280"/>
      <c r="AJ116" s="1280"/>
      <c r="AK116" s="1280"/>
      <c r="AL116" s="1280"/>
      <c r="AM116" s="1280"/>
      <c r="AN116" s="1280"/>
      <c r="AO116" s="1366"/>
      <c r="AP116" s="1347">
        <v>50</v>
      </c>
      <c r="AQ116" s="1296">
        <v>2.21</v>
      </c>
      <c r="AR116" s="1296">
        <v>1.83</v>
      </c>
      <c r="AS116" s="1296">
        <v>1.53</v>
      </c>
      <c r="AT116" s="1296"/>
      <c r="AU116" s="1296"/>
      <c r="AV116" s="1290"/>
      <c r="AW116" s="1290"/>
      <c r="AX116" s="1290"/>
      <c r="AY116" s="1290"/>
      <c r="AZ116" s="1290"/>
      <c r="BA116" s="1290"/>
      <c r="BB116" s="1290"/>
      <c r="BC116" s="1290"/>
      <c r="BD116" s="204">
        <v>20</v>
      </c>
      <c r="BE116" s="204">
        <v>2.58</v>
      </c>
      <c r="BF116" s="204">
        <v>2.15</v>
      </c>
      <c r="BG116" s="204">
        <v>1.79</v>
      </c>
      <c r="BH116" s="204"/>
      <c r="BI116" s="204"/>
      <c r="BJ116" s="1246"/>
      <c r="BK116" s="1246"/>
      <c r="BL116" s="1246"/>
      <c r="BM116" s="1246"/>
      <c r="BN116" s="1246"/>
      <c r="BO116" s="1246"/>
      <c r="BP116" s="1246"/>
      <c r="BQ116" s="1246"/>
    </row>
    <row r="117" spans="1:69" x14ac:dyDescent="0.25">
      <c r="A117" s="34" t="s">
        <v>15</v>
      </c>
      <c r="B117" s="35" t="s">
        <v>140</v>
      </c>
      <c r="C117" s="35" t="s">
        <v>141</v>
      </c>
      <c r="D117" s="114" t="s">
        <v>142</v>
      </c>
      <c r="E117" s="114" t="s">
        <v>3768</v>
      </c>
      <c r="F117" s="35" t="s">
        <v>3706</v>
      </c>
      <c r="G117" s="1264" t="s">
        <v>3764</v>
      </c>
      <c r="H117" s="1322" t="s">
        <v>3765</v>
      </c>
      <c r="I117" s="1346" t="s">
        <v>3766</v>
      </c>
      <c r="J117" s="38" t="s">
        <v>3767</v>
      </c>
      <c r="K117" s="38"/>
      <c r="L117" s="38"/>
      <c r="M117" s="38"/>
      <c r="N117" s="1407">
        <v>100</v>
      </c>
      <c r="O117" s="1408">
        <v>2.13</v>
      </c>
      <c r="P117" s="1408">
        <v>1.77</v>
      </c>
      <c r="Q117" s="1408">
        <v>1.46</v>
      </c>
      <c r="R117" s="1408">
        <v>1.27</v>
      </c>
      <c r="S117" s="1408">
        <v>1.1399999999999999</v>
      </c>
      <c r="T117" s="1265"/>
      <c r="U117" s="1265"/>
      <c r="V117" s="1265"/>
      <c r="W117" s="1265"/>
      <c r="X117" s="1265"/>
      <c r="Y117" s="1265"/>
      <c r="Z117" s="1265"/>
      <c r="AA117" s="1265"/>
      <c r="AB117" s="1381">
        <v>50</v>
      </c>
      <c r="AC117" s="1381">
        <v>2.21</v>
      </c>
      <c r="AD117" s="1381">
        <v>1.83</v>
      </c>
      <c r="AE117" s="1381">
        <v>1.53</v>
      </c>
      <c r="AF117" s="1381">
        <v>1.32</v>
      </c>
      <c r="AG117" s="1381">
        <v>1.17</v>
      </c>
      <c r="AH117" s="1280"/>
      <c r="AI117" s="1280"/>
      <c r="AJ117" s="1280"/>
      <c r="AK117" s="1280"/>
      <c r="AL117" s="1280"/>
      <c r="AM117" s="1280"/>
      <c r="AN117" s="1280"/>
      <c r="AO117" s="1366"/>
      <c r="AP117" s="1347">
        <v>20</v>
      </c>
      <c r="AQ117" s="1296">
        <v>2.58</v>
      </c>
      <c r="AR117" s="1296">
        <v>2.15</v>
      </c>
      <c r="AS117" s="1296">
        <v>1.79</v>
      </c>
      <c r="AT117" s="1296"/>
      <c r="AU117" s="1296"/>
      <c r="AV117" s="1290"/>
      <c r="AW117" s="1290"/>
      <c r="AX117" s="1290"/>
      <c r="AY117" s="1290"/>
      <c r="AZ117" s="1290"/>
      <c r="BA117" s="1290"/>
      <c r="BB117" s="1290"/>
      <c r="BC117" s="1290"/>
      <c r="BD117" s="204">
        <v>10</v>
      </c>
      <c r="BE117" s="204">
        <v>2.79</v>
      </c>
      <c r="BF117" s="204">
        <v>2.33</v>
      </c>
      <c r="BG117" s="204">
        <v>1.94</v>
      </c>
      <c r="BH117" s="204"/>
      <c r="BI117" s="204"/>
      <c r="BJ117" s="1246"/>
      <c r="BK117" s="1246"/>
      <c r="BL117" s="1246"/>
      <c r="BM117" s="1246"/>
      <c r="BN117" s="1246"/>
      <c r="BO117" s="1246"/>
      <c r="BP117" s="1246"/>
      <c r="BQ117" s="1246"/>
    </row>
    <row r="118" spans="1:69" x14ac:dyDescent="0.25">
      <c r="A118" s="1485">
        <v>1</v>
      </c>
      <c r="B118" s="1486" t="s">
        <v>143</v>
      </c>
      <c r="C118" s="320" t="s">
        <v>3849</v>
      </c>
      <c r="D118" s="320"/>
      <c r="E118" s="1487"/>
      <c r="F118" s="1488" t="str">
        <f ca="1">OFFSET(G118,0,i_VB-1)</f>
        <v>$O$39:$AA$44</v>
      </c>
      <c r="G118" s="1489" t="str">
        <f>diachivung($O$39:$AA$44)</f>
        <v>$O$39:$AA$44</v>
      </c>
      <c r="H118" s="1490" t="str">
        <f>diachivung($AC$39:$AO$44)</f>
        <v>$AC$39:$AO$44</v>
      </c>
      <c r="I118" s="1491" t="str">
        <f>diachivung($AQ$39:$BC$44)</f>
        <v>$AQ$39:$BC$44</v>
      </c>
      <c r="J118" s="1492" t="str">
        <f>diachivung($BE$39:$BP$44)</f>
        <v>$BE$39:$BP$44</v>
      </c>
      <c r="K118" s="1492"/>
      <c r="L118" s="38"/>
      <c r="M118" s="38"/>
      <c r="N118" s="1407">
        <v>50</v>
      </c>
      <c r="O118" s="1408">
        <v>2.34</v>
      </c>
      <c r="P118" s="1408">
        <v>1.93</v>
      </c>
      <c r="Q118" s="1408">
        <v>1.59</v>
      </c>
      <c r="R118" s="1408">
        <v>1.4</v>
      </c>
      <c r="S118" s="1408">
        <v>1.24</v>
      </c>
      <c r="T118" s="1265"/>
      <c r="U118" s="1265"/>
      <c r="V118" s="1265"/>
      <c r="W118" s="1265"/>
      <c r="X118" s="1265"/>
      <c r="Y118" s="1265"/>
      <c r="Z118" s="1265"/>
      <c r="AA118" s="1265"/>
      <c r="AB118" s="1381">
        <v>20</v>
      </c>
      <c r="AC118" s="1381">
        <v>2.58</v>
      </c>
      <c r="AD118" s="1381">
        <v>2.15</v>
      </c>
      <c r="AE118" s="1381">
        <v>1.79</v>
      </c>
      <c r="AF118" s="1381">
        <v>1.56</v>
      </c>
      <c r="AG118" s="1381">
        <v>1.39</v>
      </c>
      <c r="AH118" s="1280"/>
      <c r="AI118" s="1280"/>
      <c r="AJ118" s="1280"/>
      <c r="AK118" s="1280"/>
      <c r="AL118" s="1280"/>
      <c r="AM118" s="1280"/>
      <c r="AN118" s="1280"/>
      <c r="AO118" s="1366"/>
      <c r="AP118" s="1347">
        <v>10</v>
      </c>
      <c r="AQ118" s="1296">
        <v>2.79</v>
      </c>
      <c r="AR118" s="1296">
        <v>2.33</v>
      </c>
      <c r="AS118" s="1296">
        <v>1.94</v>
      </c>
      <c r="AT118" s="1296"/>
      <c r="AU118" s="1296"/>
      <c r="AV118" s="1290"/>
      <c r="AW118" s="1290"/>
      <c r="AX118" s="1290"/>
      <c r="AY118" s="1290"/>
      <c r="AZ118" s="1290"/>
      <c r="BA118" s="1290"/>
      <c r="BB118" s="1290"/>
      <c r="BC118" s="1290"/>
      <c r="BD118" s="204">
        <v>7</v>
      </c>
      <c r="BE118" s="204">
        <v>0</v>
      </c>
      <c r="BF118" s="204">
        <v>0</v>
      </c>
      <c r="BG118" s="204">
        <v>1.99</v>
      </c>
      <c r="BH118" s="204"/>
      <c r="BI118" s="204"/>
      <c r="BJ118" s="1246"/>
      <c r="BK118" s="1246"/>
      <c r="BL118" s="1246"/>
      <c r="BM118" s="1246"/>
      <c r="BN118" s="1246"/>
      <c r="BO118" s="1246"/>
      <c r="BP118" s="1246"/>
      <c r="BQ118" s="1246"/>
    </row>
    <row r="119" spans="1:69" x14ac:dyDescent="0.25">
      <c r="A119" s="1485">
        <v>2</v>
      </c>
      <c r="B119" s="1486" t="s">
        <v>3678</v>
      </c>
      <c r="C119" s="320"/>
      <c r="D119" s="320"/>
      <c r="E119" s="1487"/>
      <c r="F119" s="1488"/>
      <c r="G119" s="1489"/>
      <c r="H119" s="1490"/>
      <c r="I119" s="1491"/>
      <c r="J119" s="1492"/>
      <c r="K119" s="1492"/>
      <c r="L119" s="38"/>
      <c r="M119" s="38"/>
      <c r="N119" s="1407">
        <v>20</v>
      </c>
      <c r="O119" s="1408">
        <v>2.73</v>
      </c>
      <c r="P119" s="1408">
        <v>2.27</v>
      </c>
      <c r="Q119" s="1408">
        <v>1.86</v>
      </c>
      <c r="R119" s="1408">
        <v>1.65</v>
      </c>
      <c r="S119" s="1408">
        <v>1.47</v>
      </c>
      <c r="T119" s="1265"/>
      <c r="U119" s="1265"/>
      <c r="V119" s="1265"/>
      <c r="W119" s="1265"/>
      <c r="X119" s="1265"/>
      <c r="Y119" s="1265"/>
      <c r="Z119" s="1265"/>
      <c r="AA119" s="1265"/>
      <c r="AB119" s="1461">
        <v>10</v>
      </c>
      <c r="AC119" s="1461">
        <v>2.79</v>
      </c>
      <c r="AD119" s="1461">
        <v>2.33</v>
      </c>
      <c r="AE119" s="1461">
        <v>1.94</v>
      </c>
      <c r="AF119" s="1461">
        <v>1.69</v>
      </c>
      <c r="AG119" s="1461">
        <v>1.5</v>
      </c>
      <c r="AH119" s="1280"/>
      <c r="AI119" s="1280"/>
      <c r="AJ119" s="1280"/>
      <c r="AK119" s="1280"/>
      <c r="AL119" s="1280"/>
      <c r="AM119" s="1280"/>
      <c r="AN119" s="1280"/>
      <c r="AO119" s="1366"/>
      <c r="AP119" s="1459">
        <v>7</v>
      </c>
      <c r="AQ119" s="1582">
        <f>AQ118</f>
        <v>2.79</v>
      </c>
      <c r="AR119" s="1460">
        <f>AR118</f>
        <v>2.33</v>
      </c>
      <c r="AS119" s="1460">
        <v>1.99</v>
      </c>
      <c r="AT119" s="1460"/>
      <c r="AU119" s="1460"/>
      <c r="AV119" s="1290"/>
      <c r="AW119" s="1290"/>
      <c r="AX119" s="1290"/>
      <c r="AY119" s="1290"/>
      <c r="AZ119" s="1290"/>
      <c r="BA119" s="1290"/>
      <c r="BB119" s="1290"/>
      <c r="BC119" s="1290"/>
      <c r="BD119" s="204">
        <v>3</v>
      </c>
      <c r="BE119" s="204">
        <v>0</v>
      </c>
      <c r="BF119" s="204">
        <v>0</v>
      </c>
      <c r="BG119" s="204">
        <v>2.29</v>
      </c>
      <c r="BH119" s="204"/>
      <c r="BI119" s="204"/>
      <c r="BJ119" s="1246"/>
      <c r="BK119" s="1246"/>
      <c r="BL119" s="1246"/>
      <c r="BM119" s="1246"/>
      <c r="BN119" s="1246"/>
      <c r="BO119" s="1246"/>
      <c r="BP119" s="1246"/>
      <c r="BQ119" s="1246"/>
    </row>
    <row r="120" spans="1:69" ht="15.75" customHeight="1" x14ac:dyDescent="0.25">
      <c r="A120" s="224"/>
      <c r="B120" s="36" t="s">
        <v>144</v>
      </c>
      <c r="C120" s="320" t="s">
        <v>3850</v>
      </c>
      <c r="D120" s="1518">
        <v>5000000</v>
      </c>
      <c r="F120" s="1473" t="str">
        <f ca="1">OFFSET(G120,0,i_VB-1)</f>
        <v>$O$55:$S$60</v>
      </c>
      <c r="G120" s="1477" t="str">
        <f>diachivung($O$55:$S$60)</f>
        <v>$O$55:$S$60</v>
      </c>
      <c r="H120" s="1478" t="str">
        <f>diachivung($AC$55:$AF$60)</f>
        <v>$AC$55:$AF$60</v>
      </c>
      <c r="I120" s="1479" t="str">
        <f>diachivung($AQ$55:$AT$60)</f>
        <v>$AQ$55:$AT$60</v>
      </c>
      <c r="J120" s="1480" t="str">
        <f>diachivung($BE$55:$BK$60)</f>
        <v>$BE$55:$BK$60</v>
      </c>
      <c r="K120" s="38"/>
      <c r="L120" s="38"/>
      <c r="M120" s="38"/>
      <c r="N120" s="1407">
        <v>10</v>
      </c>
      <c r="O120" s="1408">
        <v>2.96</v>
      </c>
      <c r="P120" s="1408">
        <v>2.4700000000000002</v>
      </c>
      <c r="Q120" s="1408">
        <v>2.0299999999999998</v>
      </c>
      <c r="R120" s="1408">
        <v>1.78</v>
      </c>
      <c r="S120" s="1408">
        <v>1.59</v>
      </c>
      <c r="T120" s="1265"/>
      <c r="U120" s="1265"/>
      <c r="V120" s="1265"/>
      <c r="W120" s="1265"/>
      <c r="X120" s="1265"/>
      <c r="Y120" s="1265"/>
      <c r="Z120" s="1265"/>
      <c r="AA120" s="1265"/>
      <c r="AB120" s="1381">
        <v>7</v>
      </c>
      <c r="AC120" s="1381">
        <v>0</v>
      </c>
      <c r="AD120" s="1381">
        <v>0</v>
      </c>
      <c r="AE120" s="1381">
        <v>1.99</v>
      </c>
      <c r="AF120" s="1381">
        <v>1.73</v>
      </c>
      <c r="AG120" s="1381">
        <v>1.54</v>
      </c>
      <c r="AH120" s="1280"/>
      <c r="AI120" s="1280"/>
      <c r="AJ120" s="1280"/>
      <c r="AK120" s="1280"/>
      <c r="AL120" s="1280"/>
      <c r="AM120" s="1280"/>
      <c r="AN120" s="1280"/>
      <c r="AO120" s="1280"/>
      <c r="AV120" s="1290"/>
      <c r="AW120" s="1290"/>
      <c r="AX120" s="1290"/>
      <c r="AY120" s="1290"/>
      <c r="AZ120" s="1290"/>
      <c r="BA120" s="1290"/>
      <c r="BB120" s="1290"/>
      <c r="BC120" s="1290"/>
      <c r="BJ120" s="1246"/>
      <c r="BK120" s="1246"/>
      <c r="BL120" s="1246"/>
      <c r="BM120" s="1246"/>
      <c r="BN120" s="1246"/>
      <c r="BO120" s="1246"/>
      <c r="BP120" s="1246"/>
      <c r="BQ120" s="1246"/>
    </row>
    <row r="121" spans="1:69" s="1495" customFormat="1" ht="15.75" customHeight="1" x14ac:dyDescent="0.25">
      <c r="A121" s="1493"/>
      <c r="B121" s="1513" t="s">
        <v>3679</v>
      </c>
      <c r="C121" s="320"/>
      <c r="D121" s="320"/>
      <c r="G121" s="1496"/>
      <c r="H121" s="1497"/>
      <c r="I121" s="1498"/>
      <c r="J121" s="1499"/>
      <c r="K121" s="1499"/>
      <c r="L121" s="1499"/>
      <c r="M121" s="1499"/>
      <c r="N121" s="1514" t="s">
        <v>170</v>
      </c>
      <c r="O121" s="1502"/>
      <c r="P121" s="1514"/>
      <c r="Q121" s="1514"/>
      <c r="R121" s="1502"/>
      <c r="S121" s="1502"/>
      <c r="T121" s="1502"/>
      <c r="U121" s="1502"/>
      <c r="V121" s="1502"/>
      <c r="W121" s="1502"/>
      <c r="X121" s="1502"/>
      <c r="Y121" s="1502"/>
      <c r="Z121" s="1502"/>
      <c r="AA121" s="1502"/>
      <c r="AB121" s="1515" t="s">
        <v>170</v>
      </c>
      <c r="AC121" s="1504"/>
      <c r="AD121" s="1515"/>
      <c r="AE121" s="1515"/>
      <c r="AF121" s="1504"/>
      <c r="AG121" s="1504"/>
      <c r="AH121" s="1504"/>
      <c r="AI121" s="1504"/>
      <c r="AJ121" s="1504"/>
      <c r="AK121" s="1504"/>
      <c r="AL121" s="1504"/>
      <c r="AM121" s="1504"/>
      <c r="AN121" s="1504"/>
      <c r="AO121" s="1505"/>
      <c r="AP121" s="1516" t="s">
        <v>170</v>
      </c>
      <c r="AQ121" s="1509"/>
      <c r="AR121" s="1516"/>
      <c r="AS121" s="1516"/>
      <c r="AT121" s="1509"/>
      <c r="AU121" s="1509"/>
      <c r="AV121" s="1509"/>
      <c r="AW121" s="1509"/>
      <c r="AX121" s="1509"/>
      <c r="AY121" s="1509"/>
      <c r="AZ121" s="1509"/>
      <c r="BA121" s="1509"/>
      <c r="BB121" s="1509"/>
      <c r="BC121" s="1509"/>
      <c r="BD121" s="1517" t="s">
        <v>170</v>
      </c>
      <c r="BE121" s="1510"/>
      <c r="BF121" s="1517"/>
      <c r="BG121" s="1517"/>
      <c r="BH121" s="1510"/>
      <c r="BI121" s="1510"/>
      <c r="BJ121" s="1510"/>
      <c r="BK121" s="1510"/>
      <c r="BL121" s="1510"/>
      <c r="BM121" s="1510"/>
      <c r="BN121" s="1510"/>
      <c r="BO121" s="1510"/>
      <c r="BP121" s="1510"/>
      <c r="BQ121" s="1510"/>
    </row>
    <row r="122" spans="1:69" x14ac:dyDescent="0.25">
      <c r="A122" s="224"/>
      <c r="B122" s="1476" t="str">
        <f>CHOOSE(i_VB,"Bước 1: Lập báo cáo nghiên cứu khả thi","Bước 1: Lập dự án đầu tư","Bước 1: Lập dự án đầu tư","Bước 1: Lập dự án đầu tư","Bước 1: Lập dự án đầu tư")</f>
        <v>Bước 1: Lập báo cáo nghiên cứu khả thi</v>
      </c>
      <c r="C122" s="320" t="s">
        <v>3851</v>
      </c>
      <c r="D122" s="320"/>
      <c r="F122" s="1473" t="str">
        <f ca="1">OFFSET(G122,0,i_VB-1)</f>
        <v>$O$529:$AA$534</v>
      </c>
      <c r="G122" s="1477" t="str">
        <f>diachivung($O$529:$AA$534)</f>
        <v>$O$529:$AA$534</v>
      </c>
      <c r="H122" s="1478" t="str">
        <f>diachivung($AC$47:$AO$52)</f>
        <v>$AC$47:$AO$52</v>
      </c>
      <c r="I122" s="1479" t="str">
        <f>diachivung($AQ$47:$BC$52)</f>
        <v>$AQ$47:$BC$52</v>
      </c>
      <c r="J122" s="1480" t="str">
        <f>diachivung($BE$47:$BP$52)</f>
        <v>$BE$47:$BP$52</v>
      </c>
      <c r="K122" s="38"/>
      <c r="L122" s="38"/>
      <c r="M122" s="38"/>
      <c r="N122" s="1996" t="s">
        <v>162</v>
      </c>
      <c r="O122" s="1944" t="s">
        <v>117</v>
      </c>
      <c r="P122" s="1944"/>
      <c r="Q122" s="1944"/>
      <c r="R122" s="1944"/>
      <c r="S122" s="1944"/>
      <c r="T122" s="1265"/>
      <c r="U122" s="1265"/>
      <c r="V122" s="1265"/>
      <c r="W122" s="1265"/>
      <c r="X122" s="1265"/>
      <c r="Y122" s="1265"/>
      <c r="Z122" s="1265"/>
      <c r="AA122" s="1265"/>
      <c r="AB122" s="1962" t="s">
        <v>162</v>
      </c>
      <c r="AC122" s="1957" t="s">
        <v>117</v>
      </c>
      <c r="AD122" s="1958"/>
      <c r="AE122" s="1958"/>
      <c r="AF122" s="1958"/>
      <c r="AG122" s="1959"/>
      <c r="AH122" s="1280"/>
      <c r="AI122" s="1280"/>
      <c r="AJ122" s="1280"/>
      <c r="AK122" s="1280"/>
      <c r="AL122" s="1280"/>
      <c r="AM122" s="1280"/>
      <c r="AN122" s="1280"/>
      <c r="AO122" s="1366"/>
      <c r="AP122" s="1966" t="s">
        <v>162</v>
      </c>
      <c r="AQ122" s="1931" t="s">
        <v>117</v>
      </c>
      <c r="AR122" s="1932"/>
      <c r="AS122" s="1932"/>
      <c r="AT122" s="1932"/>
      <c r="AU122" s="1933"/>
      <c r="AV122" s="1290"/>
      <c r="AW122" s="1290"/>
      <c r="AX122" s="1290"/>
      <c r="AY122" s="1290"/>
      <c r="AZ122" s="1290"/>
      <c r="BA122" s="1290"/>
      <c r="BB122" s="1290"/>
      <c r="BC122" s="1290"/>
      <c r="BD122" s="2009" t="s">
        <v>162</v>
      </c>
      <c r="BE122" s="1998" t="s">
        <v>117</v>
      </c>
      <c r="BF122" s="1999"/>
      <c r="BG122" s="1999"/>
      <c r="BH122" s="1999"/>
      <c r="BI122" s="2000"/>
      <c r="BJ122" s="1246"/>
      <c r="BK122" s="1246"/>
      <c r="BL122" s="1246"/>
      <c r="BM122" s="1246"/>
      <c r="BN122" s="1246"/>
      <c r="BO122" s="1246"/>
      <c r="BP122" s="1246"/>
      <c r="BQ122" s="1246"/>
    </row>
    <row r="123" spans="1:69" x14ac:dyDescent="0.25">
      <c r="A123" s="224"/>
      <c r="B123" s="1476" t="s">
        <v>3680</v>
      </c>
      <c r="C123" s="320" t="s">
        <v>3852</v>
      </c>
      <c r="D123" s="320"/>
      <c r="F123" s="1473" t="str">
        <f ca="1">OFFSET(G123,0,i_VB-1)</f>
        <v>$N$94:$S$105</v>
      </c>
      <c r="G123" s="1477" t="str">
        <f ca="1">G131</f>
        <v>$N$94:$S$105</v>
      </c>
      <c r="H123" s="1477" t="str">
        <f ca="1">H131</f>
        <v>$AB$94:$AG$105</v>
      </c>
      <c r="I123" s="1477" t="str">
        <f ca="1">I131</f>
        <v>$AP$94:$AU$104</v>
      </c>
      <c r="J123" s="1477" t="str">
        <f ca="1">J131</f>
        <v>$BD$94:$BI$104</v>
      </c>
      <c r="K123" s="38"/>
      <c r="L123" s="38"/>
      <c r="M123" s="38"/>
      <c r="N123" s="1997"/>
      <c r="O123" s="1373" t="s">
        <v>118</v>
      </c>
      <c r="P123" s="1373" t="s">
        <v>163</v>
      </c>
      <c r="Q123" s="1373" t="s">
        <v>164</v>
      </c>
      <c r="R123" s="1373" t="s">
        <v>165</v>
      </c>
      <c r="S123" s="1373" t="s">
        <v>166</v>
      </c>
      <c r="T123" s="1265"/>
      <c r="U123" s="1265"/>
      <c r="V123" s="1265"/>
      <c r="W123" s="1265"/>
      <c r="X123" s="1265"/>
      <c r="Y123" s="1265"/>
      <c r="Z123" s="1265"/>
      <c r="AA123" s="1265"/>
      <c r="AB123" s="1962"/>
      <c r="AC123" s="1381" t="s">
        <v>118</v>
      </c>
      <c r="AD123" s="1381" t="s">
        <v>163</v>
      </c>
      <c r="AE123" s="1381" t="s">
        <v>164</v>
      </c>
      <c r="AF123" s="1381" t="s">
        <v>165</v>
      </c>
      <c r="AG123" s="1381" t="s">
        <v>166</v>
      </c>
      <c r="AH123" s="1280"/>
      <c r="AI123" s="1280"/>
      <c r="AJ123" s="1280"/>
      <c r="AK123" s="1280"/>
      <c r="AL123" s="1280"/>
      <c r="AM123" s="1280"/>
      <c r="AN123" s="1280"/>
      <c r="AO123" s="1366"/>
      <c r="AP123" s="1967"/>
      <c r="AQ123" s="1296" t="s">
        <v>118</v>
      </c>
      <c r="AR123" s="1296" t="s">
        <v>163</v>
      </c>
      <c r="AS123" s="1296" t="s">
        <v>164</v>
      </c>
      <c r="AT123" s="1381" t="s">
        <v>165</v>
      </c>
      <c r="AU123" s="1381" t="s">
        <v>166</v>
      </c>
      <c r="AV123" s="1290"/>
      <c r="AW123" s="1290"/>
      <c r="AX123" s="1290"/>
      <c r="AY123" s="1290"/>
      <c r="AZ123" s="1290"/>
      <c r="BA123" s="1290"/>
      <c r="BB123" s="1290"/>
      <c r="BC123" s="1290"/>
      <c r="BD123" s="2010"/>
      <c r="BE123" s="204" t="s">
        <v>118</v>
      </c>
      <c r="BF123" s="204" t="s">
        <v>163</v>
      </c>
      <c r="BG123" s="204" t="s">
        <v>164</v>
      </c>
      <c r="BH123" s="1461" t="s">
        <v>165</v>
      </c>
      <c r="BI123" s="1461" t="s">
        <v>166</v>
      </c>
      <c r="BJ123" s="1246"/>
      <c r="BK123" s="1246"/>
      <c r="BL123" s="1246"/>
      <c r="BM123" s="1246"/>
      <c r="BN123" s="1246"/>
      <c r="BO123" s="1246"/>
      <c r="BP123" s="1246"/>
      <c r="BQ123" s="1246"/>
    </row>
    <row r="124" spans="1:69" x14ac:dyDescent="0.25">
      <c r="A124" s="1485">
        <v>7</v>
      </c>
      <c r="B124" s="1486" t="s">
        <v>3676</v>
      </c>
      <c r="C124" s="320"/>
      <c r="D124" s="320"/>
      <c r="E124" s="1487"/>
      <c r="F124" s="1488"/>
      <c r="G124" s="1489"/>
      <c r="H124" s="1490"/>
      <c r="I124" s="1491"/>
      <c r="J124" s="1492"/>
      <c r="K124" s="1492"/>
      <c r="L124" s="38"/>
      <c r="M124" s="38"/>
      <c r="N124" s="1407"/>
      <c r="O124" s="1408">
        <v>0</v>
      </c>
      <c r="P124" s="1408">
        <v>1</v>
      </c>
      <c r="Q124" s="1408">
        <v>2</v>
      </c>
      <c r="R124" s="1408">
        <v>3</v>
      </c>
      <c r="S124" s="1408">
        <v>4</v>
      </c>
      <c r="T124" s="1265"/>
      <c r="U124" s="1265"/>
      <c r="V124" s="1265"/>
      <c r="W124" s="1265"/>
      <c r="X124" s="1265"/>
      <c r="Y124" s="1265"/>
      <c r="Z124" s="1265"/>
      <c r="AA124" s="1265"/>
      <c r="AB124" s="1461"/>
      <c r="AC124" s="1461">
        <v>0</v>
      </c>
      <c r="AD124" s="1461">
        <v>1</v>
      </c>
      <c r="AE124" s="1461">
        <v>2</v>
      </c>
      <c r="AF124" s="1461">
        <v>3</v>
      </c>
      <c r="AG124" s="1461">
        <v>4</v>
      </c>
      <c r="AH124" s="1280"/>
      <c r="AI124" s="1280"/>
      <c r="AJ124" s="1280"/>
      <c r="AK124" s="1280"/>
      <c r="AL124" s="1280"/>
      <c r="AM124" s="1280"/>
      <c r="AN124" s="1280"/>
      <c r="AO124" s="1366"/>
      <c r="AP124" s="1459"/>
      <c r="AQ124" s="1460">
        <v>0</v>
      </c>
      <c r="AR124" s="1460">
        <v>1</v>
      </c>
      <c r="AS124" s="1460">
        <v>2</v>
      </c>
      <c r="AT124" s="1460">
        <v>3</v>
      </c>
      <c r="AU124" s="1460">
        <v>4</v>
      </c>
      <c r="AV124" s="1290"/>
      <c r="AW124" s="1290"/>
      <c r="AX124" s="1290"/>
      <c r="AY124" s="1290"/>
      <c r="AZ124" s="1290"/>
      <c r="BA124" s="1290"/>
      <c r="BB124" s="1290"/>
      <c r="BC124" s="1290"/>
      <c r="BD124" s="204"/>
      <c r="BE124" s="204">
        <v>0</v>
      </c>
      <c r="BF124" s="204">
        <v>1</v>
      </c>
      <c r="BG124" s="204">
        <v>2</v>
      </c>
      <c r="BH124" s="204">
        <v>3</v>
      </c>
      <c r="BI124" s="204">
        <v>4</v>
      </c>
      <c r="BJ124" s="1246"/>
      <c r="BK124" s="1246"/>
      <c r="BL124" s="1246"/>
      <c r="BM124" s="1246"/>
      <c r="BN124" s="1246"/>
      <c r="BO124" s="1246"/>
      <c r="BP124" s="1246"/>
      <c r="BQ124" s="1246"/>
    </row>
    <row r="125" spans="1:69" x14ac:dyDescent="0.25">
      <c r="A125" s="224">
        <v>8</v>
      </c>
      <c r="B125" s="198" t="str">
        <f>CHOOSE(i_VB,"Bước 1: Lập báo cáo nghiên cứu tiền khả thi","Bước 1:Thiết kế cơ sở","Bước 1:Thiết kế cơ sở",,"Bước 1:Thiết kế cơ sở")</f>
        <v>Bước 1: Lập báo cáo nghiên cứu tiền khả thi</v>
      </c>
      <c r="C125" s="320" t="s">
        <v>3853</v>
      </c>
      <c r="D125" s="320"/>
      <c r="F125" s="1473" t="str">
        <f ca="1">OFFSET(G125,0,i_VB-1)</f>
        <v>$O$518:$AA$523</v>
      </c>
      <c r="G125" s="1477" t="str">
        <f>diachivung($O$518:$AA$523)</f>
        <v>$O$518:$AA$523</v>
      </c>
      <c r="H125" s="1478" t="str">
        <f ca="1">H137</f>
        <v>$AB$64:$AG$75</v>
      </c>
      <c r="I125" s="1478" t="str">
        <f ca="1">I137</f>
        <v>$AP$64:$AU$74</v>
      </c>
      <c r="J125" s="1478" t="str">
        <f ca="1">J137</f>
        <v>$BD$64:$BI$74</v>
      </c>
      <c r="K125" s="38"/>
      <c r="L125" s="38"/>
      <c r="M125" s="38"/>
      <c r="N125" s="1407">
        <v>10000</v>
      </c>
      <c r="O125" s="1373">
        <f t="shared" ref="O125:S133" si="11">O110*0.6</f>
        <v>0.42</v>
      </c>
      <c r="P125" s="1373">
        <f t="shared" si="11"/>
        <v>0.34799999999999998</v>
      </c>
      <c r="Q125" s="1373">
        <f t="shared" si="11"/>
        <v>0.28799999999999998</v>
      </c>
      <c r="R125" s="1373">
        <f t="shared" si="11"/>
        <v>0.252</v>
      </c>
      <c r="S125" s="1373">
        <f t="shared" si="11"/>
        <v>0.49799999999999994</v>
      </c>
      <c r="T125" s="1265"/>
      <c r="U125" s="1265"/>
      <c r="V125" s="1265"/>
      <c r="W125" s="1265"/>
      <c r="X125" s="1265"/>
      <c r="Y125" s="1265"/>
      <c r="Z125" s="1265"/>
      <c r="AA125" s="1265"/>
      <c r="AB125" s="1381">
        <v>8000</v>
      </c>
      <c r="AC125" s="1381">
        <v>0.438</v>
      </c>
      <c r="AD125" s="1381">
        <v>0.36599999999999999</v>
      </c>
      <c r="AE125" s="1381">
        <v>0.30599999999999999</v>
      </c>
      <c r="AF125" s="1381">
        <v>0.27600000000000002</v>
      </c>
      <c r="AG125" s="1581">
        <f>AG126</f>
        <v>0.40200000000000002</v>
      </c>
      <c r="AH125" s="1280"/>
      <c r="AI125" s="1280"/>
      <c r="AJ125" s="1280"/>
      <c r="AK125" s="1280"/>
      <c r="AL125" s="1280"/>
      <c r="AM125" s="1280"/>
      <c r="AN125" s="1280"/>
      <c r="AO125" s="1366"/>
      <c r="AP125" s="1347">
        <v>5000</v>
      </c>
      <c r="AQ125" s="1296">
        <f t="shared" ref="AQ125:AS134" si="12">AQ110*0.6</f>
        <v>0.56999999999999995</v>
      </c>
      <c r="AR125" s="1296">
        <f t="shared" si="12"/>
        <v>0.47399999999999998</v>
      </c>
      <c r="AS125" s="1296">
        <f t="shared" si="12"/>
        <v>0.39600000000000002</v>
      </c>
      <c r="AT125" s="204"/>
      <c r="AU125" s="204"/>
      <c r="AV125" s="1290"/>
      <c r="AW125" s="1290"/>
      <c r="AX125" s="1290"/>
      <c r="AY125" s="1290"/>
      <c r="AZ125" s="1290"/>
      <c r="BA125" s="1290"/>
      <c r="BB125" s="1290"/>
      <c r="BC125" s="1290"/>
      <c r="BD125" s="204">
        <v>2000</v>
      </c>
      <c r="BE125" s="204">
        <f t="shared" ref="BE125:BG134" si="13">BE110*0.6</f>
        <v>0.73799999999999999</v>
      </c>
      <c r="BF125" s="204">
        <f t="shared" si="13"/>
        <v>0.61799999999999999</v>
      </c>
      <c r="BG125" s="204">
        <f t="shared" si="13"/>
        <v>0.51600000000000001</v>
      </c>
      <c r="BH125" s="204"/>
      <c r="BI125" s="204"/>
      <c r="BJ125" s="1246"/>
      <c r="BK125" s="1246"/>
      <c r="BL125" s="1246"/>
      <c r="BM125" s="1246"/>
      <c r="BN125" s="1246"/>
      <c r="BO125" s="1246"/>
      <c r="BP125" s="1246"/>
      <c r="BQ125" s="1246"/>
    </row>
    <row r="126" spans="1:69" x14ac:dyDescent="0.25">
      <c r="A126" s="224">
        <v>9</v>
      </c>
      <c r="B126" s="198" t="s">
        <v>3681</v>
      </c>
      <c r="C126" s="320" t="s">
        <v>3851</v>
      </c>
      <c r="D126" s="320"/>
      <c r="F126" s="1473" t="str">
        <f ca="1">OFFSET(G126,0,i_VB-1)</f>
        <v>$O$529:$AA$534</v>
      </c>
      <c r="G126" s="1477" t="str">
        <f>diachivung($O$529:$AA$534)</f>
        <v>$O$529:$AA$534</v>
      </c>
      <c r="H126" s="1478" t="str">
        <f>diachivung($AC$47:$AO$52)</f>
        <v>$AC$47:$AO$52</v>
      </c>
      <c r="I126" s="1479" t="str">
        <f>diachivung($AQ$47:$BC$52)</f>
        <v>$AQ$47:$BC$52</v>
      </c>
      <c r="J126" s="1480" t="str">
        <f>diachivung($BE$47:$BP$52)</f>
        <v>$BE$47:$BP$52</v>
      </c>
      <c r="K126" s="38"/>
      <c r="L126" s="38"/>
      <c r="M126" s="38"/>
      <c r="N126" s="1407">
        <v>8000</v>
      </c>
      <c r="O126" s="1373">
        <f t="shared" si="11"/>
        <v>0.47399999999999998</v>
      </c>
      <c r="P126" s="1373">
        <f t="shared" si="11"/>
        <v>0.39</v>
      </c>
      <c r="Q126" s="1373">
        <f t="shared" si="11"/>
        <v>0.318</v>
      </c>
      <c r="R126" s="1373">
        <f t="shared" si="11"/>
        <v>0.28199999999999997</v>
      </c>
      <c r="S126" s="1373">
        <f t="shared" si="11"/>
        <v>0.49799999999999994</v>
      </c>
      <c r="T126" s="1265"/>
      <c r="U126" s="1265"/>
      <c r="V126" s="1265"/>
      <c r="W126" s="1265"/>
      <c r="X126" s="1265"/>
      <c r="Y126" s="1265"/>
      <c r="Z126" s="1265"/>
      <c r="AA126" s="1265"/>
      <c r="AB126" s="1381">
        <v>5000</v>
      </c>
      <c r="AC126" s="1381">
        <v>0.56999999999999995</v>
      </c>
      <c r="AD126" s="1381">
        <v>0.47399999999999998</v>
      </c>
      <c r="AE126" s="1381">
        <v>0.39600000000000002</v>
      </c>
      <c r="AF126" s="1381">
        <v>0.35399999999999998</v>
      </c>
      <c r="AG126" s="1581">
        <f>AG127</f>
        <v>0.40200000000000002</v>
      </c>
      <c r="AH126" s="1280"/>
      <c r="AI126" s="1280"/>
      <c r="AJ126" s="1280"/>
      <c r="AK126" s="1280"/>
      <c r="AL126" s="1280"/>
      <c r="AM126" s="1280"/>
      <c r="AN126" s="1280"/>
      <c r="AO126" s="1366"/>
      <c r="AP126" s="1347">
        <v>2000</v>
      </c>
      <c r="AQ126" s="1296">
        <f t="shared" si="12"/>
        <v>0.73799999999999999</v>
      </c>
      <c r="AR126" s="1296">
        <f t="shared" si="12"/>
        <v>0.61799999999999999</v>
      </c>
      <c r="AS126" s="1296">
        <f t="shared" si="12"/>
        <v>0.51600000000000001</v>
      </c>
      <c r="AT126" s="204"/>
      <c r="AU126" s="204"/>
      <c r="AV126" s="1290"/>
      <c r="AW126" s="1290"/>
      <c r="AX126" s="1290"/>
      <c r="AY126" s="1290"/>
      <c r="AZ126" s="1290"/>
      <c r="BA126" s="1290"/>
      <c r="BB126" s="1290"/>
      <c r="BC126" s="1290"/>
      <c r="BD126" s="204">
        <v>1000</v>
      </c>
      <c r="BE126" s="204">
        <f t="shared" si="13"/>
        <v>0.87</v>
      </c>
      <c r="BF126" s="204">
        <f t="shared" si="13"/>
        <v>0.72599999999999998</v>
      </c>
      <c r="BG126" s="204">
        <f t="shared" si="13"/>
        <v>0.60599999999999998</v>
      </c>
      <c r="BH126" s="204"/>
      <c r="BI126" s="204"/>
      <c r="BJ126" s="1246"/>
      <c r="BK126" s="1246"/>
      <c r="BL126" s="1246"/>
      <c r="BM126" s="1246"/>
      <c r="BN126" s="1246"/>
      <c r="BO126" s="1246"/>
      <c r="BP126" s="1246"/>
      <c r="BQ126" s="1246"/>
    </row>
    <row r="127" spans="1:69" x14ac:dyDescent="0.25">
      <c r="A127" s="224">
        <v>10</v>
      </c>
      <c r="B127" s="198" t="s">
        <v>3692</v>
      </c>
      <c r="C127" s="320"/>
      <c r="D127" s="320"/>
      <c r="F127" s="320"/>
      <c r="G127" s="1477"/>
      <c r="H127" s="1478"/>
      <c r="I127" s="1479"/>
      <c r="J127" s="1480"/>
      <c r="K127" s="38"/>
      <c r="L127" s="38"/>
      <c r="M127" s="38"/>
      <c r="N127" s="1407">
        <v>5000</v>
      </c>
      <c r="O127" s="1373">
        <f t="shared" si="11"/>
        <v>0.58199999999999996</v>
      </c>
      <c r="P127" s="1373">
        <f t="shared" si="11"/>
        <v>0.48</v>
      </c>
      <c r="Q127" s="1373">
        <f t="shared" si="11"/>
        <v>0.39600000000000002</v>
      </c>
      <c r="R127" s="1373">
        <f t="shared" si="11"/>
        <v>0.34799999999999998</v>
      </c>
      <c r="S127" s="1373">
        <f t="shared" si="11"/>
        <v>0.49799999999999994</v>
      </c>
      <c r="T127" s="1265"/>
      <c r="U127" s="1265"/>
      <c r="V127" s="1265"/>
      <c r="W127" s="1265"/>
      <c r="X127" s="1265"/>
      <c r="Y127" s="1265"/>
      <c r="Z127" s="1265"/>
      <c r="AA127" s="1265"/>
      <c r="AB127" s="1381">
        <v>2000</v>
      </c>
      <c r="AC127" s="1381">
        <v>0.73799999999999999</v>
      </c>
      <c r="AD127" s="1381">
        <v>0.61799999999999999</v>
      </c>
      <c r="AE127" s="1381">
        <v>0.51600000000000001</v>
      </c>
      <c r="AF127" s="1381">
        <v>0.46200000000000002</v>
      </c>
      <c r="AG127" s="1381">
        <f>AG128</f>
        <v>0.40200000000000002</v>
      </c>
      <c r="AH127" s="1280"/>
      <c r="AI127" s="1280"/>
      <c r="AJ127" s="1280"/>
      <c r="AK127" s="1280"/>
      <c r="AL127" s="1280"/>
      <c r="AM127" s="1280"/>
      <c r="AN127" s="1280"/>
      <c r="AO127" s="1366"/>
      <c r="AP127" s="1347">
        <v>1000</v>
      </c>
      <c r="AQ127" s="1296">
        <f t="shared" si="12"/>
        <v>0.87</v>
      </c>
      <c r="AR127" s="1296">
        <f t="shared" si="12"/>
        <v>0.72599999999999998</v>
      </c>
      <c r="AS127" s="1296">
        <f t="shared" si="12"/>
        <v>0.60599999999999998</v>
      </c>
      <c r="AT127" s="204"/>
      <c r="AU127" s="204"/>
      <c r="AV127" s="1290"/>
      <c r="AW127" s="1290"/>
      <c r="AX127" s="1290"/>
      <c r="AY127" s="1290"/>
      <c r="AZ127" s="1290"/>
      <c r="BA127" s="1290"/>
      <c r="BB127" s="1290"/>
      <c r="BC127" s="1290"/>
      <c r="BD127" s="204">
        <v>500</v>
      </c>
      <c r="BE127" s="204">
        <f t="shared" si="13"/>
        <v>0.99599999999999989</v>
      </c>
      <c r="BF127" s="204">
        <f t="shared" si="13"/>
        <v>0.82799999999999996</v>
      </c>
      <c r="BG127" s="204">
        <f t="shared" si="13"/>
        <v>0.69</v>
      </c>
      <c r="BH127" s="204"/>
      <c r="BI127" s="204"/>
      <c r="BJ127" s="1246"/>
      <c r="BK127" s="1246"/>
      <c r="BL127" s="1246"/>
      <c r="BM127" s="1246"/>
      <c r="BN127" s="1246"/>
      <c r="BO127" s="1246"/>
      <c r="BP127" s="1246"/>
      <c r="BQ127" s="1246"/>
    </row>
    <row r="128" spans="1:69" x14ac:dyDescent="0.25">
      <c r="A128" s="224">
        <v>11</v>
      </c>
      <c r="B128" s="1188" t="s">
        <v>3691</v>
      </c>
      <c r="C128" s="320" t="s">
        <v>3854</v>
      </c>
      <c r="D128" s="320"/>
      <c r="F128" s="1473" t="str">
        <f ca="1">OFFSET(G128,0,i_VB-1)</f>
        <v>$N$64:$S$75</v>
      </c>
      <c r="G128" s="1477" t="str">
        <f ca="1">G137</f>
        <v>$N$64:$S$75</v>
      </c>
      <c r="H128" s="1477" t="str">
        <f ca="1">H137</f>
        <v>$AB$64:$AG$75</v>
      </c>
      <c r="I128" s="1477" t="str">
        <f ca="1">I137</f>
        <v>$AP$64:$AU$74</v>
      </c>
      <c r="J128" s="1477" t="str">
        <f ca="1">J137</f>
        <v>$BD$64:$BI$74</v>
      </c>
      <c r="K128" s="38"/>
      <c r="L128" s="38"/>
      <c r="M128" s="38"/>
      <c r="N128" s="1407">
        <v>2000</v>
      </c>
      <c r="O128" s="1373">
        <f t="shared" si="11"/>
        <v>0.78</v>
      </c>
      <c r="P128" s="1373">
        <f t="shared" si="11"/>
        <v>0.65400000000000003</v>
      </c>
      <c r="Q128" s="1373">
        <f t="shared" si="11"/>
        <v>0.54</v>
      </c>
      <c r="R128" s="1373">
        <f t="shared" si="11"/>
        <v>0.47399999999999998</v>
      </c>
      <c r="S128" s="1373">
        <f t="shared" si="11"/>
        <v>0.49799999999999994</v>
      </c>
      <c r="T128" s="1265"/>
      <c r="U128" s="1265"/>
      <c r="V128" s="1265"/>
      <c r="W128" s="1265"/>
      <c r="X128" s="1265"/>
      <c r="Y128" s="1265"/>
      <c r="Z128" s="1265"/>
      <c r="AA128" s="1265"/>
      <c r="AB128" s="1381">
        <v>1000</v>
      </c>
      <c r="AC128" s="1381">
        <v>0.87</v>
      </c>
      <c r="AD128" s="1381">
        <v>0.72599999999999998</v>
      </c>
      <c r="AE128" s="1381">
        <v>0.60599999999999998</v>
      </c>
      <c r="AF128" s="1381">
        <v>0.54</v>
      </c>
      <c r="AG128" s="1381">
        <v>0.40200000000000002</v>
      </c>
      <c r="AH128" s="1280"/>
      <c r="AI128" s="1280"/>
      <c r="AJ128" s="1280"/>
      <c r="AK128" s="1280"/>
      <c r="AL128" s="1280"/>
      <c r="AM128" s="1280"/>
      <c r="AN128" s="1280"/>
      <c r="AO128" s="1366"/>
      <c r="AP128" s="1347">
        <v>500</v>
      </c>
      <c r="AQ128" s="1296">
        <f t="shared" si="12"/>
        <v>0.99599999999999989</v>
      </c>
      <c r="AR128" s="1296">
        <f t="shared" si="12"/>
        <v>0.82799999999999996</v>
      </c>
      <c r="AS128" s="1296">
        <f t="shared" si="12"/>
        <v>0.69</v>
      </c>
      <c r="AT128" s="204"/>
      <c r="AU128" s="204"/>
      <c r="AV128" s="1290"/>
      <c r="AW128" s="1290"/>
      <c r="AX128" s="1290"/>
      <c r="AY128" s="1290"/>
      <c r="AZ128" s="1290"/>
      <c r="BA128" s="1290"/>
      <c r="BB128" s="1290"/>
      <c r="BC128" s="1290"/>
      <c r="BD128" s="204">
        <v>200</v>
      </c>
      <c r="BE128" s="204">
        <f t="shared" si="13"/>
        <v>1.0920000000000001</v>
      </c>
      <c r="BF128" s="204">
        <f t="shared" si="13"/>
        <v>0.90599999999999992</v>
      </c>
      <c r="BG128" s="204">
        <f t="shared" si="13"/>
        <v>0.75600000000000001</v>
      </c>
      <c r="BH128" s="204"/>
      <c r="BI128" s="204"/>
      <c r="BJ128" s="1246"/>
      <c r="BK128" s="1246"/>
      <c r="BL128" s="1246"/>
      <c r="BM128" s="1246"/>
      <c r="BN128" s="1246"/>
      <c r="BO128" s="1246"/>
      <c r="BP128" s="1246"/>
      <c r="BQ128" s="1246"/>
    </row>
    <row r="129" spans="1:69" x14ac:dyDescent="0.25">
      <c r="A129" s="224">
        <v>12</v>
      </c>
      <c r="B129" s="1188" t="s">
        <v>3693</v>
      </c>
      <c r="C129" s="320" t="s">
        <v>3855</v>
      </c>
      <c r="D129" s="320"/>
      <c r="F129" s="1473" t="str">
        <f ca="1">OFFSET(G129,0,i_VB-1)</f>
        <v>$N$79:$S$90</v>
      </c>
      <c r="G129" s="1477" t="str">
        <f ca="1">G143</f>
        <v>$N$79:$S$90</v>
      </c>
      <c r="H129" s="1477" t="str">
        <f ca="1">H143</f>
        <v>$AB$79:$AG$90</v>
      </c>
      <c r="I129" s="1477" t="str">
        <f ca="1">I143</f>
        <v>$AP$79:$AU$89</v>
      </c>
      <c r="J129" s="1477" t="str">
        <f ca="1">J143</f>
        <v>$BD$79:$BI$89</v>
      </c>
      <c r="K129" s="38"/>
      <c r="L129" s="38"/>
      <c r="M129" s="38"/>
      <c r="N129" s="1407">
        <v>1000</v>
      </c>
      <c r="O129" s="1373">
        <f t="shared" si="11"/>
        <v>0.92399999999999993</v>
      </c>
      <c r="P129" s="1373">
        <f t="shared" si="11"/>
        <v>0.76800000000000002</v>
      </c>
      <c r="Q129" s="1373">
        <f t="shared" si="11"/>
        <v>0.63</v>
      </c>
      <c r="R129" s="1373">
        <f t="shared" si="11"/>
        <v>0.55800000000000005</v>
      </c>
      <c r="S129" s="1373">
        <f t="shared" si="11"/>
        <v>0.49799999999999994</v>
      </c>
      <c r="T129" s="1265"/>
      <c r="U129" s="1265"/>
      <c r="V129" s="1265"/>
      <c r="W129" s="1265"/>
      <c r="X129" s="1265"/>
      <c r="Y129" s="1265"/>
      <c r="Z129" s="1265"/>
      <c r="AA129" s="1265"/>
      <c r="AB129" s="1381">
        <v>500</v>
      </c>
      <c r="AC129" s="1381">
        <v>0.996</v>
      </c>
      <c r="AD129" s="1381">
        <v>0.82799999999999996</v>
      </c>
      <c r="AE129" s="1381">
        <v>0.69</v>
      </c>
      <c r="AF129" s="1381">
        <v>0.60599999999999998</v>
      </c>
      <c r="AG129" s="1381">
        <v>0.46800000000000003</v>
      </c>
      <c r="AH129" s="1280"/>
      <c r="AI129" s="1280"/>
      <c r="AJ129" s="1280"/>
      <c r="AK129" s="1280"/>
      <c r="AL129" s="1280"/>
      <c r="AM129" s="1280"/>
      <c r="AN129" s="1280"/>
      <c r="AO129" s="1366"/>
      <c r="AP129" s="1347">
        <v>200</v>
      </c>
      <c r="AQ129" s="1296">
        <f t="shared" si="12"/>
        <v>1.0920000000000001</v>
      </c>
      <c r="AR129" s="1296">
        <f t="shared" si="12"/>
        <v>0.90599999999999992</v>
      </c>
      <c r="AS129" s="1296">
        <f t="shared" si="12"/>
        <v>0.75600000000000001</v>
      </c>
      <c r="AT129" s="204"/>
      <c r="AU129" s="204"/>
      <c r="AV129" s="1290"/>
      <c r="AW129" s="1290"/>
      <c r="AX129" s="1290"/>
      <c r="AY129" s="1290"/>
      <c r="AZ129" s="1290"/>
      <c r="BA129" s="1290"/>
      <c r="BB129" s="1290"/>
      <c r="BC129" s="1290"/>
      <c r="BD129" s="204">
        <v>100</v>
      </c>
      <c r="BE129" s="204">
        <f t="shared" si="13"/>
        <v>1.2059999999999997</v>
      </c>
      <c r="BF129" s="204">
        <f t="shared" si="13"/>
        <v>1.002</v>
      </c>
      <c r="BG129" s="204">
        <f t="shared" si="13"/>
        <v>0.83399999999999996</v>
      </c>
      <c r="BH129" s="204"/>
      <c r="BI129" s="204"/>
      <c r="BJ129" s="1246"/>
      <c r="BK129" s="1246"/>
      <c r="BL129" s="1246"/>
      <c r="BM129" s="1246"/>
      <c r="BN129" s="1246"/>
      <c r="BO129" s="1246"/>
      <c r="BP129" s="1246"/>
      <c r="BQ129" s="1246"/>
    </row>
    <row r="130" spans="1:69" x14ac:dyDescent="0.25">
      <c r="A130" s="224">
        <v>13</v>
      </c>
      <c r="B130" s="1189" t="s">
        <v>3682</v>
      </c>
      <c r="C130" s="320"/>
      <c r="D130" s="320"/>
      <c r="F130" s="320"/>
      <c r="G130" s="1477"/>
      <c r="H130" s="1478"/>
      <c r="I130" s="1479"/>
      <c r="J130" s="1480"/>
      <c r="K130" s="38"/>
      <c r="L130" s="38"/>
      <c r="M130" s="38"/>
      <c r="N130" s="1407">
        <v>500</v>
      </c>
      <c r="O130" s="1373">
        <f t="shared" si="11"/>
        <v>1.056</v>
      </c>
      <c r="P130" s="1373">
        <f t="shared" si="11"/>
        <v>0.876</v>
      </c>
      <c r="Q130" s="1373">
        <f t="shared" si="11"/>
        <v>0.72</v>
      </c>
      <c r="R130" s="1373">
        <f t="shared" si="11"/>
        <v>0.63600000000000001</v>
      </c>
      <c r="S130" s="1373">
        <f t="shared" si="11"/>
        <v>0.49799999999999994</v>
      </c>
      <c r="T130" s="1265"/>
      <c r="U130" s="1265"/>
      <c r="V130" s="1265"/>
      <c r="W130" s="1265"/>
      <c r="X130" s="1265"/>
      <c r="Y130" s="1265"/>
      <c r="Z130" s="1265"/>
      <c r="AA130" s="1265"/>
      <c r="AB130" s="1381">
        <v>200</v>
      </c>
      <c r="AC130" s="1381">
        <v>1.0920000000000001</v>
      </c>
      <c r="AD130" s="1381">
        <v>0.90600000000000003</v>
      </c>
      <c r="AE130" s="1381">
        <v>0.75600000000000001</v>
      </c>
      <c r="AF130" s="1381">
        <v>0.66</v>
      </c>
      <c r="AG130" s="1381">
        <v>0.55200000000000005</v>
      </c>
      <c r="AH130" s="1280"/>
      <c r="AI130" s="1280"/>
      <c r="AJ130" s="1280"/>
      <c r="AK130" s="1280"/>
      <c r="AL130" s="1280"/>
      <c r="AM130" s="1280"/>
      <c r="AN130" s="1280"/>
      <c r="AO130" s="1366"/>
      <c r="AP130" s="1347">
        <v>100</v>
      </c>
      <c r="AQ130" s="1296">
        <f t="shared" si="12"/>
        <v>1.2059999999999997</v>
      </c>
      <c r="AR130" s="1296">
        <f t="shared" si="12"/>
        <v>1.002</v>
      </c>
      <c r="AS130" s="1296">
        <f t="shared" si="12"/>
        <v>0.83399999999999996</v>
      </c>
      <c r="AT130" s="204"/>
      <c r="AU130" s="204"/>
      <c r="AV130" s="1290"/>
      <c r="AW130" s="1290"/>
      <c r="AX130" s="1290"/>
      <c r="AY130" s="1290"/>
      <c r="AZ130" s="1290"/>
      <c r="BA130" s="1290"/>
      <c r="BB130" s="1290"/>
      <c r="BC130" s="1290"/>
      <c r="BD130" s="204">
        <v>50</v>
      </c>
      <c r="BE130" s="204">
        <f t="shared" si="13"/>
        <v>1.3259999999999998</v>
      </c>
      <c r="BF130" s="204">
        <f t="shared" si="13"/>
        <v>1.0980000000000001</v>
      </c>
      <c r="BG130" s="204">
        <f t="shared" si="13"/>
        <v>0.91799999999999993</v>
      </c>
      <c r="BH130" s="204"/>
      <c r="BI130" s="204"/>
      <c r="BJ130" s="1246"/>
      <c r="BK130" s="1246"/>
      <c r="BL130" s="1246"/>
      <c r="BM130" s="1246"/>
      <c r="BN130" s="1246"/>
      <c r="BO130" s="1246"/>
      <c r="BP130" s="1246"/>
      <c r="BQ130" s="1246"/>
    </row>
    <row r="131" spans="1:69" s="1495" customFormat="1" x14ac:dyDescent="0.25">
      <c r="A131" s="1493">
        <v>14</v>
      </c>
      <c r="B131" s="1494" t="s">
        <v>3685</v>
      </c>
      <c r="C131" s="1553" t="s">
        <v>3852</v>
      </c>
      <c r="D131" s="320"/>
      <c r="F131" s="1474" t="str">
        <f t="shared" ref="F131:F151" ca="1" si="14">OFFSET(G131,0,i_VB-1)</f>
        <v>$N$94:$S$105</v>
      </c>
      <c r="G131" s="1496" t="str">
        <f ca="1">OFFSET(G132,i_LoaiCT-1,0,)</f>
        <v>$N$94:$S$105</v>
      </c>
      <c r="H131" s="1497" t="str">
        <f ca="1">OFFSET(H132,i_LoaiCT-1,0,)</f>
        <v>$AB$94:$AG$105</v>
      </c>
      <c r="I131" s="1498" t="str">
        <f ca="1">OFFSET(I132,i_LoaiCT-1,0,)</f>
        <v>$AP$94:$AU$104</v>
      </c>
      <c r="J131" s="1499" t="str">
        <f ca="1">OFFSET(J132,i_LoaiCT-1,0,)</f>
        <v>$BD$94:$BI$104</v>
      </c>
      <c r="K131" s="1499"/>
      <c r="L131" s="1499"/>
      <c r="M131" s="1499"/>
      <c r="N131" s="1500">
        <v>200</v>
      </c>
      <c r="O131" s="1501">
        <f t="shared" si="11"/>
        <v>1.1519999999999999</v>
      </c>
      <c r="P131" s="1501">
        <f t="shared" si="11"/>
        <v>0.96</v>
      </c>
      <c r="Q131" s="1501">
        <f t="shared" si="11"/>
        <v>0.79200000000000004</v>
      </c>
      <c r="R131" s="1501">
        <f t="shared" si="11"/>
        <v>0.70199999999999996</v>
      </c>
      <c r="S131" s="1501">
        <f t="shared" si="11"/>
        <v>0.58799999999999997</v>
      </c>
      <c r="T131" s="1502"/>
      <c r="U131" s="1502"/>
      <c r="V131" s="1502"/>
      <c r="W131" s="1502"/>
      <c r="X131" s="1502"/>
      <c r="Y131" s="1502"/>
      <c r="Z131" s="1502"/>
      <c r="AA131" s="1502"/>
      <c r="AB131" s="1503">
        <v>100</v>
      </c>
      <c r="AC131" s="1503">
        <v>1.206</v>
      </c>
      <c r="AD131" s="1503">
        <v>1.002</v>
      </c>
      <c r="AE131" s="1503">
        <v>0.83399999999999996</v>
      </c>
      <c r="AF131" s="1503">
        <v>0.72</v>
      </c>
      <c r="AG131" s="1503">
        <v>0.64800000000000002</v>
      </c>
      <c r="AH131" s="1504"/>
      <c r="AI131" s="1504"/>
      <c r="AJ131" s="1504"/>
      <c r="AK131" s="1504"/>
      <c r="AL131" s="1504"/>
      <c r="AM131" s="1504"/>
      <c r="AN131" s="1504"/>
      <c r="AO131" s="1505"/>
      <c r="AP131" s="1506">
        <v>50</v>
      </c>
      <c r="AQ131" s="1507">
        <f t="shared" si="12"/>
        <v>1.3259999999999998</v>
      </c>
      <c r="AR131" s="1507">
        <f t="shared" si="12"/>
        <v>1.0980000000000001</v>
      </c>
      <c r="AS131" s="1507">
        <f t="shared" si="12"/>
        <v>0.91799999999999993</v>
      </c>
      <c r="AT131" s="1508"/>
      <c r="AU131" s="1508"/>
      <c r="AV131" s="1509"/>
      <c r="AW131" s="1509"/>
      <c r="AX131" s="1509"/>
      <c r="AY131" s="1509"/>
      <c r="AZ131" s="1509"/>
      <c r="BA131" s="1509"/>
      <c r="BB131" s="1509"/>
      <c r="BC131" s="1509"/>
      <c r="BD131" s="1508">
        <v>20</v>
      </c>
      <c r="BE131" s="1508">
        <f t="shared" si="13"/>
        <v>1.548</v>
      </c>
      <c r="BF131" s="1508">
        <f t="shared" si="13"/>
        <v>1.2899999999999998</v>
      </c>
      <c r="BG131" s="1508">
        <f t="shared" si="13"/>
        <v>1.0740000000000001</v>
      </c>
      <c r="BH131" s="1508"/>
      <c r="BI131" s="1508"/>
      <c r="BJ131" s="1510"/>
      <c r="BK131" s="1510"/>
      <c r="BL131" s="1510"/>
      <c r="BM131" s="1510"/>
      <c r="BN131" s="1510"/>
      <c r="BO131" s="1510"/>
      <c r="BP131" s="1510"/>
      <c r="BQ131" s="1510"/>
    </row>
    <row r="132" spans="1:69" x14ac:dyDescent="0.25">
      <c r="A132" s="224">
        <v>15</v>
      </c>
      <c r="B132" s="198" t="s">
        <v>112</v>
      </c>
      <c r="C132" s="320" t="s">
        <v>3852</v>
      </c>
      <c r="D132" s="320"/>
      <c r="F132" s="1473" t="str">
        <f t="shared" ca="1" si="14"/>
        <v>$N$94:$S$105</v>
      </c>
      <c r="G132" s="1477" t="str">
        <f>diachivung($N$94:$S$105)</f>
        <v>$N$94:$S$105</v>
      </c>
      <c r="H132" s="1478" t="str">
        <f>diachivung($AB$94:$AG$105)</f>
        <v>$AB$94:$AG$105</v>
      </c>
      <c r="I132" s="1479" t="str">
        <f>diachivung($AP$94:$AU$104)</f>
        <v>$AP$94:$AU$104</v>
      </c>
      <c r="J132" s="1480" t="str">
        <f>diachivung($BD$94:$BI$104)</f>
        <v>$BD$94:$BI$104</v>
      </c>
      <c r="K132" s="38"/>
      <c r="L132" s="38"/>
      <c r="M132" s="38"/>
      <c r="N132" s="1407">
        <v>100</v>
      </c>
      <c r="O132" s="1373">
        <f t="shared" si="11"/>
        <v>1.2779999999999998</v>
      </c>
      <c r="P132" s="1373">
        <f t="shared" si="11"/>
        <v>1.0620000000000001</v>
      </c>
      <c r="Q132" s="1373">
        <f t="shared" si="11"/>
        <v>0.876</v>
      </c>
      <c r="R132" s="1373">
        <f t="shared" si="11"/>
        <v>0.76200000000000001</v>
      </c>
      <c r="S132" s="1373">
        <f t="shared" si="11"/>
        <v>0.68399999999999994</v>
      </c>
      <c r="T132" s="1265"/>
      <c r="U132" s="1265"/>
      <c r="V132" s="1265"/>
      <c r="W132" s="1265"/>
      <c r="X132" s="1265"/>
      <c r="Y132" s="1265"/>
      <c r="Z132" s="1265"/>
      <c r="AA132" s="1265"/>
      <c r="AB132" s="1381">
        <v>50</v>
      </c>
      <c r="AC132" s="1381">
        <v>1.3260000000000001</v>
      </c>
      <c r="AD132" s="1381">
        <v>1.0980000000000001</v>
      </c>
      <c r="AE132" s="1381">
        <v>0.91800000000000004</v>
      </c>
      <c r="AF132" s="1381">
        <v>0.79200000000000004</v>
      </c>
      <c r="AG132" s="1381">
        <v>0.70199999999999996</v>
      </c>
      <c r="AH132" s="1280"/>
      <c r="AI132" s="1280"/>
      <c r="AJ132" s="1280"/>
      <c r="AK132" s="1280"/>
      <c r="AL132" s="1280"/>
      <c r="AM132" s="1280"/>
      <c r="AN132" s="1280"/>
      <c r="AO132" s="1366"/>
      <c r="AP132" s="1347">
        <v>20</v>
      </c>
      <c r="AQ132" s="1296">
        <f t="shared" si="12"/>
        <v>1.548</v>
      </c>
      <c r="AR132" s="1296">
        <f t="shared" si="12"/>
        <v>1.2899999999999998</v>
      </c>
      <c r="AS132" s="1296">
        <f t="shared" si="12"/>
        <v>1.0740000000000001</v>
      </c>
      <c r="AT132" s="204"/>
      <c r="AU132" s="204"/>
      <c r="AV132" s="1290"/>
      <c r="AW132" s="1290"/>
      <c r="AX132" s="1290"/>
      <c r="AY132" s="1290"/>
      <c r="AZ132" s="1290"/>
      <c r="BA132" s="1290"/>
      <c r="BB132" s="1290"/>
      <c r="BC132" s="1290"/>
      <c r="BD132" s="204">
        <v>10</v>
      </c>
      <c r="BE132" s="204">
        <f t="shared" si="13"/>
        <v>1.6739999999999999</v>
      </c>
      <c r="BF132" s="204">
        <f t="shared" si="13"/>
        <v>1.3979999999999999</v>
      </c>
      <c r="BG132" s="204">
        <f t="shared" si="13"/>
        <v>1.1639999999999999</v>
      </c>
      <c r="BH132" s="204"/>
      <c r="BI132" s="204"/>
      <c r="BJ132" s="1246"/>
      <c r="BK132" s="1246"/>
      <c r="BL132" s="1246"/>
      <c r="BM132" s="1246"/>
      <c r="BN132" s="1246"/>
      <c r="BO132" s="1246"/>
      <c r="BP132" s="1246"/>
      <c r="BQ132" s="1246"/>
    </row>
    <row r="133" spans="1:69" x14ac:dyDescent="0.25">
      <c r="A133" s="224">
        <v>16</v>
      </c>
      <c r="B133" s="198" t="s">
        <v>113</v>
      </c>
      <c r="C133" s="320" t="s">
        <v>3856</v>
      </c>
      <c r="D133" s="320"/>
      <c r="F133" s="1473" t="str">
        <f t="shared" ca="1" si="14"/>
        <v>$N$139:$S$150</v>
      </c>
      <c r="G133" s="1477" t="str">
        <f>diachivung($N$139:$S$150)</f>
        <v>$N$139:$S$150</v>
      </c>
      <c r="H133" s="1478" t="str">
        <f>diachivung($AB$139:$AG$150)</f>
        <v>$AB$139:$AG$150</v>
      </c>
      <c r="I133" s="1479" t="str">
        <f>diachivung($AP$139:$AU$149)</f>
        <v>$AP$139:$AU$149</v>
      </c>
      <c r="J133" s="1480" t="str">
        <f>diachivung($BD$139:$BI$149)</f>
        <v>$BD$139:$BI$149</v>
      </c>
      <c r="K133" s="38"/>
      <c r="L133" s="38"/>
      <c r="M133" s="38"/>
      <c r="N133" s="1407">
        <v>50</v>
      </c>
      <c r="O133" s="1373">
        <f t="shared" si="11"/>
        <v>1.4039999999999999</v>
      </c>
      <c r="P133" s="1373">
        <f t="shared" si="11"/>
        <v>1.1579999999999999</v>
      </c>
      <c r="Q133" s="1373">
        <f t="shared" si="11"/>
        <v>0.95399999999999996</v>
      </c>
      <c r="R133" s="1373">
        <f t="shared" si="11"/>
        <v>0.84</v>
      </c>
      <c r="S133" s="1373">
        <f t="shared" si="11"/>
        <v>0.74399999999999999</v>
      </c>
      <c r="T133" s="1265"/>
      <c r="U133" s="1265"/>
      <c r="V133" s="1265"/>
      <c r="W133" s="1265"/>
      <c r="X133" s="1265"/>
      <c r="Y133" s="1265"/>
      <c r="Z133" s="1265"/>
      <c r="AA133" s="1265"/>
      <c r="AB133" s="1381">
        <v>20</v>
      </c>
      <c r="AC133" s="1381">
        <v>1.548</v>
      </c>
      <c r="AD133" s="1381">
        <v>1.29</v>
      </c>
      <c r="AE133" s="1381">
        <v>1.0740000000000001</v>
      </c>
      <c r="AF133" s="1381">
        <v>0.93600000000000005</v>
      </c>
      <c r="AG133" s="1381">
        <v>0.83399999999999996</v>
      </c>
      <c r="AH133" s="1280"/>
      <c r="AI133" s="1280"/>
      <c r="AJ133" s="1280"/>
      <c r="AK133" s="1280"/>
      <c r="AL133" s="1280"/>
      <c r="AM133" s="1280"/>
      <c r="AN133" s="1280"/>
      <c r="AO133" s="1366"/>
      <c r="AP133" s="1347">
        <v>10</v>
      </c>
      <c r="AQ133" s="1296">
        <f t="shared" si="12"/>
        <v>1.6739999999999999</v>
      </c>
      <c r="AR133" s="1296">
        <f t="shared" si="12"/>
        <v>1.3979999999999999</v>
      </c>
      <c r="AS133" s="1296">
        <f t="shared" si="12"/>
        <v>1.1639999999999999</v>
      </c>
      <c r="AT133" s="204"/>
      <c r="AU133" s="204"/>
      <c r="AV133" s="1290"/>
      <c r="AW133" s="1290"/>
      <c r="AX133" s="1290"/>
      <c r="AY133" s="1290"/>
      <c r="AZ133" s="1290"/>
      <c r="BA133" s="1290"/>
      <c r="BB133" s="1290"/>
      <c r="BC133" s="1290"/>
      <c r="BD133" s="204">
        <v>7</v>
      </c>
      <c r="BE133" s="204">
        <f t="shared" si="13"/>
        <v>0</v>
      </c>
      <c r="BF133" s="204">
        <f t="shared" si="13"/>
        <v>0</v>
      </c>
      <c r="BG133" s="204">
        <f t="shared" si="13"/>
        <v>1.194</v>
      </c>
      <c r="BH133" s="204"/>
      <c r="BI133" s="204"/>
      <c r="BJ133" s="1246"/>
      <c r="BK133" s="1246"/>
      <c r="BL133" s="1246"/>
      <c r="BM133" s="1246"/>
      <c r="BN133" s="1246"/>
      <c r="BO133" s="1246"/>
      <c r="BP133" s="1246"/>
      <c r="BQ133" s="1246"/>
    </row>
    <row r="134" spans="1:69" x14ac:dyDescent="0.25">
      <c r="A134" s="224">
        <v>17</v>
      </c>
      <c r="B134" s="198" t="s">
        <v>3686</v>
      </c>
      <c r="C134" s="320" t="s">
        <v>3857</v>
      </c>
      <c r="D134" s="320"/>
      <c r="F134" s="1473" t="str">
        <f t="shared" ca="1" si="14"/>
        <v>$N$198:$S$209</v>
      </c>
      <c r="G134" s="1477" t="str">
        <f>diachivung($N$198:$S$209)</f>
        <v>$N$198:$S$209</v>
      </c>
      <c r="H134" s="1478" t="str">
        <f>diachivung($AB$198:$AG$209)</f>
        <v>$AB$198:$AG$209</v>
      </c>
      <c r="I134" s="1479" t="str">
        <f>diachivung($AP$198:$AU$208)</f>
        <v>$AP$198:$AU$208</v>
      </c>
      <c r="J134" s="1480" t="str">
        <f>diachivung($BD$198:$BI$208)</f>
        <v>$BD$198:$BI$208</v>
      </c>
      <c r="K134" s="38"/>
      <c r="L134" s="38"/>
      <c r="M134" s="38"/>
      <c r="N134" s="1407">
        <v>20</v>
      </c>
      <c r="O134" s="1373">
        <f t="shared" ref="O134:S135" si="15">O119*0.6</f>
        <v>1.6379999999999999</v>
      </c>
      <c r="P134" s="1373">
        <f t="shared" si="15"/>
        <v>1.3619999999999999</v>
      </c>
      <c r="Q134" s="1373">
        <f t="shared" si="15"/>
        <v>1.1160000000000001</v>
      </c>
      <c r="R134" s="1373">
        <f t="shared" si="15"/>
        <v>0.98999999999999988</v>
      </c>
      <c r="S134" s="1373">
        <f t="shared" si="15"/>
        <v>0.88200000000000001</v>
      </c>
      <c r="T134" s="1265"/>
      <c r="U134" s="1265"/>
      <c r="V134" s="1265"/>
      <c r="W134" s="1265"/>
      <c r="X134" s="1265"/>
      <c r="Y134" s="1265"/>
      <c r="Z134" s="1265"/>
      <c r="AA134" s="1265"/>
      <c r="AB134" s="1381">
        <v>10</v>
      </c>
      <c r="AC134" s="1381">
        <v>1.6739999999999999</v>
      </c>
      <c r="AD134" s="1381">
        <v>1.3979999999999999</v>
      </c>
      <c r="AE134" s="1381">
        <v>1.1639999999999999</v>
      </c>
      <c r="AF134" s="1381">
        <v>1.014</v>
      </c>
      <c r="AG134" s="1381">
        <v>0.9</v>
      </c>
      <c r="AH134" s="1280"/>
      <c r="AI134" s="1280"/>
      <c r="AJ134" s="1280"/>
      <c r="AK134" s="1280"/>
      <c r="AL134" s="1280"/>
      <c r="AM134" s="1280"/>
      <c r="AN134" s="1280"/>
      <c r="AO134" s="1280"/>
      <c r="AP134" s="1347">
        <v>7</v>
      </c>
      <c r="AQ134" s="1296">
        <f t="shared" si="12"/>
        <v>1.6739999999999999</v>
      </c>
      <c r="AR134" s="1296">
        <f t="shared" si="12"/>
        <v>1.3979999999999999</v>
      </c>
      <c r="AS134" s="1296">
        <f t="shared" si="12"/>
        <v>1.194</v>
      </c>
      <c r="AT134" s="204"/>
      <c r="AU134" s="204"/>
      <c r="AV134" s="1290"/>
      <c r="AW134" s="1290"/>
      <c r="AX134" s="1290"/>
      <c r="AY134" s="1290"/>
      <c r="AZ134" s="1290"/>
      <c r="BA134" s="1290"/>
      <c r="BB134" s="1290"/>
      <c r="BC134" s="1290"/>
      <c r="BD134" s="204">
        <v>3</v>
      </c>
      <c r="BE134" s="204">
        <f t="shared" si="13"/>
        <v>0</v>
      </c>
      <c r="BF134" s="204">
        <f t="shared" si="13"/>
        <v>0</v>
      </c>
      <c r="BG134" s="204">
        <f t="shared" si="13"/>
        <v>1.3739999999999999</v>
      </c>
      <c r="BH134" s="204"/>
      <c r="BI134" s="204"/>
      <c r="BJ134" s="1246"/>
      <c r="BK134" s="1246"/>
      <c r="BL134" s="1246"/>
      <c r="BM134" s="1246"/>
      <c r="BN134" s="1246"/>
      <c r="BO134" s="1246"/>
      <c r="BP134" s="1246"/>
      <c r="BQ134" s="1246"/>
    </row>
    <row r="135" spans="1:69" ht="15.75" customHeight="1" x14ac:dyDescent="0.25">
      <c r="A135" s="224">
        <v>18</v>
      </c>
      <c r="B135" s="198" t="s">
        <v>3769</v>
      </c>
      <c r="C135" s="320" t="s">
        <v>3858</v>
      </c>
      <c r="D135" s="320"/>
      <c r="F135" s="1473" t="str">
        <f t="shared" ca="1" si="14"/>
        <v>$N$243:$S$254</v>
      </c>
      <c r="G135" s="1477" t="str">
        <f>diachivung($N$243:$S$254)</f>
        <v>$N$243:$S$254</v>
      </c>
      <c r="H135" s="1478" t="str">
        <f>diachivung($AB$243:$AG$254)</f>
        <v>$AB$243:$AG$254</v>
      </c>
      <c r="I135" s="1479" t="str">
        <f>diachivung($AP$243:$AU$253)</f>
        <v>$AP$243:$AU$253</v>
      </c>
      <c r="J135" s="1480" t="str">
        <f>diachivung($BD$243:$BI$253)</f>
        <v>$BD$243:$BI$253</v>
      </c>
      <c r="K135" s="38"/>
      <c r="L135" s="38"/>
      <c r="M135" s="38"/>
      <c r="N135" s="1407">
        <v>10</v>
      </c>
      <c r="O135" s="1373">
        <f>O120*0.6</f>
        <v>1.776</v>
      </c>
      <c r="P135" s="1373">
        <f t="shared" si="15"/>
        <v>1.482</v>
      </c>
      <c r="Q135" s="1373">
        <f t="shared" si="15"/>
        <v>1.2179999999999997</v>
      </c>
      <c r="R135" s="1373">
        <f t="shared" si="15"/>
        <v>1.0680000000000001</v>
      </c>
      <c r="S135" s="1373">
        <f t="shared" si="15"/>
        <v>0.95399999999999996</v>
      </c>
      <c r="T135" s="1265"/>
      <c r="U135" s="1265"/>
      <c r="V135" s="1265"/>
      <c r="W135" s="1265"/>
      <c r="X135" s="1265"/>
      <c r="Y135" s="1265"/>
      <c r="Z135" s="1265"/>
      <c r="AA135" s="1265"/>
      <c r="AB135" s="1381">
        <v>7</v>
      </c>
      <c r="AC135" s="1381">
        <v>0</v>
      </c>
      <c r="AD135" s="1381">
        <v>0</v>
      </c>
      <c r="AE135" s="1381">
        <v>1.194</v>
      </c>
      <c r="AF135" s="1381">
        <v>1.038</v>
      </c>
      <c r="AG135" s="1381">
        <v>0.92400000000000004</v>
      </c>
      <c r="AH135" s="1280"/>
      <c r="AI135" s="1280"/>
      <c r="AJ135" s="1280"/>
      <c r="AK135" s="1280"/>
      <c r="AL135" s="1280"/>
      <c r="AM135" s="1280"/>
      <c r="AN135" s="1280"/>
      <c r="AO135" s="1280"/>
      <c r="AV135" s="1290"/>
      <c r="AW135" s="1290"/>
      <c r="AX135" s="1290"/>
      <c r="AY135" s="1290"/>
      <c r="AZ135" s="1290"/>
      <c r="BA135" s="1290"/>
      <c r="BB135" s="1290"/>
      <c r="BC135" s="1290"/>
      <c r="BJ135" s="1246"/>
      <c r="BK135" s="1246"/>
      <c r="BL135" s="1246"/>
      <c r="BM135" s="1246"/>
      <c r="BN135" s="1246"/>
      <c r="BO135" s="1246"/>
      <c r="BP135" s="1246"/>
      <c r="BQ135" s="1246"/>
    </row>
    <row r="136" spans="1:69" ht="15.75" customHeight="1" x14ac:dyDescent="0.25">
      <c r="A136" s="224">
        <v>19</v>
      </c>
      <c r="B136" s="198" t="s">
        <v>116</v>
      </c>
      <c r="C136" s="320" t="s">
        <v>3859</v>
      </c>
      <c r="D136" s="320"/>
      <c r="F136" s="1473" t="str">
        <f t="shared" ca="1" si="14"/>
        <v>$N$288:$S$299</v>
      </c>
      <c r="G136" s="1477" t="str">
        <f>diachivung($N$288:$S$299)</f>
        <v>$N$288:$S$299</v>
      </c>
      <c r="H136" s="1478" t="str">
        <f>diachivung($AB$288:$AG$299)</f>
        <v>$AB$288:$AG$299</v>
      </c>
      <c r="I136" s="1479" t="str">
        <f>diachivung($AP$288:$AU$298)</f>
        <v>$AP$288:$AU$298</v>
      </c>
      <c r="J136" s="1480" t="str">
        <f>diachivung($BD$288:$BI$298)</f>
        <v>$BD$288:$BI$298</v>
      </c>
      <c r="K136" s="38"/>
      <c r="L136" s="38"/>
      <c r="M136" s="38"/>
      <c r="N136" s="1271" t="s">
        <v>171</v>
      </c>
      <c r="O136" s="1272"/>
      <c r="P136" s="1271"/>
      <c r="Q136" s="1271"/>
      <c r="R136" s="1272"/>
      <c r="S136" s="1272"/>
      <c r="T136" s="1265"/>
      <c r="U136" s="1265"/>
      <c r="V136" s="1265"/>
      <c r="W136" s="1265"/>
      <c r="X136" s="1265"/>
      <c r="Y136" s="1265"/>
      <c r="Z136" s="1265"/>
      <c r="AA136" s="1265"/>
      <c r="AB136" s="1284" t="s">
        <v>171</v>
      </c>
      <c r="AC136" s="1285"/>
      <c r="AD136" s="1284"/>
      <c r="AE136" s="1284"/>
      <c r="AF136" s="1285"/>
      <c r="AG136" s="1285"/>
      <c r="AH136" s="1280"/>
      <c r="AI136" s="1280"/>
      <c r="AJ136" s="1280"/>
      <c r="AK136" s="1280"/>
      <c r="AL136" s="1280"/>
      <c r="AM136" s="1280"/>
      <c r="AN136" s="1280"/>
      <c r="AO136" s="1280"/>
      <c r="AP136" s="1294" t="s">
        <v>171</v>
      </c>
      <c r="AQ136" s="1295"/>
      <c r="AR136" s="1294"/>
      <c r="AS136" s="1294"/>
      <c r="AT136" s="1295"/>
      <c r="AU136" s="1295"/>
      <c r="AV136" s="1290"/>
      <c r="AW136" s="1290"/>
      <c r="AX136" s="1290"/>
      <c r="AY136" s="1290"/>
      <c r="AZ136" s="1290"/>
      <c r="BA136" s="1290"/>
      <c r="BB136" s="1290"/>
      <c r="BC136" s="1290"/>
      <c r="BD136" s="1250" t="s">
        <v>171</v>
      </c>
      <c r="BE136" s="1251"/>
      <c r="BF136" s="1250"/>
      <c r="BG136" s="1250"/>
      <c r="BH136" s="1251"/>
      <c r="BI136" s="1251"/>
      <c r="BJ136" s="1246"/>
      <c r="BK136" s="1246"/>
      <c r="BL136" s="1246"/>
      <c r="BM136" s="1246"/>
      <c r="BN136" s="1246"/>
      <c r="BO136" s="1246"/>
      <c r="BP136" s="1246"/>
      <c r="BQ136" s="1246"/>
    </row>
    <row r="137" spans="1:69" s="1495" customFormat="1" ht="31.5" customHeight="1" x14ac:dyDescent="0.25">
      <c r="A137" s="1493">
        <v>20</v>
      </c>
      <c r="B137" s="1494" t="s">
        <v>3687</v>
      </c>
      <c r="C137" s="320" t="s">
        <v>3854</v>
      </c>
      <c r="D137" s="320"/>
      <c r="F137" s="1474" t="str">
        <f t="shared" ca="1" si="14"/>
        <v>$N$64:$S$75</v>
      </c>
      <c r="G137" s="1496" t="str">
        <f ca="1">OFFSET(G138,i_LoaiCT-1,0,)</f>
        <v>$N$64:$S$75</v>
      </c>
      <c r="H137" s="1497" t="str">
        <f ca="1">OFFSET(H138,i_LoaiCT-1,0,)</f>
        <v>$AB$64:$AG$75</v>
      </c>
      <c r="I137" s="1498" t="str">
        <f ca="1">OFFSET(I138,i_LoaiCT-1,0,)</f>
        <v>$AP$64:$AU$74</v>
      </c>
      <c r="J137" s="1499" t="str">
        <f ca="1">OFFSET(J138,i_LoaiCT-1,0,)</f>
        <v>$BD$64:$BI$74</v>
      </c>
      <c r="K137" s="1499"/>
      <c r="L137" s="1499"/>
      <c r="M137" s="1499"/>
      <c r="N137" s="1944" t="s">
        <v>162</v>
      </c>
      <c r="O137" s="1964" t="s">
        <v>117</v>
      </c>
      <c r="P137" s="1964"/>
      <c r="Q137" s="1964"/>
      <c r="R137" s="1964"/>
      <c r="S137" s="1964"/>
      <c r="T137" s="1502"/>
      <c r="U137" s="1502"/>
      <c r="V137" s="1502"/>
      <c r="W137" s="1502"/>
      <c r="X137" s="1502"/>
      <c r="Y137" s="1502"/>
      <c r="Z137" s="1502"/>
      <c r="AA137" s="1502"/>
      <c r="AB137" s="1962" t="s">
        <v>162</v>
      </c>
      <c r="AC137" s="1972" t="s">
        <v>117</v>
      </c>
      <c r="AD137" s="1973"/>
      <c r="AE137" s="1973"/>
      <c r="AF137" s="1973"/>
      <c r="AG137" s="1974"/>
      <c r="AH137" s="1504"/>
      <c r="AI137" s="1504"/>
      <c r="AJ137" s="1504"/>
      <c r="AK137" s="1504"/>
      <c r="AL137" s="1504"/>
      <c r="AM137" s="1504"/>
      <c r="AN137" s="1504"/>
      <c r="AO137" s="1504"/>
      <c r="AP137" s="1966" t="s">
        <v>162</v>
      </c>
      <c r="AQ137" s="1935" t="s">
        <v>117</v>
      </c>
      <c r="AR137" s="1936"/>
      <c r="AS137" s="1936"/>
      <c r="AT137" s="1936"/>
      <c r="AU137" s="1937"/>
      <c r="AV137" s="1509"/>
      <c r="AW137" s="1509"/>
      <c r="AX137" s="1509"/>
      <c r="AY137" s="1509"/>
      <c r="AZ137" s="1509"/>
      <c r="BA137" s="1509"/>
      <c r="BB137" s="1509"/>
      <c r="BC137" s="1509"/>
      <c r="BD137" s="1963" t="s">
        <v>162</v>
      </c>
      <c r="BE137" s="2001" t="s">
        <v>117</v>
      </c>
      <c r="BF137" s="2001"/>
      <c r="BG137" s="2001"/>
      <c r="BH137" s="2001"/>
      <c r="BI137" s="2001"/>
      <c r="BJ137" s="1510"/>
      <c r="BK137" s="1510"/>
      <c r="BL137" s="1510"/>
      <c r="BM137" s="1510"/>
      <c r="BN137" s="1510"/>
      <c r="BO137" s="1510"/>
      <c r="BP137" s="1510"/>
      <c r="BQ137" s="1510"/>
    </row>
    <row r="138" spans="1:69" x14ac:dyDescent="0.25">
      <c r="A138" s="224">
        <v>21</v>
      </c>
      <c r="B138" s="198" t="s">
        <v>112</v>
      </c>
      <c r="C138" s="320" t="s">
        <v>3854</v>
      </c>
      <c r="D138" s="1518"/>
      <c r="F138" s="1473" t="str">
        <f t="shared" ca="1" si="14"/>
        <v>$N$64:$S$75</v>
      </c>
      <c r="G138" s="1477" t="str">
        <f>diachivung($N$64:$S$75)</f>
        <v>$N$64:$S$75</v>
      </c>
      <c r="H138" s="1478" t="str">
        <f>diachivung($AB$64:$AG$75)</f>
        <v>$AB$64:$AG$75</v>
      </c>
      <c r="I138" s="1479" t="str">
        <f>diachivung($AP$64:$AU$74)</f>
        <v>$AP$64:$AU$74</v>
      </c>
      <c r="J138" s="1480" t="str">
        <f>diachivung($BD$64:$BI$74)</f>
        <v>$BD$64:$BI$74</v>
      </c>
      <c r="K138" s="38"/>
      <c r="L138" s="38"/>
      <c r="M138" s="38"/>
      <c r="N138" s="1944"/>
      <c r="O138" s="1373" t="s">
        <v>118</v>
      </c>
      <c r="P138" s="1373" t="s">
        <v>163</v>
      </c>
      <c r="Q138" s="1373" t="s">
        <v>164</v>
      </c>
      <c r="R138" s="1373" t="s">
        <v>165</v>
      </c>
      <c r="S138" s="1373" t="s">
        <v>166</v>
      </c>
      <c r="T138" s="1265"/>
      <c r="U138" s="1265"/>
      <c r="V138" s="1265"/>
      <c r="W138" s="1265"/>
      <c r="X138" s="1265"/>
      <c r="Y138" s="1265"/>
      <c r="Z138" s="1265"/>
      <c r="AA138" s="1265"/>
      <c r="AB138" s="1962"/>
      <c r="AC138" s="1381" t="s">
        <v>118</v>
      </c>
      <c r="AD138" s="1381" t="s">
        <v>163</v>
      </c>
      <c r="AE138" s="1381" t="s">
        <v>164</v>
      </c>
      <c r="AF138" s="1381" t="s">
        <v>165</v>
      </c>
      <c r="AG138" s="1381" t="s">
        <v>166</v>
      </c>
      <c r="AH138" s="1280"/>
      <c r="AI138" s="1280"/>
      <c r="AJ138" s="1280"/>
      <c r="AK138" s="1280"/>
      <c r="AL138" s="1280"/>
      <c r="AM138" s="1280"/>
      <c r="AN138" s="1280"/>
      <c r="AO138" s="1280"/>
      <c r="AP138" s="1967"/>
      <c r="AQ138" s="1381" t="s">
        <v>118</v>
      </c>
      <c r="AR138" s="1381" t="s">
        <v>163</v>
      </c>
      <c r="AS138" s="1296" t="s">
        <v>164</v>
      </c>
      <c r="AT138" s="1296" t="s">
        <v>165</v>
      </c>
      <c r="AU138" s="1296" t="s">
        <v>166</v>
      </c>
      <c r="AV138" s="1290"/>
      <c r="AW138" s="1290"/>
      <c r="AX138" s="1290"/>
      <c r="AY138" s="1290"/>
      <c r="AZ138" s="1290"/>
      <c r="BA138" s="1290"/>
      <c r="BB138" s="1290"/>
      <c r="BC138" s="1290"/>
      <c r="BD138" s="1963"/>
      <c r="BE138" s="1384" t="s">
        <v>118</v>
      </c>
      <c r="BF138" s="1384" t="s">
        <v>163</v>
      </c>
      <c r="BG138" s="204" t="s">
        <v>164</v>
      </c>
      <c r="BH138" s="204" t="s">
        <v>165</v>
      </c>
      <c r="BI138" s="204" t="s">
        <v>166</v>
      </c>
      <c r="BJ138" s="1246"/>
      <c r="BK138" s="1246"/>
      <c r="BL138" s="1246"/>
      <c r="BM138" s="1246"/>
      <c r="BN138" s="1246"/>
      <c r="BO138" s="1246"/>
      <c r="BP138" s="1246"/>
      <c r="BQ138" s="1246"/>
    </row>
    <row r="139" spans="1:69" x14ac:dyDescent="0.25">
      <c r="A139" s="224">
        <v>22</v>
      </c>
      <c r="B139" s="198" t="s">
        <v>113</v>
      </c>
      <c r="C139" s="320" t="s">
        <v>3860</v>
      </c>
      <c r="D139" s="320"/>
      <c r="F139" s="1473" t="str">
        <f t="shared" ca="1" si="14"/>
        <v>$N$109:$S$120</v>
      </c>
      <c r="G139" s="1477" t="str">
        <f>diachivung($N$109:$S$120)</f>
        <v>$N$109:$S$120</v>
      </c>
      <c r="H139" s="1478" t="str">
        <f>diachivung($AB$109:$AG$120)</f>
        <v>$AB$109:$AG$120</v>
      </c>
      <c r="I139" s="1479" t="str">
        <f>diachivung($AP$109:$AU$119)</f>
        <v>$AP$109:$AU$119</v>
      </c>
      <c r="J139" s="1480" t="str">
        <f>diachivung($BD$109:$BI$119)</f>
        <v>$BD$109:$BI$119</v>
      </c>
      <c r="K139" s="38"/>
      <c r="L139" s="38"/>
      <c r="M139" s="38"/>
      <c r="N139" s="1373"/>
      <c r="O139" s="1373">
        <v>0</v>
      </c>
      <c r="P139" s="1373">
        <v>1</v>
      </c>
      <c r="Q139" s="1373">
        <v>2</v>
      </c>
      <c r="R139" s="1373">
        <v>3</v>
      </c>
      <c r="S139" s="1373">
        <v>4</v>
      </c>
      <c r="T139" s="1265"/>
      <c r="U139" s="1265"/>
      <c r="V139" s="1265"/>
      <c r="W139" s="1265"/>
      <c r="X139" s="1265"/>
      <c r="Y139" s="1265"/>
      <c r="Z139" s="1265"/>
      <c r="AA139" s="1265"/>
      <c r="AB139" s="1381"/>
      <c r="AC139" s="1381">
        <v>0</v>
      </c>
      <c r="AD139" s="1381">
        <v>1</v>
      </c>
      <c r="AE139" s="1381">
        <v>2</v>
      </c>
      <c r="AF139" s="1381">
        <v>3</v>
      </c>
      <c r="AG139" s="1381">
        <v>4</v>
      </c>
      <c r="AH139" s="1280"/>
      <c r="AI139" s="1280"/>
      <c r="AJ139" s="1280"/>
      <c r="AK139" s="1280"/>
      <c r="AL139" s="1280"/>
      <c r="AM139" s="1280"/>
      <c r="AN139" s="1280"/>
      <c r="AO139" s="1280"/>
      <c r="AP139" s="1296"/>
      <c r="AQ139" s="1405"/>
      <c r="AR139" s="1405">
        <v>1</v>
      </c>
      <c r="AS139" s="1296">
        <v>2</v>
      </c>
      <c r="AT139" s="1296">
        <v>3</v>
      </c>
      <c r="AU139" s="1296">
        <v>4</v>
      </c>
      <c r="AV139" s="1290"/>
      <c r="AW139" s="1290"/>
      <c r="AX139" s="1290"/>
      <c r="AY139" s="1290"/>
      <c r="AZ139" s="1290"/>
      <c r="BA139" s="1290"/>
      <c r="BB139" s="1290"/>
      <c r="BC139" s="1290"/>
      <c r="BD139" s="204"/>
      <c r="BE139" s="1405"/>
      <c r="BF139" s="1405">
        <v>1</v>
      </c>
      <c r="BG139" s="204">
        <v>2</v>
      </c>
      <c r="BH139" s="204">
        <v>3</v>
      </c>
      <c r="BI139" s="204">
        <v>4</v>
      </c>
      <c r="BJ139" s="1246"/>
      <c r="BK139" s="1246"/>
      <c r="BL139" s="1246"/>
      <c r="BM139" s="1246"/>
      <c r="BN139" s="1246"/>
      <c r="BO139" s="1246"/>
      <c r="BP139" s="1246"/>
      <c r="BQ139" s="1246"/>
    </row>
    <row r="140" spans="1:69" x14ac:dyDescent="0.25">
      <c r="A140" s="224">
        <v>23</v>
      </c>
      <c r="B140" s="198" t="s">
        <v>3686</v>
      </c>
      <c r="C140" s="320" t="s">
        <v>3861</v>
      </c>
      <c r="D140" s="320"/>
      <c r="F140" s="1473" t="str">
        <f t="shared" ca="1" si="14"/>
        <v>$N$168:$S$179</v>
      </c>
      <c r="G140" s="1477" t="str">
        <f>diachivung($N$168:$S$179)</f>
        <v>$N$168:$S$179</v>
      </c>
      <c r="H140" s="1478" t="str">
        <f>diachivung($AB$168:$AG$179)</f>
        <v>$AB$168:$AG$179</v>
      </c>
      <c r="I140" s="1479" t="str">
        <f>diachivung($AP$168:$AU$179)</f>
        <v>$AP$168:$AU$179</v>
      </c>
      <c r="J140" s="1480" t="str">
        <f>diachivung($BD$168:$BI$179)</f>
        <v>$BD$168:$BI$179</v>
      </c>
      <c r="K140" s="38"/>
      <c r="L140" s="38"/>
      <c r="M140" s="38"/>
      <c r="N140" s="1407">
        <v>10000</v>
      </c>
      <c r="O140" s="1408">
        <v>1.04</v>
      </c>
      <c r="P140" s="1408">
        <v>0.88</v>
      </c>
      <c r="Q140" s="1408">
        <v>0.72</v>
      </c>
      <c r="R140" s="1408">
        <v>0.64</v>
      </c>
      <c r="S140" s="1408">
        <f>S141</f>
        <v>1.22</v>
      </c>
      <c r="T140" s="1265"/>
      <c r="U140" s="1265"/>
      <c r="V140" s="1265"/>
      <c r="W140" s="1265"/>
      <c r="X140" s="1265"/>
      <c r="Y140" s="1265"/>
      <c r="Z140" s="1265"/>
      <c r="AA140" s="1265"/>
      <c r="AB140" s="1381">
        <v>8000</v>
      </c>
      <c r="AC140" s="1381">
        <v>1.1599999999999999</v>
      </c>
      <c r="AD140" s="1381">
        <v>0.97</v>
      </c>
      <c r="AE140" s="1381">
        <v>0.78</v>
      </c>
      <c r="AF140" s="1381">
        <v>0.72</v>
      </c>
      <c r="AG140" s="1581">
        <f>AG141</f>
        <v>1.06</v>
      </c>
      <c r="AH140" s="1280"/>
      <c r="AI140" s="1280"/>
      <c r="AJ140" s="1280"/>
      <c r="AK140" s="1280"/>
      <c r="AL140" s="1280"/>
      <c r="AM140" s="1280"/>
      <c r="AN140" s="1280"/>
      <c r="AO140" s="1280"/>
      <c r="AP140" s="1347">
        <v>5000</v>
      </c>
      <c r="AQ140" s="1405">
        <v>0</v>
      </c>
      <c r="AR140" s="1405">
        <v>0</v>
      </c>
      <c r="AS140" s="1296">
        <v>1.02</v>
      </c>
      <c r="AT140" s="1296">
        <v>0.94</v>
      </c>
      <c r="AU140" s="1296">
        <v>0</v>
      </c>
      <c r="AV140" s="1290"/>
      <c r="AW140" s="1290"/>
      <c r="AX140" s="1290"/>
      <c r="AY140" s="1290"/>
      <c r="AZ140" s="1290"/>
      <c r="BA140" s="1290"/>
      <c r="BB140" s="1290"/>
      <c r="BC140" s="1290"/>
      <c r="BD140" s="204">
        <v>2000</v>
      </c>
      <c r="BE140" s="1405">
        <v>0</v>
      </c>
      <c r="BF140" s="1405">
        <v>0</v>
      </c>
      <c r="BG140" s="204">
        <v>1.32</v>
      </c>
      <c r="BH140" s="204">
        <v>1.22</v>
      </c>
      <c r="BI140" s="204">
        <v>0</v>
      </c>
      <c r="BJ140" s="1246"/>
      <c r="BK140" s="1246"/>
      <c r="BL140" s="1246"/>
      <c r="BM140" s="1246"/>
      <c r="BN140" s="1246"/>
      <c r="BO140" s="1246"/>
      <c r="BP140" s="1246"/>
      <c r="BQ140" s="1246"/>
    </row>
    <row r="141" spans="1:69" x14ac:dyDescent="0.25">
      <c r="A141" s="224">
        <v>24</v>
      </c>
      <c r="B141" s="198" t="s">
        <v>697</v>
      </c>
      <c r="C141" s="320" t="s">
        <v>3862</v>
      </c>
      <c r="D141" s="320"/>
      <c r="F141" s="1473" t="str">
        <f t="shared" ca="1" si="14"/>
        <v>$N$213:$S$224</v>
      </c>
      <c r="G141" s="1477" t="str">
        <f>diachivung($N$213:$S$224)</f>
        <v>$N$213:$S$224</v>
      </c>
      <c r="H141" s="1478" t="str">
        <f>diachivung($AB$213:$AG$224)</f>
        <v>$AB$213:$AG$224</v>
      </c>
      <c r="I141" s="1479" t="str">
        <f>diachivung($AP$213:$AU$223)</f>
        <v>$AP$213:$AU$223</v>
      </c>
      <c r="J141" s="1480" t="str">
        <f>diachivung($BD$213:$BI$223)</f>
        <v>$BD$213:$BI$223</v>
      </c>
      <c r="K141" s="38"/>
      <c r="L141" s="38"/>
      <c r="M141" s="38"/>
      <c r="N141" s="1407">
        <v>8000</v>
      </c>
      <c r="O141" s="1408">
        <v>1.21</v>
      </c>
      <c r="P141" s="1408">
        <v>1.02</v>
      </c>
      <c r="Q141" s="1408">
        <v>0.82</v>
      </c>
      <c r="R141" s="1408">
        <v>0.72</v>
      </c>
      <c r="S141" s="1408">
        <f>S142</f>
        <v>1.22</v>
      </c>
      <c r="T141" s="1265"/>
      <c r="U141" s="1265"/>
      <c r="V141" s="1265"/>
      <c r="W141" s="1265"/>
      <c r="X141" s="1265"/>
      <c r="Y141" s="1265"/>
      <c r="Z141" s="1265"/>
      <c r="AA141" s="1265"/>
      <c r="AB141" s="1381">
        <v>5000</v>
      </c>
      <c r="AC141" s="1381">
        <v>1.52</v>
      </c>
      <c r="AD141" s="1381">
        <v>1.26</v>
      </c>
      <c r="AE141" s="1381">
        <v>1.02</v>
      </c>
      <c r="AF141" s="1381">
        <v>0.94</v>
      </c>
      <c r="AG141" s="1581">
        <f>AG142</f>
        <v>1.06</v>
      </c>
      <c r="AH141" s="1280"/>
      <c r="AI141" s="1280"/>
      <c r="AJ141" s="1280"/>
      <c r="AK141" s="1280"/>
      <c r="AL141" s="1280"/>
      <c r="AM141" s="1280"/>
      <c r="AN141" s="1280"/>
      <c r="AO141" s="1280"/>
      <c r="AP141" s="1347">
        <v>2000</v>
      </c>
      <c r="AQ141" s="1405">
        <v>0</v>
      </c>
      <c r="AR141" s="1405">
        <v>0</v>
      </c>
      <c r="AS141" s="1296">
        <v>1.32</v>
      </c>
      <c r="AT141" s="1296">
        <v>1.22</v>
      </c>
      <c r="AU141" s="1296">
        <v>0</v>
      </c>
      <c r="AV141" s="1290"/>
      <c r="AW141" s="1290"/>
      <c r="AX141" s="1290"/>
      <c r="AY141" s="1290"/>
      <c r="AZ141" s="1290"/>
      <c r="BA141" s="1290"/>
      <c r="BB141" s="1290"/>
      <c r="BC141" s="1290"/>
      <c r="BD141" s="204">
        <v>1000</v>
      </c>
      <c r="BE141" s="1405">
        <v>0</v>
      </c>
      <c r="BF141" s="1405">
        <v>0</v>
      </c>
      <c r="BG141" s="204">
        <v>1.55</v>
      </c>
      <c r="BH141" s="204">
        <v>1.44</v>
      </c>
      <c r="BI141" s="204">
        <v>1.06</v>
      </c>
      <c r="BJ141" s="1246"/>
      <c r="BK141" s="1246"/>
      <c r="BL141" s="1246"/>
      <c r="BM141" s="1246"/>
      <c r="BN141" s="1246"/>
      <c r="BO141" s="1246"/>
      <c r="BP141" s="1246"/>
      <c r="BQ141" s="1246"/>
    </row>
    <row r="142" spans="1:69" x14ac:dyDescent="0.25">
      <c r="A142" s="224">
        <v>25</v>
      </c>
      <c r="B142" s="198" t="s">
        <v>116</v>
      </c>
      <c r="C142" s="320" t="s">
        <v>3863</v>
      </c>
      <c r="D142" s="320"/>
      <c r="F142" s="1473" t="str">
        <f t="shared" ca="1" si="14"/>
        <v>$N$258:$S$269</v>
      </c>
      <c r="G142" s="1477" t="str">
        <f>diachivung($N$258:$S$269)</f>
        <v>$N$258:$S$269</v>
      </c>
      <c r="H142" s="1478" t="str">
        <f>diachivung($AB$258:$AG$269)</f>
        <v>$AB$258:$AG$269</v>
      </c>
      <c r="I142" s="1479" t="str">
        <f>diachivung($AP$258:$AU$268)</f>
        <v>$AP$258:$AU$268</v>
      </c>
      <c r="J142" s="1480" t="str">
        <f>diachivung($BD$258:$BI$268)</f>
        <v>$BD$258:$BI$268</v>
      </c>
      <c r="K142" s="38"/>
      <c r="L142" s="38"/>
      <c r="M142" s="38"/>
      <c r="N142" s="1407">
        <v>5000</v>
      </c>
      <c r="O142" s="1408">
        <v>1.52</v>
      </c>
      <c r="P142" s="1408">
        <v>1.26</v>
      </c>
      <c r="Q142" s="1408">
        <v>1.04</v>
      </c>
      <c r="R142" s="1408">
        <v>0.91</v>
      </c>
      <c r="S142" s="1408">
        <f>S143</f>
        <v>1.22</v>
      </c>
      <c r="T142" s="1265"/>
      <c r="U142" s="1265"/>
      <c r="V142" s="1265"/>
      <c r="W142" s="1265"/>
      <c r="X142" s="1265"/>
      <c r="Y142" s="1265"/>
      <c r="Z142" s="1265"/>
      <c r="AA142" s="1265"/>
      <c r="AB142" s="1381">
        <v>2000</v>
      </c>
      <c r="AC142" s="1381">
        <v>1.96</v>
      </c>
      <c r="AD142" s="1381">
        <v>1.64</v>
      </c>
      <c r="AE142" s="1381">
        <v>1.32</v>
      </c>
      <c r="AF142" s="1381">
        <v>1.22</v>
      </c>
      <c r="AG142" s="1381">
        <f>AG143</f>
        <v>1.06</v>
      </c>
      <c r="AH142" s="1280"/>
      <c r="AI142" s="1280"/>
      <c r="AJ142" s="1280"/>
      <c r="AK142" s="1280"/>
      <c r="AL142" s="1280"/>
      <c r="AM142" s="1280"/>
      <c r="AN142" s="1280"/>
      <c r="AO142" s="1280"/>
      <c r="AP142" s="1347">
        <v>1000</v>
      </c>
      <c r="AQ142" s="1405">
        <v>0</v>
      </c>
      <c r="AR142" s="1405">
        <v>0</v>
      </c>
      <c r="AS142" s="1296">
        <v>1.55</v>
      </c>
      <c r="AT142" s="1296">
        <v>1.44</v>
      </c>
      <c r="AU142" s="1296">
        <v>1.06</v>
      </c>
      <c r="AV142" s="1290"/>
      <c r="AW142" s="1290"/>
      <c r="AX142" s="1290"/>
      <c r="AY142" s="1290"/>
      <c r="AZ142" s="1290"/>
      <c r="BA142" s="1290"/>
      <c r="BB142" s="1290"/>
      <c r="BC142" s="1290"/>
      <c r="BD142" s="204">
        <v>500</v>
      </c>
      <c r="BE142" s="1405">
        <v>0</v>
      </c>
      <c r="BF142" s="1405">
        <v>0</v>
      </c>
      <c r="BG142" s="204">
        <v>1.77</v>
      </c>
      <c r="BH142" s="204">
        <v>1.61</v>
      </c>
      <c r="BI142" s="204">
        <v>1.24</v>
      </c>
      <c r="BJ142" s="1246"/>
      <c r="BK142" s="1246"/>
      <c r="BL142" s="1246"/>
      <c r="BM142" s="1246"/>
      <c r="BN142" s="1246"/>
      <c r="BO142" s="1246"/>
      <c r="BP142" s="1246"/>
      <c r="BQ142" s="1246"/>
    </row>
    <row r="143" spans="1:69" s="1495" customFormat="1" x14ac:dyDescent="0.25">
      <c r="A143" s="1493">
        <v>26</v>
      </c>
      <c r="B143" s="1494" t="s">
        <v>3688</v>
      </c>
      <c r="C143" s="320" t="s">
        <v>3855</v>
      </c>
      <c r="D143" s="320"/>
      <c r="F143" s="1474" t="str">
        <f t="shared" ca="1" si="14"/>
        <v>$N$79:$S$90</v>
      </c>
      <c r="G143" s="1496" t="str">
        <f ca="1">OFFSET(G144,i_LoaiCT-1,0,)</f>
        <v>$N$79:$S$90</v>
      </c>
      <c r="H143" s="1497" t="str">
        <f ca="1">OFFSET(H144,i_LoaiCT-1,0,)</f>
        <v>$AB$79:$AG$90</v>
      </c>
      <c r="I143" s="1498" t="str">
        <f ca="1">OFFSET(I144,i_LoaiCT-1,0,)</f>
        <v>$AP$79:$AU$89</v>
      </c>
      <c r="J143" s="1499" t="str">
        <f ca="1">OFFSET(J144,i_LoaiCT-1,0,)</f>
        <v>$BD$79:$BI$89</v>
      </c>
      <c r="K143" s="1499"/>
      <c r="L143" s="1499"/>
      <c r="M143" s="1499"/>
      <c r="N143" s="1500">
        <v>2000</v>
      </c>
      <c r="O143" s="1511">
        <v>2.0299999999999998</v>
      </c>
      <c r="P143" s="1511">
        <v>1.7</v>
      </c>
      <c r="Q143" s="1511">
        <v>1.42</v>
      </c>
      <c r="R143" s="1511">
        <v>1.25</v>
      </c>
      <c r="S143" s="1408">
        <f>S144</f>
        <v>1.22</v>
      </c>
      <c r="T143" s="1502"/>
      <c r="U143" s="1502"/>
      <c r="V143" s="1502"/>
      <c r="W143" s="1502"/>
      <c r="X143" s="1502"/>
      <c r="Y143" s="1502"/>
      <c r="Z143" s="1502"/>
      <c r="AA143" s="1502"/>
      <c r="AB143" s="1503">
        <v>1000</v>
      </c>
      <c r="AC143" s="1503">
        <v>2.3199999999999998</v>
      </c>
      <c r="AD143" s="1503">
        <v>1.93</v>
      </c>
      <c r="AE143" s="1503">
        <v>1.55</v>
      </c>
      <c r="AF143" s="1503">
        <v>1.44</v>
      </c>
      <c r="AG143" s="1503">
        <v>1.06</v>
      </c>
      <c r="AH143" s="1504"/>
      <c r="AI143" s="1504"/>
      <c r="AJ143" s="1504"/>
      <c r="AK143" s="1504"/>
      <c r="AL143" s="1504"/>
      <c r="AM143" s="1504"/>
      <c r="AN143" s="1504"/>
      <c r="AO143" s="1504"/>
      <c r="AP143" s="1506">
        <v>500</v>
      </c>
      <c r="AQ143" s="1512">
        <v>0</v>
      </c>
      <c r="AR143" s="1512">
        <v>0</v>
      </c>
      <c r="AS143" s="1507">
        <v>1.77</v>
      </c>
      <c r="AT143" s="1507">
        <v>1.61</v>
      </c>
      <c r="AU143" s="1507">
        <v>1.24</v>
      </c>
      <c r="AV143" s="1509"/>
      <c r="AW143" s="1509"/>
      <c r="AX143" s="1509"/>
      <c r="AY143" s="1509"/>
      <c r="AZ143" s="1509"/>
      <c r="BA143" s="1509"/>
      <c r="BB143" s="1509"/>
      <c r="BC143" s="1509"/>
      <c r="BD143" s="1508">
        <v>200</v>
      </c>
      <c r="BE143" s="1512">
        <v>0</v>
      </c>
      <c r="BF143" s="1512">
        <v>0</v>
      </c>
      <c r="BG143" s="1508">
        <v>1.94</v>
      </c>
      <c r="BH143" s="1508">
        <v>1.75</v>
      </c>
      <c r="BI143" s="1508">
        <v>1.46</v>
      </c>
      <c r="BJ143" s="1510"/>
      <c r="BK143" s="1510"/>
      <c r="BL143" s="1510"/>
      <c r="BM143" s="1510"/>
      <c r="BN143" s="1510"/>
      <c r="BO143" s="1510"/>
      <c r="BP143" s="1510"/>
      <c r="BQ143" s="1510"/>
    </row>
    <row r="144" spans="1:69" x14ac:dyDescent="0.25">
      <c r="A144" s="224">
        <v>27</v>
      </c>
      <c r="B144" s="198" t="s">
        <v>112</v>
      </c>
      <c r="C144" s="320" t="s">
        <v>3855</v>
      </c>
      <c r="D144" s="320"/>
      <c r="F144" s="1473" t="str">
        <f t="shared" ca="1" si="14"/>
        <v>$N$79:$S$90</v>
      </c>
      <c r="G144" s="1477" t="str">
        <f>diachivung($N$79:$S$90)</f>
        <v>$N$79:$S$90</v>
      </c>
      <c r="H144" s="1478" t="str">
        <f>diachivung($AB$79:$AG$90)</f>
        <v>$AB$79:$AG$90</v>
      </c>
      <c r="I144" s="1479" t="str">
        <f>diachivung($AP$79:$AU$89)</f>
        <v>$AP$79:$AU$89</v>
      </c>
      <c r="J144" s="1480" t="str">
        <f>diachivung($BD$79:$BI$89)</f>
        <v>$BD$79:$BI$89</v>
      </c>
      <c r="K144" s="38"/>
      <c r="L144" s="38"/>
      <c r="M144" s="38"/>
      <c r="N144" s="1407">
        <v>1000</v>
      </c>
      <c r="O144" s="1408">
        <v>2.4</v>
      </c>
      <c r="P144" s="1408">
        <v>2.0099999999999998</v>
      </c>
      <c r="Q144" s="1408">
        <v>1.66</v>
      </c>
      <c r="R144" s="1408">
        <v>1.47</v>
      </c>
      <c r="S144" s="1408">
        <f>S145</f>
        <v>1.22</v>
      </c>
      <c r="T144" s="1265"/>
      <c r="U144" s="1265"/>
      <c r="V144" s="1265"/>
      <c r="W144" s="1265"/>
      <c r="X144" s="1265"/>
      <c r="Y144" s="1265"/>
      <c r="Z144" s="1265"/>
      <c r="AA144" s="1265"/>
      <c r="AB144" s="1381">
        <v>500</v>
      </c>
      <c r="AC144" s="1381">
        <v>2.65</v>
      </c>
      <c r="AD144" s="1381">
        <v>2.2000000000000002</v>
      </c>
      <c r="AE144" s="1381">
        <v>1.77</v>
      </c>
      <c r="AF144" s="1381">
        <v>1.61</v>
      </c>
      <c r="AG144" s="1381">
        <v>1.24</v>
      </c>
      <c r="AH144" s="1280"/>
      <c r="AI144" s="1280"/>
      <c r="AJ144" s="1280"/>
      <c r="AK144" s="1280"/>
      <c r="AL144" s="1280"/>
      <c r="AM144" s="1280"/>
      <c r="AN144" s="1280"/>
      <c r="AO144" s="1280"/>
      <c r="AP144" s="1347">
        <v>200</v>
      </c>
      <c r="AQ144" s="1405">
        <v>0</v>
      </c>
      <c r="AR144" s="1405">
        <v>0</v>
      </c>
      <c r="AS144" s="1296">
        <v>1.94</v>
      </c>
      <c r="AT144" s="1296">
        <v>1.75</v>
      </c>
      <c r="AU144" s="1296">
        <v>1.46</v>
      </c>
      <c r="AV144" s="1290"/>
      <c r="AW144" s="1290"/>
      <c r="AX144" s="1290"/>
      <c r="AY144" s="1290"/>
      <c r="AZ144" s="1290"/>
      <c r="BA144" s="1290"/>
      <c r="BB144" s="1290"/>
      <c r="BC144" s="1290"/>
      <c r="BD144" s="204">
        <v>100</v>
      </c>
      <c r="BE144" s="1405">
        <v>0</v>
      </c>
      <c r="BF144" s="1405">
        <v>0</v>
      </c>
      <c r="BG144" s="204">
        <v>2.15</v>
      </c>
      <c r="BH144" s="204">
        <v>1.92</v>
      </c>
      <c r="BI144" s="204">
        <v>1.72</v>
      </c>
      <c r="BJ144" s="1246"/>
      <c r="BK144" s="1246"/>
      <c r="BL144" s="1246"/>
      <c r="BM144" s="1246"/>
      <c r="BN144" s="1246"/>
      <c r="BO144" s="1246"/>
      <c r="BP144" s="1246"/>
      <c r="BQ144" s="1246"/>
    </row>
    <row r="145" spans="1:69" x14ac:dyDescent="0.25">
      <c r="A145" s="224">
        <v>28</v>
      </c>
      <c r="B145" s="198" t="s">
        <v>113</v>
      </c>
      <c r="C145" s="320" t="s">
        <v>3864</v>
      </c>
      <c r="D145" s="320"/>
      <c r="F145" s="1473" t="str">
        <f t="shared" ca="1" si="14"/>
        <v>$N$124:$S$135</v>
      </c>
      <c r="G145" s="1477" t="str">
        <f>diachivung($N$124:$S$135)</f>
        <v>$N$124:$S$135</v>
      </c>
      <c r="H145" s="1478" t="str">
        <f>diachivung($AB$124:$AG$135)</f>
        <v>$AB$124:$AG$135</v>
      </c>
      <c r="I145" s="1479" t="str">
        <f>diachivung($AP$124:$AU$134)</f>
        <v>$AP$124:$AU$134</v>
      </c>
      <c r="J145" s="1480" t="str">
        <f>diachivung($BD$124:$BI$134)</f>
        <v>$BD$124:$BI$134</v>
      </c>
      <c r="K145" s="38"/>
      <c r="L145" s="38"/>
      <c r="M145" s="38"/>
      <c r="N145" s="1407">
        <v>500</v>
      </c>
      <c r="O145" s="1408">
        <v>2.75</v>
      </c>
      <c r="P145" s="1408">
        <v>2.2799999999999998</v>
      </c>
      <c r="Q145" s="1408">
        <v>1.9</v>
      </c>
      <c r="R145" s="1408">
        <v>1.68</v>
      </c>
      <c r="S145" s="1408">
        <v>1.22</v>
      </c>
      <c r="T145" s="1265"/>
      <c r="U145" s="1265"/>
      <c r="V145" s="1265"/>
      <c r="W145" s="1265"/>
      <c r="X145" s="1265"/>
      <c r="Y145" s="1265"/>
      <c r="Z145" s="1265"/>
      <c r="AA145" s="1265"/>
      <c r="AB145" s="1381">
        <v>200</v>
      </c>
      <c r="AC145" s="1381">
        <v>2.91</v>
      </c>
      <c r="AD145" s="1381">
        <v>2.41</v>
      </c>
      <c r="AE145" s="1381">
        <v>1.94</v>
      </c>
      <c r="AF145" s="1381">
        <v>1.75</v>
      </c>
      <c r="AG145" s="1381">
        <v>1.46</v>
      </c>
      <c r="AH145" s="1280"/>
      <c r="AI145" s="1280"/>
      <c r="AJ145" s="1280"/>
      <c r="AK145" s="1280"/>
      <c r="AL145" s="1280"/>
      <c r="AM145" s="1280"/>
      <c r="AN145" s="1280"/>
      <c r="AO145" s="1280"/>
      <c r="AP145" s="1347">
        <v>100</v>
      </c>
      <c r="AQ145" s="1405">
        <v>0</v>
      </c>
      <c r="AR145" s="1405">
        <v>0</v>
      </c>
      <c r="AS145" s="1296">
        <v>2.15</v>
      </c>
      <c r="AT145" s="1296">
        <v>1.92</v>
      </c>
      <c r="AU145" s="1296">
        <v>1.72</v>
      </c>
      <c r="AV145" s="1290"/>
      <c r="AW145" s="1290"/>
      <c r="AX145" s="1290"/>
      <c r="AY145" s="1290"/>
      <c r="AZ145" s="1290"/>
      <c r="BA145" s="1290"/>
      <c r="BB145" s="1290"/>
      <c r="BC145" s="1290"/>
      <c r="BD145" s="204">
        <v>50</v>
      </c>
      <c r="BE145" s="1405">
        <v>0</v>
      </c>
      <c r="BF145" s="1405">
        <v>0</v>
      </c>
      <c r="BG145" s="204">
        <v>2.35</v>
      </c>
      <c r="BH145" s="204">
        <v>2.11</v>
      </c>
      <c r="BI145" s="204">
        <v>1.87</v>
      </c>
      <c r="BJ145" s="1246"/>
      <c r="BK145" s="1246"/>
      <c r="BL145" s="1246"/>
      <c r="BM145" s="1246"/>
      <c r="BN145" s="1246"/>
      <c r="BO145" s="1246"/>
      <c r="BP145" s="1246"/>
      <c r="BQ145" s="1246"/>
    </row>
    <row r="146" spans="1:69" x14ac:dyDescent="0.25">
      <c r="A146" s="224">
        <v>29</v>
      </c>
      <c r="B146" s="198" t="s">
        <v>3686</v>
      </c>
      <c r="C146" s="320" t="s">
        <v>3865</v>
      </c>
      <c r="D146" s="320"/>
      <c r="F146" s="1473" t="str">
        <f t="shared" ca="1" si="14"/>
        <v>$N$183:$S$194</v>
      </c>
      <c r="G146" s="1477" t="str">
        <f>diachivung($N$183:$S$194)</f>
        <v>$N$183:$S$194</v>
      </c>
      <c r="H146" s="1478" t="str">
        <f>diachivung($AB$183:$AG$194)</f>
        <v>$AB$183:$AG$194</v>
      </c>
      <c r="I146" s="1479" t="str">
        <f>diachivung($AP$183:$AU$193)</f>
        <v>$AP$183:$AU$193</v>
      </c>
      <c r="J146" s="1480" t="str">
        <f>diachivung($BD$183:$BI$193)</f>
        <v>$BD$183:$BI$193</v>
      </c>
      <c r="K146" s="38"/>
      <c r="L146" s="38"/>
      <c r="M146" s="38"/>
      <c r="N146" s="1407">
        <v>200</v>
      </c>
      <c r="O146" s="1408">
        <v>3.01</v>
      </c>
      <c r="P146" s="1408">
        <v>2.5</v>
      </c>
      <c r="Q146" s="1408">
        <v>2.0299999999999998</v>
      </c>
      <c r="R146" s="1408">
        <v>1.79</v>
      </c>
      <c r="S146" s="1408">
        <v>1.47</v>
      </c>
      <c r="T146" s="1265"/>
      <c r="U146" s="1265"/>
      <c r="V146" s="1265"/>
      <c r="W146" s="1265"/>
      <c r="X146" s="1265"/>
      <c r="Y146" s="1265"/>
      <c r="Z146" s="1265"/>
      <c r="AA146" s="1265"/>
      <c r="AB146" s="1381">
        <v>100</v>
      </c>
      <c r="AC146" s="1381">
        <v>3.21</v>
      </c>
      <c r="AD146" s="1381">
        <v>2.67</v>
      </c>
      <c r="AE146" s="1381">
        <v>2.15</v>
      </c>
      <c r="AF146" s="1381">
        <v>1.92</v>
      </c>
      <c r="AG146" s="1381">
        <v>1.72</v>
      </c>
      <c r="AH146" s="1280"/>
      <c r="AI146" s="1280"/>
      <c r="AJ146" s="1280"/>
      <c r="AK146" s="1280"/>
      <c r="AL146" s="1280"/>
      <c r="AM146" s="1280"/>
      <c r="AN146" s="1280"/>
      <c r="AO146" s="1280"/>
      <c r="AP146" s="1347">
        <v>50</v>
      </c>
      <c r="AQ146" s="1405">
        <v>0</v>
      </c>
      <c r="AR146" s="1405">
        <v>0</v>
      </c>
      <c r="AS146" s="1296">
        <v>2.35</v>
      </c>
      <c r="AT146" s="1296">
        <v>2.11</v>
      </c>
      <c r="AU146" s="1296">
        <v>1.87</v>
      </c>
      <c r="AV146" s="1290"/>
      <c r="AW146" s="1290"/>
      <c r="AX146" s="1290"/>
      <c r="AY146" s="1290"/>
      <c r="AZ146" s="1290"/>
      <c r="BA146" s="1290"/>
      <c r="BB146" s="1290"/>
      <c r="BC146" s="1290"/>
      <c r="BD146" s="204">
        <v>20</v>
      </c>
      <c r="BE146" s="1405">
        <v>0</v>
      </c>
      <c r="BF146" s="1405">
        <v>0</v>
      </c>
      <c r="BG146" s="204">
        <v>2.76</v>
      </c>
      <c r="BH146" s="204">
        <v>2.4900000000000002</v>
      </c>
      <c r="BI146" s="204">
        <v>2.21</v>
      </c>
      <c r="BJ146" s="1246"/>
      <c r="BK146" s="1246"/>
      <c r="BL146" s="1246"/>
      <c r="BM146" s="1246"/>
      <c r="BN146" s="1246"/>
      <c r="BO146" s="1246"/>
      <c r="BP146" s="1246"/>
      <c r="BQ146" s="1246"/>
    </row>
    <row r="147" spans="1:69" x14ac:dyDescent="0.25">
      <c r="A147" s="224">
        <v>30</v>
      </c>
      <c r="B147" s="198" t="s">
        <v>697</v>
      </c>
      <c r="C147" s="320" t="s">
        <v>3866</v>
      </c>
      <c r="D147" s="320"/>
      <c r="F147" s="1473" t="str">
        <f t="shared" ca="1" si="14"/>
        <v>$N$228:$S$239</v>
      </c>
      <c r="G147" s="1477" t="str">
        <f>diachivung($N$228:$S$239)</f>
        <v>$N$228:$S$239</v>
      </c>
      <c r="H147" s="1478" t="str">
        <f>diachivung($AB$228:$AG$239)</f>
        <v>$AB$228:$AG$239</v>
      </c>
      <c r="I147" s="1479" t="str">
        <f>diachivung($AP$228:$AU$238)</f>
        <v>$AP$228:$AU$238</v>
      </c>
      <c r="J147" s="1480" t="str">
        <f>diachivung($BD$228:$BI$238)</f>
        <v>$BD$228:$BI$238</v>
      </c>
      <c r="K147" s="38"/>
      <c r="L147" s="38"/>
      <c r="M147" s="38"/>
      <c r="N147" s="1407">
        <v>100</v>
      </c>
      <c r="O147" s="1408">
        <v>3.32</v>
      </c>
      <c r="P147" s="1408">
        <v>2.77</v>
      </c>
      <c r="Q147" s="1408">
        <v>2.2400000000000002</v>
      </c>
      <c r="R147" s="1408">
        <v>1.99</v>
      </c>
      <c r="S147" s="1408">
        <v>1.72</v>
      </c>
      <c r="T147" s="1265"/>
      <c r="U147" s="1265"/>
      <c r="V147" s="1265"/>
      <c r="W147" s="1265"/>
      <c r="X147" s="1265"/>
      <c r="Y147" s="1265"/>
      <c r="Z147" s="1265"/>
      <c r="AA147" s="1265"/>
      <c r="AB147" s="1381">
        <v>50</v>
      </c>
      <c r="AC147" s="1381">
        <v>3.53</v>
      </c>
      <c r="AD147" s="1381">
        <v>2.92</v>
      </c>
      <c r="AE147" s="1381">
        <v>2.35</v>
      </c>
      <c r="AF147" s="1381">
        <v>2.11</v>
      </c>
      <c r="AG147" s="1381">
        <v>1.87</v>
      </c>
      <c r="AH147" s="1280"/>
      <c r="AI147" s="1280"/>
      <c r="AJ147" s="1280"/>
      <c r="AK147" s="1280"/>
      <c r="AL147" s="1280"/>
      <c r="AM147" s="1280"/>
      <c r="AN147" s="1280"/>
      <c r="AO147" s="1280"/>
      <c r="AP147" s="1347">
        <v>20</v>
      </c>
      <c r="AQ147" s="1405">
        <v>0</v>
      </c>
      <c r="AR147" s="1405">
        <v>0</v>
      </c>
      <c r="AS147" s="1296">
        <v>2.76</v>
      </c>
      <c r="AT147" s="1296">
        <v>2.4900000000000002</v>
      </c>
      <c r="AU147" s="1296">
        <v>2.21</v>
      </c>
      <c r="AV147" s="1290"/>
      <c r="AW147" s="1290"/>
      <c r="AX147" s="1290"/>
      <c r="AY147" s="1290"/>
      <c r="AZ147" s="1290"/>
      <c r="BA147" s="1290"/>
      <c r="BB147" s="1290"/>
      <c r="BC147" s="1290"/>
      <c r="BD147" s="204">
        <v>10</v>
      </c>
      <c r="BE147" s="1405">
        <v>0</v>
      </c>
      <c r="BF147" s="1405">
        <v>0</v>
      </c>
      <c r="BG147" s="204">
        <v>2.99</v>
      </c>
      <c r="BH147" s="204">
        <v>2.69</v>
      </c>
      <c r="BI147" s="204">
        <v>2.39</v>
      </c>
      <c r="BJ147" s="1246"/>
      <c r="BK147" s="1246"/>
      <c r="BL147" s="1246"/>
      <c r="BM147" s="1246"/>
      <c r="BN147" s="1246"/>
      <c r="BO147" s="1246"/>
      <c r="BP147" s="1246"/>
      <c r="BQ147" s="1246"/>
    </row>
    <row r="148" spans="1:69" x14ac:dyDescent="0.25">
      <c r="A148" s="224">
        <v>31</v>
      </c>
      <c r="B148" s="198" t="s">
        <v>116</v>
      </c>
      <c r="C148" s="320" t="s">
        <v>3867</v>
      </c>
      <c r="D148" s="320"/>
      <c r="F148" s="1473" t="str">
        <f t="shared" ca="1" si="14"/>
        <v>$N$273:$S$284</v>
      </c>
      <c r="G148" s="1477" t="str">
        <f>diachivung($N$273:$S$284)</f>
        <v>$N$273:$S$284</v>
      </c>
      <c r="H148" s="1478" t="str">
        <f>diachivung($AB$273:$AG$284)</f>
        <v>$AB$273:$AG$284</v>
      </c>
      <c r="I148" s="1479" t="str">
        <f>diachivung($AP$273:$AU$283)</f>
        <v>$AP$273:$AU$283</v>
      </c>
      <c r="J148" s="1480" t="str">
        <f>diachivung($BD$273:$BI$283)</f>
        <v>$BD$273:$BI$283</v>
      </c>
      <c r="K148" s="38"/>
      <c r="L148" s="38"/>
      <c r="M148" s="38"/>
      <c r="N148" s="1407">
        <v>50</v>
      </c>
      <c r="O148" s="1408">
        <v>3.66</v>
      </c>
      <c r="P148" s="1408">
        <v>3.02</v>
      </c>
      <c r="Q148" s="1408">
        <v>2.4300000000000002</v>
      </c>
      <c r="R148" s="1408">
        <v>2.16</v>
      </c>
      <c r="S148" s="1408">
        <v>1.89</v>
      </c>
      <c r="T148" s="1265"/>
      <c r="U148" s="1265"/>
      <c r="V148" s="1265"/>
      <c r="W148" s="1265"/>
      <c r="X148" s="1265"/>
      <c r="Y148" s="1265"/>
      <c r="Z148" s="1265"/>
      <c r="AA148" s="1265"/>
      <c r="AB148" s="1381">
        <v>20</v>
      </c>
      <c r="AC148" s="1381">
        <v>4.12</v>
      </c>
      <c r="AD148" s="1381">
        <v>3.44</v>
      </c>
      <c r="AE148" s="1381">
        <v>2.76</v>
      </c>
      <c r="AF148" s="1381">
        <v>2.4900000000000002</v>
      </c>
      <c r="AG148" s="1381">
        <v>2.21</v>
      </c>
      <c r="AH148" s="1280"/>
      <c r="AI148" s="1280"/>
      <c r="AJ148" s="1280"/>
      <c r="AK148" s="1280"/>
      <c r="AL148" s="1280"/>
      <c r="AM148" s="1280"/>
      <c r="AN148" s="1280"/>
      <c r="AO148" s="1280"/>
      <c r="AP148" s="1347">
        <v>10</v>
      </c>
      <c r="AQ148" s="1405">
        <v>0</v>
      </c>
      <c r="AR148" s="1405">
        <v>0</v>
      </c>
      <c r="AS148" s="1296">
        <v>2.99</v>
      </c>
      <c r="AT148" s="1296">
        <v>2.69</v>
      </c>
      <c r="AU148" s="1296">
        <v>2.39</v>
      </c>
      <c r="AV148" s="1290"/>
      <c r="AW148" s="1290"/>
      <c r="AX148" s="1290"/>
      <c r="AY148" s="1290"/>
      <c r="AZ148" s="1290"/>
      <c r="BA148" s="1290"/>
      <c r="BB148" s="1290"/>
      <c r="BC148" s="1290"/>
      <c r="BD148" s="204">
        <v>7</v>
      </c>
      <c r="BE148" s="1405">
        <v>0</v>
      </c>
      <c r="BF148" s="1405">
        <v>0</v>
      </c>
      <c r="BG148" s="204">
        <v>3.07</v>
      </c>
      <c r="BH148" s="204">
        <v>2.76</v>
      </c>
      <c r="BI148" s="204">
        <v>2.4500000000000002</v>
      </c>
      <c r="BJ148" s="1246"/>
      <c r="BK148" s="1246"/>
      <c r="BL148" s="1246"/>
      <c r="BM148" s="1246"/>
      <c r="BN148" s="1246"/>
      <c r="BO148" s="1246"/>
      <c r="BP148" s="1246"/>
      <c r="BQ148" s="1246"/>
    </row>
    <row r="149" spans="1:69" s="1495" customFormat="1" x14ac:dyDescent="0.25">
      <c r="A149" s="1493">
        <v>32</v>
      </c>
      <c r="B149" s="1494" t="s">
        <v>3694</v>
      </c>
      <c r="C149" s="320">
        <v>0</v>
      </c>
      <c r="D149" s="320"/>
      <c r="F149" s="1474">
        <f t="shared" ca="1" si="14"/>
        <v>0</v>
      </c>
      <c r="G149" s="1496"/>
      <c r="H149" s="1497"/>
      <c r="I149" s="1498"/>
      <c r="J149" s="1499"/>
      <c r="K149" s="1499"/>
      <c r="L149" s="1499"/>
      <c r="M149" s="1499"/>
      <c r="N149" s="1500">
        <v>20</v>
      </c>
      <c r="O149" s="1511">
        <v>4.2699999999999996</v>
      </c>
      <c r="P149" s="1511">
        <v>3.57</v>
      </c>
      <c r="Q149" s="1511">
        <v>2.9</v>
      </c>
      <c r="R149" s="1511">
        <v>2.57</v>
      </c>
      <c r="S149" s="1511">
        <v>2.25</v>
      </c>
      <c r="T149" s="1502"/>
      <c r="U149" s="1502"/>
      <c r="V149" s="1502"/>
      <c r="W149" s="1502"/>
      <c r="X149" s="1502"/>
      <c r="Y149" s="1502"/>
      <c r="Z149" s="1502"/>
      <c r="AA149" s="1502"/>
      <c r="AB149" s="1503">
        <v>10</v>
      </c>
      <c r="AC149" s="1503">
        <v>4.67</v>
      </c>
      <c r="AD149" s="1503">
        <v>3.73</v>
      </c>
      <c r="AE149" s="1503">
        <v>2.99</v>
      </c>
      <c r="AF149" s="1503">
        <v>2.69</v>
      </c>
      <c r="AG149" s="1503">
        <v>2.39</v>
      </c>
      <c r="AH149" s="1504"/>
      <c r="AI149" s="1504"/>
      <c r="AJ149" s="1504"/>
      <c r="AK149" s="1504"/>
      <c r="AL149" s="1504"/>
      <c r="AM149" s="1504"/>
      <c r="AN149" s="1504"/>
      <c r="AO149" s="1504"/>
      <c r="AP149" s="1506">
        <v>7</v>
      </c>
      <c r="AQ149" s="1512">
        <v>0</v>
      </c>
      <c r="AR149" s="1512">
        <v>0</v>
      </c>
      <c r="AS149" s="1507">
        <v>3.07</v>
      </c>
      <c r="AT149" s="1507">
        <v>2.76</v>
      </c>
      <c r="AU149" s="1507">
        <v>2.4500000000000002</v>
      </c>
      <c r="AV149" s="1509"/>
      <c r="AW149" s="1509"/>
      <c r="AX149" s="1509"/>
      <c r="AY149" s="1509"/>
      <c r="AZ149" s="1509"/>
      <c r="BA149" s="1509"/>
      <c r="BB149" s="1509"/>
      <c r="BC149" s="1509"/>
      <c r="BD149" s="1508">
        <v>3</v>
      </c>
      <c r="BE149" s="1512">
        <v>0</v>
      </c>
      <c r="BF149" s="1512">
        <v>0</v>
      </c>
      <c r="BG149" s="1508">
        <v>3.53</v>
      </c>
      <c r="BH149" s="1508">
        <v>3.17</v>
      </c>
      <c r="BI149" s="1508">
        <v>2.83</v>
      </c>
      <c r="BJ149" s="1510"/>
      <c r="BK149" s="1510"/>
      <c r="BL149" s="1510"/>
      <c r="BM149" s="1510"/>
      <c r="BN149" s="1510"/>
      <c r="BO149" s="1510"/>
      <c r="BP149" s="1510"/>
      <c r="BQ149" s="1510"/>
    </row>
    <row r="150" spans="1:69" ht="15.75" customHeight="1" x14ac:dyDescent="0.25">
      <c r="A150" s="224">
        <v>33</v>
      </c>
      <c r="B150" s="1580" t="s">
        <v>3839</v>
      </c>
      <c r="C150" s="1553" t="s">
        <v>3868</v>
      </c>
      <c r="D150" s="320"/>
      <c r="F150" s="1473" t="str">
        <f t="shared" ca="1" si="14"/>
        <v>$O$539:$AA$544</v>
      </c>
      <c r="G150" s="1477" t="str">
        <f>diachivung($O$539:$AA$544)</f>
        <v>$O$539:$AA$544</v>
      </c>
      <c r="H150" s="1577" t="str">
        <f>diachivung($AC$476:$AM$481)</f>
        <v>$AC$476:$AM$481</v>
      </c>
      <c r="I150" s="1577" t="str">
        <f>diachivung($AQ$476:$BA$481)</f>
        <v>$AQ$476:$BA$481</v>
      </c>
      <c r="J150" s="1577" t="str">
        <f>diachivung($BE$476:$BO$481)</f>
        <v>$BE$476:$BO$481</v>
      </c>
      <c r="K150" s="38"/>
      <c r="L150" s="38"/>
      <c r="M150" s="38"/>
      <c r="N150" s="1407">
        <v>10</v>
      </c>
      <c r="O150" s="1408">
        <v>4.7</v>
      </c>
      <c r="P150" s="1408">
        <v>3.87</v>
      </c>
      <c r="Q150" s="1408">
        <v>3.13</v>
      </c>
      <c r="R150" s="1408">
        <v>2.78</v>
      </c>
      <c r="S150" s="1408">
        <v>2.46</v>
      </c>
      <c r="T150" s="1265"/>
      <c r="U150" s="1265"/>
      <c r="V150" s="1265"/>
      <c r="W150" s="1265"/>
      <c r="X150" s="1265"/>
      <c r="Y150" s="1265"/>
      <c r="Z150" s="1265"/>
      <c r="AA150" s="1265"/>
      <c r="AB150" s="1436">
        <v>7</v>
      </c>
      <c r="AC150" s="1436">
        <v>0</v>
      </c>
      <c r="AD150" s="1436">
        <v>0</v>
      </c>
      <c r="AE150" s="1436">
        <v>3.07</v>
      </c>
      <c r="AF150" s="1436">
        <v>2.76</v>
      </c>
      <c r="AG150" s="1436">
        <v>2.4500000000000002</v>
      </c>
      <c r="AN150" s="1280"/>
      <c r="AO150" s="1280"/>
      <c r="BP150" s="1246"/>
      <c r="BQ150" s="1246"/>
    </row>
    <row r="151" spans="1:69" x14ac:dyDescent="0.25">
      <c r="A151" s="224">
        <v>34</v>
      </c>
      <c r="B151" s="1580" t="s">
        <v>3838</v>
      </c>
      <c r="C151" s="1553" t="s">
        <v>3869</v>
      </c>
      <c r="D151" s="320"/>
      <c r="F151" s="1473" t="str">
        <f t="shared" ca="1" si="14"/>
        <v>$O$549:$AA$554</v>
      </c>
      <c r="G151" s="1477" t="str">
        <f>diachivung($O$549:$AA$554)</f>
        <v>$O$549:$AA$554</v>
      </c>
      <c r="H151" s="1577" t="str">
        <f>diachivung($AC$320:$AO$325)</f>
        <v>$AC$320:$AO$325</v>
      </c>
      <c r="I151" s="1578" t="str">
        <f>diachivung($AQ$320:$BC$325)</f>
        <v>$AQ$320:$BC$325</v>
      </c>
      <c r="J151" s="551" t="str">
        <f>diachivung($BE$320:$BQ$325)</f>
        <v>$BE$320:$BQ$325</v>
      </c>
      <c r="K151" s="38"/>
      <c r="L151" s="38"/>
      <c r="M151" s="38"/>
      <c r="N151" s="1271" t="s">
        <v>173</v>
      </c>
      <c r="O151" s="1271"/>
      <c r="P151" s="1271"/>
      <c r="Q151" s="1271"/>
      <c r="R151" s="1272"/>
      <c r="S151" s="1272"/>
      <c r="T151" s="1386"/>
      <c r="U151" s="1386"/>
      <c r="V151" s="1386"/>
      <c r="W151" s="1265"/>
      <c r="X151" s="1265"/>
      <c r="Y151" s="1265"/>
      <c r="Z151" s="1265"/>
      <c r="AA151" s="1265"/>
      <c r="AB151" s="1437" t="s">
        <v>173</v>
      </c>
      <c r="AC151" s="1437"/>
      <c r="AD151" s="1437"/>
      <c r="AE151" s="1437"/>
      <c r="AF151" s="1438"/>
      <c r="AG151" s="1438"/>
      <c r="AH151" s="1438"/>
      <c r="AI151" s="1438"/>
      <c r="AJ151" s="1438"/>
      <c r="AK151" s="1280"/>
      <c r="AL151" s="1280"/>
      <c r="AM151" s="1280"/>
      <c r="AN151" s="1280"/>
      <c r="AO151" s="1280"/>
      <c r="AP151" s="1294" t="s">
        <v>173</v>
      </c>
      <c r="AQ151" s="1294"/>
      <c r="AR151" s="1294"/>
      <c r="AS151" s="1294"/>
      <c r="AT151" s="1295"/>
      <c r="AU151" s="1295"/>
      <c r="AV151" s="1295"/>
      <c r="AW151" s="1295"/>
      <c r="AX151" s="1295"/>
      <c r="AY151" s="1290"/>
      <c r="AZ151" s="1290"/>
      <c r="BA151" s="1290"/>
      <c r="BB151" s="1290"/>
      <c r="BC151" s="1290"/>
      <c r="BD151" s="1250" t="s">
        <v>173</v>
      </c>
      <c r="BE151" s="1250"/>
      <c r="BF151" s="1250"/>
      <c r="BG151" s="1250"/>
      <c r="BH151" s="1251"/>
      <c r="BI151" s="1251"/>
      <c r="BJ151" s="1251"/>
      <c r="BK151" s="1251"/>
      <c r="BL151" s="1251"/>
      <c r="BM151" s="1246"/>
      <c r="BN151" s="1246"/>
      <c r="BO151" s="1246"/>
      <c r="BP151" s="1246"/>
      <c r="BQ151" s="1246"/>
    </row>
    <row r="152" spans="1:69" x14ac:dyDescent="0.25">
      <c r="A152" s="224">
        <v>35</v>
      </c>
      <c r="B152" s="1188" t="s">
        <v>3684</v>
      </c>
      <c r="C152" s="320" t="s">
        <v>3870</v>
      </c>
      <c r="D152" s="320"/>
      <c r="F152" s="1473" t="str">
        <f t="shared" ref="F152:F161" ca="1" si="16">OFFSET(G152,0,i_VB-1)</f>
        <v>$O$328:$Z$333</v>
      </c>
      <c r="G152" s="1477" t="str">
        <f>diachivung($O$328:$Z$333)</f>
        <v>$O$328:$Z$333</v>
      </c>
      <c r="H152" s="1478" t="str">
        <f>diachivung($AC$328:$AM$333)</f>
        <v>$AC$328:$AM$333</v>
      </c>
      <c r="I152" s="1479" t="str">
        <f>diachivung($AQ$328:$BA$333)</f>
        <v>$AQ$328:$BA$333</v>
      </c>
      <c r="J152" s="1480" t="str">
        <f>diachivung($BE$328:$BO$333)</f>
        <v>$BE$328:$BO$333</v>
      </c>
      <c r="K152" s="38"/>
      <c r="L152" s="38"/>
      <c r="M152" s="38"/>
      <c r="N152" s="1265"/>
      <c r="O152" s="1265"/>
      <c r="P152" s="1386" t="s">
        <v>3665</v>
      </c>
      <c r="Q152" s="1386"/>
      <c r="R152" s="1386"/>
      <c r="S152" s="1386"/>
      <c r="W152" s="1265"/>
      <c r="X152" s="1265"/>
      <c r="Y152" s="1265"/>
      <c r="Z152" s="1265"/>
      <c r="AA152" s="1265"/>
      <c r="AB152" s="1366"/>
      <c r="AC152" s="1975" t="s">
        <v>174</v>
      </c>
      <c r="AD152" s="1976"/>
      <c r="AE152" s="1976"/>
      <c r="AF152" s="1976"/>
      <c r="AG152" s="1976"/>
      <c r="AH152" s="1976"/>
      <c r="AI152" s="1976"/>
      <c r="AJ152" s="1977"/>
      <c r="AK152" s="1280"/>
      <c r="AL152" s="1280"/>
      <c r="AM152" s="1280"/>
      <c r="AN152" s="1280"/>
      <c r="AO152" s="1280"/>
      <c r="AP152" s="1367"/>
      <c r="AQ152" s="1367"/>
      <c r="AR152" s="1347" t="s">
        <v>174</v>
      </c>
      <c r="AS152" s="1347"/>
      <c r="AT152" s="1347"/>
      <c r="AU152" s="1347"/>
      <c r="AV152" s="1347"/>
      <c r="AW152" s="1347"/>
      <c r="AX152" s="1347"/>
      <c r="AY152" s="1290"/>
      <c r="AZ152" s="1290"/>
      <c r="BA152" s="1290"/>
      <c r="BB152" s="1290"/>
      <c r="BC152" s="1290"/>
      <c r="BD152" s="1260"/>
      <c r="BE152" s="1260"/>
      <c r="BF152" s="203" t="s">
        <v>174</v>
      </c>
      <c r="BG152" s="203"/>
      <c r="BH152" s="203"/>
      <c r="BI152" s="203"/>
      <c r="BJ152" s="203"/>
      <c r="BK152" s="203"/>
      <c r="BL152" s="203"/>
      <c r="BM152" s="1246"/>
      <c r="BN152" s="1246"/>
      <c r="BO152" s="1246"/>
      <c r="BP152" s="1246"/>
      <c r="BQ152" s="1246"/>
    </row>
    <row r="153" spans="1:69" x14ac:dyDescent="0.25">
      <c r="A153" s="224">
        <v>36</v>
      </c>
      <c r="B153" s="1188" t="s">
        <v>3683</v>
      </c>
      <c r="C153" s="320" t="s">
        <v>3871</v>
      </c>
      <c r="D153" s="320"/>
      <c r="F153" s="1473" t="str">
        <f t="shared" ca="1" si="16"/>
        <v>$O$336:$Z$341</v>
      </c>
      <c r="G153" s="1477" t="str">
        <f>diachivung($O$336:$Z$341)</f>
        <v>$O$336:$Z$341</v>
      </c>
      <c r="H153" s="1481" t="str">
        <f>diachivung($AC$336:$AM$341)</f>
        <v>$AC$336:$AM$341</v>
      </c>
      <c r="I153" s="1482" t="str">
        <f>diachivung($AQ$336:$BA$341)</f>
        <v>$AQ$336:$BA$341</v>
      </c>
      <c r="J153" s="1483" t="str">
        <f>diachivung($BE$336:$BO$341)</f>
        <v>$BE$336:$BO$341</v>
      </c>
      <c r="K153" s="234"/>
      <c r="L153" s="234"/>
      <c r="M153" s="234"/>
      <c r="N153" s="1387" t="s">
        <v>175</v>
      </c>
      <c r="O153" s="1373"/>
      <c r="P153" s="1373">
        <v>5</v>
      </c>
      <c r="Q153" s="1373">
        <v>15</v>
      </c>
      <c r="R153" s="1373">
        <v>25</v>
      </c>
      <c r="S153" s="1373">
        <v>50</v>
      </c>
      <c r="T153" s="1373">
        <v>100</v>
      </c>
      <c r="U153" s="1373">
        <v>200</v>
      </c>
      <c r="V153" s="1373">
        <v>500</v>
      </c>
      <c r="W153" s="1265"/>
      <c r="X153" s="1265"/>
      <c r="Y153" s="1265"/>
      <c r="Z153" s="1265"/>
      <c r="AA153" s="1265"/>
      <c r="AB153" s="1435" t="s">
        <v>175</v>
      </c>
      <c r="AC153" s="1381"/>
      <c r="AD153" s="1381">
        <v>5</v>
      </c>
      <c r="AE153" s="1381">
        <v>15</v>
      </c>
      <c r="AF153" s="1381">
        <v>25</v>
      </c>
      <c r="AG153" s="1381">
        <v>50</v>
      </c>
      <c r="AH153" s="1381">
        <v>100</v>
      </c>
      <c r="AI153" s="1381">
        <v>200</v>
      </c>
      <c r="AJ153" s="1381">
        <v>500</v>
      </c>
      <c r="AK153" s="1280"/>
      <c r="AL153" s="1280"/>
      <c r="AM153" s="1280"/>
      <c r="AN153" s="1280"/>
      <c r="AO153" s="1280"/>
      <c r="AP153" s="1448" t="s">
        <v>175</v>
      </c>
      <c r="AQ153" s="1296"/>
      <c r="AR153" s="1296">
        <v>5</v>
      </c>
      <c r="AS153" s="1296">
        <v>15</v>
      </c>
      <c r="AT153" s="1296">
        <v>25</v>
      </c>
      <c r="AU153" s="1296">
        <v>50</v>
      </c>
      <c r="AV153" s="1296">
        <v>100</v>
      </c>
      <c r="AW153" s="1296">
        <v>200</v>
      </c>
      <c r="AX153" s="1296">
        <v>500</v>
      </c>
      <c r="AY153" s="1290"/>
      <c r="AZ153" s="1290"/>
      <c r="BA153" s="1290"/>
      <c r="BB153" s="1290"/>
      <c r="BC153" s="1290"/>
      <c r="BD153" s="1449" t="s">
        <v>175</v>
      </c>
      <c r="BE153" s="204"/>
      <c r="BF153" s="204">
        <v>5</v>
      </c>
      <c r="BG153" s="204">
        <v>15</v>
      </c>
      <c r="BH153" s="204">
        <v>25</v>
      </c>
      <c r="BI153" s="204">
        <v>50</v>
      </c>
      <c r="BJ153" s="204">
        <v>100</v>
      </c>
      <c r="BK153" s="204">
        <v>200</v>
      </c>
      <c r="BL153" s="204">
        <v>500</v>
      </c>
      <c r="BM153" s="1246"/>
      <c r="BN153" s="1246"/>
      <c r="BO153" s="1246"/>
      <c r="BP153" s="1246"/>
      <c r="BQ153" s="1246"/>
    </row>
    <row r="154" spans="1:69" x14ac:dyDescent="0.25">
      <c r="A154" s="224">
        <v>37</v>
      </c>
      <c r="B154" s="383" t="s">
        <v>3697</v>
      </c>
      <c r="C154" s="320">
        <v>0</v>
      </c>
      <c r="D154" s="320"/>
      <c r="F154" s="1473">
        <f t="shared" ca="1" si="16"/>
        <v>0</v>
      </c>
      <c r="G154" s="1484"/>
      <c r="H154" s="1481"/>
      <c r="I154" s="1482"/>
      <c r="J154" s="1483"/>
      <c r="K154" s="234"/>
      <c r="L154" s="234"/>
      <c r="M154" s="234"/>
      <c r="N154" s="1276" t="s">
        <v>3662</v>
      </c>
      <c r="O154" s="1373">
        <v>1</v>
      </c>
      <c r="P154" s="1373">
        <v>1.7</v>
      </c>
      <c r="Q154" s="1373">
        <v>1.4</v>
      </c>
      <c r="R154" s="1373">
        <v>1.3</v>
      </c>
      <c r="S154" s="1373">
        <v>1.2</v>
      </c>
      <c r="T154" s="1373">
        <v>1.1000000000000001</v>
      </c>
      <c r="U154" s="1373">
        <v>0.95</v>
      </c>
      <c r="V154" s="1373">
        <v>0.85</v>
      </c>
      <c r="W154" s="1265"/>
      <c r="X154" s="1265"/>
      <c r="Y154" s="1265"/>
      <c r="Z154" s="1265"/>
      <c r="AA154" s="1265"/>
      <c r="AB154" s="1366" t="s">
        <v>3762</v>
      </c>
      <c r="AC154" s="1381">
        <v>1</v>
      </c>
      <c r="AD154" s="1381">
        <v>1.7</v>
      </c>
      <c r="AE154" s="1381">
        <v>1.4</v>
      </c>
      <c r="AF154" s="1381">
        <v>1.3</v>
      </c>
      <c r="AG154" s="1381">
        <v>1.2</v>
      </c>
      <c r="AH154" s="1381">
        <v>1.1000000000000001</v>
      </c>
      <c r="AI154" s="1381">
        <v>0.95</v>
      </c>
      <c r="AJ154" s="1381">
        <v>0.85</v>
      </c>
      <c r="AK154" s="1280"/>
      <c r="AL154" s="1280"/>
      <c r="AM154" s="1280"/>
      <c r="AN154" s="1280"/>
      <c r="AO154" s="1280"/>
      <c r="AP154" s="1367" t="s">
        <v>176</v>
      </c>
      <c r="AQ154" s="1296">
        <v>1</v>
      </c>
      <c r="AR154" s="1296">
        <v>1.7</v>
      </c>
      <c r="AS154" s="1296">
        <v>1.4</v>
      </c>
      <c r="AT154" s="1296">
        <v>1.3</v>
      </c>
      <c r="AU154" s="1296">
        <v>1.2</v>
      </c>
      <c r="AV154" s="1296">
        <v>1.1000000000000001</v>
      </c>
      <c r="AW154" s="1296">
        <v>0.95</v>
      </c>
      <c r="AX154" s="1296">
        <v>0.85</v>
      </c>
      <c r="AY154" s="1290"/>
      <c r="AZ154" s="1290"/>
      <c r="BA154" s="1290"/>
      <c r="BB154" s="1290"/>
      <c r="BC154" s="1290"/>
      <c r="BD154" s="1260" t="s">
        <v>176</v>
      </c>
      <c r="BE154" s="204">
        <v>1</v>
      </c>
      <c r="BF154" s="204">
        <v>1.7</v>
      </c>
      <c r="BG154" s="204">
        <v>1.4</v>
      </c>
      <c r="BH154" s="204">
        <v>1.3</v>
      </c>
      <c r="BI154" s="204">
        <v>1.2</v>
      </c>
      <c r="BJ154" s="204">
        <v>1.1000000000000001</v>
      </c>
      <c r="BK154" s="204">
        <v>0.95</v>
      </c>
      <c r="BL154" s="204">
        <v>0.85</v>
      </c>
      <c r="BM154" s="1246"/>
      <c r="BN154" s="1246"/>
      <c r="BO154" s="1246"/>
      <c r="BP154" s="1246"/>
      <c r="BQ154" s="1246"/>
    </row>
    <row r="155" spans="1:69" x14ac:dyDescent="0.25">
      <c r="A155" s="198">
        <v>38</v>
      </c>
      <c r="B155" s="1188" t="s">
        <v>3698</v>
      </c>
      <c r="C155" s="320" t="s">
        <v>3872</v>
      </c>
      <c r="D155" s="320"/>
      <c r="F155" s="1473" t="str">
        <f t="shared" ca="1" si="16"/>
        <v>$O$352:$W$357</v>
      </c>
      <c r="G155" s="1484" t="str">
        <f>diachivung($O$352:$W$357)</f>
        <v>$O$352:$W$357</v>
      </c>
      <c r="H155" s="1481" t="str">
        <f>diachivung($AC$352:$AM$357)</f>
        <v>$AC$352:$AM$357</v>
      </c>
      <c r="I155" s="1482" t="str">
        <f>diachivung($AQ$352:$BA$357)</f>
        <v>$AQ$352:$BA$357</v>
      </c>
      <c r="J155" s="1483" t="str">
        <f>diachivung($BE$352:$BO$357)</f>
        <v>$BE$352:$BO$357</v>
      </c>
      <c r="K155" s="234"/>
      <c r="L155" s="234"/>
      <c r="M155" s="234"/>
      <c r="N155" s="1276" t="s">
        <v>3663</v>
      </c>
      <c r="O155" s="1373">
        <v>2</v>
      </c>
      <c r="P155" s="1373">
        <v>1.9</v>
      </c>
      <c r="Q155" s="1373">
        <v>1.6</v>
      </c>
      <c r="R155" s="1373">
        <v>1.45</v>
      </c>
      <c r="S155" s="1373">
        <v>1.3</v>
      </c>
      <c r="T155" s="1373">
        <v>1.2</v>
      </c>
      <c r="U155" s="1373">
        <v>1.05</v>
      </c>
      <c r="V155" s="1373">
        <v>0.95</v>
      </c>
      <c r="W155" s="1265"/>
      <c r="X155" s="1265"/>
      <c r="Y155" s="1265"/>
      <c r="Z155" s="1265"/>
      <c r="AA155" s="1265"/>
      <c r="AB155" s="1366" t="s">
        <v>3770</v>
      </c>
      <c r="AC155" s="1381">
        <v>2</v>
      </c>
      <c r="AD155" s="1381">
        <v>1.9</v>
      </c>
      <c r="AE155" s="1381">
        <v>1.6</v>
      </c>
      <c r="AF155" s="1381">
        <v>1.45</v>
      </c>
      <c r="AG155" s="1381">
        <v>1.3</v>
      </c>
      <c r="AH155" s="1381">
        <v>1.2</v>
      </c>
      <c r="AI155" s="1381">
        <v>1.05</v>
      </c>
      <c r="AJ155" s="1381">
        <v>0.95</v>
      </c>
      <c r="AK155" s="1280"/>
      <c r="AL155" s="1280"/>
      <c r="AM155" s="1280"/>
      <c r="AN155" s="1280"/>
      <c r="AO155" s="1280"/>
      <c r="AP155" s="1367" t="s">
        <v>3770</v>
      </c>
      <c r="AQ155" s="1296">
        <v>2</v>
      </c>
      <c r="AR155" s="1296">
        <v>1.9</v>
      </c>
      <c r="AS155" s="1296">
        <v>1.6</v>
      </c>
      <c r="AT155" s="1296">
        <v>1.45</v>
      </c>
      <c r="AU155" s="1296">
        <v>1.3</v>
      </c>
      <c r="AV155" s="1296">
        <v>1.2</v>
      </c>
      <c r="AW155" s="1296">
        <v>1.05</v>
      </c>
      <c r="AX155" s="1296">
        <v>0.95</v>
      </c>
      <c r="AY155" s="1290"/>
      <c r="AZ155" s="1290"/>
      <c r="BA155" s="1290"/>
      <c r="BB155" s="1290"/>
      <c r="BC155" s="1290"/>
      <c r="BD155" s="1260" t="s">
        <v>3770</v>
      </c>
      <c r="BE155" s="204">
        <v>2</v>
      </c>
      <c r="BF155" s="204">
        <v>1.9</v>
      </c>
      <c r="BG155" s="204">
        <v>1.6</v>
      </c>
      <c r="BH155" s="204">
        <v>1.45</v>
      </c>
      <c r="BI155" s="204">
        <v>1.3</v>
      </c>
      <c r="BJ155" s="204">
        <v>1.2</v>
      </c>
      <c r="BK155" s="204">
        <v>1.05</v>
      </c>
      <c r="BL155" s="204">
        <v>0.95</v>
      </c>
      <c r="BM155" s="1246"/>
      <c r="BN155" s="1246"/>
      <c r="BO155" s="1246"/>
      <c r="BP155" s="1246"/>
      <c r="BQ155" s="1246"/>
    </row>
    <row r="156" spans="1:69" ht="15.75" customHeight="1" x14ac:dyDescent="0.25">
      <c r="A156" s="198">
        <v>38</v>
      </c>
      <c r="B156" s="1188" t="s">
        <v>3699</v>
      </c>
      <c r="C156" s="320" t="s">
        <v>3873</v>
      </c>
      <c r="D156" s="320"/>
      <c r="F156" s="1473" t="str">
        <f t="shared" ca="1" si="16"/>
        <v>$O$360:$W$365</v>
      </c>
      <c r="G156" s="1319" t="str">
        <f>diachivung($O$360:$W$365)</f>
        <v>$O$360:$W$365</v>
      </c>
      <c r="H156" s="1343" t="str">
        <f>diachivung($AC$360:$AM$365)</f>
        <v>$AC$360:$AM$365</v>
      </c>
      <c r="I156" s="1365" t="str">
        <f>diachivung($AQ$360:$BA$365)</f>
        <v>$AQ$360:$BA$365</v>
      </c>
      <c r="J156" s="320" t="str">
        <f>diachivung($BE$360:$BO$365)</f>
        <v>$BE$360:$BO$365</v>
      </c>
      <c r="N156" s="1276" t="s">
        <v>177</v>
      </c>
      <c r="O156" s="1373">
        <v>3</v>
      </c>
      <c r="P156" s="1373">
        <v>1.65</v>
      </c>
      <c r="Q156" s="1373">
        <v>1.43</v>
      </c>
      <c r="R156" s="1373">
        <v>1.27</v>
      </c>
      <c r="S156" s="1373">
        <v>1.1599999999999999</v>
      </c>
      <c r="T156" s="1373">
        <v>1.05</v>
      </c>
      <c r="U156" s="1373">
        <v>0.94</v>
      </c>
      <c r="V156" s="1373">
        <v>0.83</v>
      </c>
      <c r="W156" s="1265"/>
      <c r="X156" s="1265"/>
      <c r="Y156" s="1265"/>
      <c r="Z156" s="1265"/>
      <c r="AA156" s="1265"/>
      <c r="AB156" s="1366" t="s">
        <v>177</v>
      </c>
      <c r="AC156" s="1381">
        <v>3</v>
      </c>
      <c r="AD156" s="1381">
        <v>1.5</v>
      </c>
      <c r="AE156" s="1381">
        <v>1.3</v>
      </c>
      <c r="AF156" s="1381">
        <v>1.1499999999999999</v>
      </c>
      <c r="AG156" s="1381">
        <v>1.05</v>
      </c>
      <c r="AH156" s="1381">
        <v>0.95</v>
      </c>
      <c r="AI156" s="1381">
        <v>0.85</v>
      </c>
      <c r="AJ156" s="1381">
        <v>0.75</v>
      </c>
      <c r="AK156" s="1280"/>
      <c r="AL156" s="1280"/>
      <c r="AM156" s="1280"/>
      <c r="AN156" s="1280"/>
      <c r="AO156" s="1280"/>
      <c r="AP156" s="1367" t="s">
        <v>177</v>
      </c>
      <c r="AQ156" s="1296">
        <v>3</v>
      </c>
      <c r="AR156" s="1296">
        <v>1.5</v>
      </c>
      <c r="AS156" s="1296">
        <v>1.3</v>
      </c>
      <c r="AT156" s="1296">
        <v>1.1499999999999999</v>
      </c>
      <c r="AU156" s="1296">
        <v>1.05</v>
      </c>
      <c r="AV156" s="1296">
        <v>0.95</v>
      </c>
      <c r="AW156" s="1296">
        <v>0.85</v>
      </c>
      <c r="AX156" s="1296">
        <v>0.75</v>
      </c>
      <c r="AY156" s="1290"/>
      <c r="AZ156" s="1290"/>
      <c r="BA156" s="1290"/>
      <c r="BB156" s="1290"/>
      <c r="BC156" s="1290"/>
      <c r="BD156" s="1260" t="s">
        <v>177</v>
      </c>
      <c r="BE156" s="204">
        <v>3</v>
      </c>
      <c r="BF156" s="204">
        <v>1.5</v>
      </c>
      <c r="BG156" s="204">
        <v>1.3</v>
      </c>
      <c r="BH156" s="204">
        <v>1.1499999999999999</v>
      </c>
      <c r="BI156" s="204">
        <v>1.05</v>
      </c>
      <c r="BJ156" s="204">
        <v>0.95</v>
      </c>
      <c r="BK156" s="204">
        <v>0.85</v>
      </c>
      <c r="BL156" s="204">
        <v>0.75</v>
      </c>
      <c r="BM156" s="1246"/>
      <c r="BN156" s="1246"/>
      <c r="BO156" s="1246"/>
      <c r="BP156" s="1246"/>
      <c r="BQ156" s="1246"/>
    </row>
    <row r="157" spans="1:69" x14ac:dyDescent="0.25">
      <c r="A157" s="198">
        <v>39</v>
      </c>
      <c r="B157" s="383" t="s">
        <v>3700</v>
      </c>
      <c r="C157" s="320">
        <v>0</v>
      </c>
      <c r="D157" s="320"/>
      <c r="F157" s="1473">
        <f t="shared" ca="1" si="16"/>
        <v>0</v>
      </c>
      <c r="G157" s="1319"/>
      <c r="H157" s="1343"/>
      <c r="I157" s="1365"/>
      <c r="J157" s="320"/>
      <c r="N157" s="1278" t="s">
        <v>178</v>
      </c>
      <c r="O157" s="1278"/>
      <c r="P157" s="1278"/>
      <c r="Q157" s="1278"/>
      <c r="R157" s="1279"/>
      <c r="S157" s="1279"/>
      <c r="T157" s="1278"/>
      <c r="U157" s="1278"/>
      <c r="V157" s="1278"/>
      <c r="W157" s="1278"/>
      <c r="X157" s="1278"/>
      <c r="Y157" s="1275"/>
      <c r="Z157" s="1275"/>
      <c r="AA157" s="1275"/>
      <c r="AB157" s="1284" t="s">
        <v>178</v>
      </c>
      <c r="AC157" s="1284"/>
      <c r="AD157" s="1284"/>
      <c r="AE157" s="1284"/>
      <c r="AF157" s="1285"/>
      <c r="AG157" s="1285"/>
      <c r="AH157" s="1285"/>
      <c r="AI157" s="1285"/>
      <c r="AJ157" s="1285"/>
      <c r="AK157" s="1285"/>
      <c r="AL157" s="1285"/>
      <c r="AM157" s="1285"/>
      <c r="AN157" s="1287"/>
      <c r="AO157" s="1287"/>
      <c r="AP157" s="1294" t="s">
        <v>178</v>
      </c>
      <c r="AQ157" s="1294"/>
      <c r="AR157" s="1294"/>
      <c r="AS157" s="1294"/>
      <c r="AT157" s="1295"/>
      <c r="AU157" s="1295"/>
      <c r="AV157" s="1295"/>
      <c r="AW157" s="1295"/>
      <c r="AX157" s="1295"/>
      <c r="AY157" s="1295"/>
      <c r="AZ157" s="1295"/>
      <c r="BA157" s="1295"/>
      <c r="BB157" s="1290"/>
      <c r="BC157" s="1290"/>
      <c r="BD157" s="1250" t="s">
        <v>178</v>
      </c>
      <c r="BE157" s="1250"/>
      <c r="BF157" s="1250"/>
      <c r="BG157" s="1250"/>
      <c r="BH157" s="1251"/>
      <c r="BI157" s="1251"/>
      <c r="BJ157" s="1251"/>
      <c r="BK157" s="1251"/>
      <c r="BL157" s="1251"/>
      <c r="BM157" s="1251"/>
      <c r="BN157" s="1251"/>
      <c r="BO157" s="1251"/>
      <c r="BP157" s="1258"/>
      <c r="BQ157" s="1258"/>
    </row>
    <row r="158" spans="1:69" x14ac:dyDescent="0.25">
      <c r="B158" s="1188" t="s">
        <v>3698</v>
      </c>
      <c r="C158" s="320" t="s">
        <v>3874</v>
      </c>
      <c r="D158" s="320"/>
      <c r="F158" s="1473" t="str">
        <f t="shared" ca="1" si="16"/>
        <v>$O$376:$W$381</v>
      </c>
      <c r="G158" s="1319" t="str">
        <f>diachivung($O$376:$W$381)</f>
        <v>$O$376:$W$381</v>
      </c>
      <c r="H158" s="1343" t="str">
        <f>diachivung($AC$376:$AM$381)</f>
        <v>$AC$376:$AM$381</v>
      </c>
      <c r="I158" s="1365" t="str">
        <f>diachivung($AQ$376:$BA$381)</f>
        <v>$AQ$376:$BA$381</v>
      </c>
      <c r="J158" s="320" t="str">
        <f>diachivung($BE$376:$BO$381)</f>
        <v>$BE$376:$BO$381</v>
      </c>
      <c r="N158" s="1374" t="s">
        <v>111</v>
      </c>
      <c r="O158" s="1375"/>
      <c r="P158" s="1995" t="s">
        <v>3664</v>
      </c>
      <c r="Q158" s="1995"/>
      <c r="R158" s="1995"/>
      <c r="S158" s="1995"/>
      <c r="T158" s="1995"/>
      <c r="U158" s="1995"/>
      <c r="V158" s="1995"/>
      <c r="W158" s="1995"/>
      <c r="X158" s="1995"/>
      <c r="Y158" s="1265"/>
      <c r="Z158" s="1265"/>
      <c r="AA158" s="1265"/>
      <c r="AB158" s="2004" t="s">
        <v>111</v>
      </c>
      <c r="AC158" s="1439"/>
      <c r="AD158" s="1975" t="s">
        <v>174</v>
      </c>
      <c r="AE158" s="1976"/>
      <c r="AF158" s="1976"/>
      <c r="AG158" s="1976"/>
      <c r="AH158" s="1976"/>
      <c r="AI158" s="1976"/>
      <c r="AJ158" s="1976"/>
      <c r="AK158" s="1976"/>
      <c r="AL158" s="1977"/>
      <c r="AM158" s="1287"/>
      <c r="AN158" s="1280"/>
      <c r="AO158" s="1280"/>
      <c r="AP158" s="1453" t="s">
        <v>111</v>
      </c>
      <c r="AQ158" s="1454"/>
      <c r="AR158" s="1927" t="s">
        <v>174</v>
      </c>
      <c r="AS158" s="1927"/>
      <c r="AT158" s="1927"/>
      <c r="AU158" s="1927"/>
      <c r="AV158" s="1927"/>
      <c r="AW158" s="1927"/>
      <c r="AX158" s="1927"/>
      <c r="AY158" s="1927"/>
      <c r="AZ158" s="1927"/>
      <c r="BA158" s="1298"/>
      <c r="BB158" s="1298"/>
      <c r="BC158" s="1298"/>
      <c r="BD158" s="1451" t="s">
        <v>111</v>
      </c>
      <c r="BE158" s="1450"/>
      <c r="BF158" s="203" t="s">
        <v>174</v>
      </c>
      <c r="BG158" s="203"/>
      <c r="BH158" s="203"/>
      <c r="BI158" s="203"/>
      <c r="BJ158" s="203"/>
      <c r="BK158" s="203"/>
      <c r="BL158" s="203"/>
      <c r="BM158" s="203"/>
      <c r="BN158" s="203"/>
      <c r="BO158" s="1258"/>
      <c r="BP158" s="1246"/>
      <c r="BQ158" s="1246"/>
    </row>
    <row r="159" spans="1:69" x14ac:dyDescent="0.25">
      <c r="B159" s="1188" t="s">
        <v>3699</v>
      </c>
      <c r="C159" s="320" t="s">
        <v>3875</v>
      </c>
      <c r="D159" s="320"/>
      <c r="F159" s="1473" t="str">
        <f t="shared" ca="1" si="16"/>
        <v>$O$384:$W$389</v>
      </c>
      <c r="G159" s="1319" t="str">
        <f>diachivung($O$384:$W$389)</f>
        <v>$O$384:$W$389</v>
      </c>
      <c r="H159" s="1343" t="str">
        <f>diachivung($AC$384:$AM$389)</f>
        <v>$AC$384:$AM$389</v>
      </c>
      <c r="I159" s="1365" t="str">
        <f>diachivung($AQ$384:$BA$389)</f>
        <v>$AQ$384:$BA$389</v>
      </c>
      <c r="J159" s="320" t="str">
        <f>diachivung($BE$384:$BO$389)</f>
        <v>$BE$384:$BO$389</v>
      </c>
      <c r="N159" s="1276"/>
      <c r="O159" s="1276"/>
      <c r="P159" s="1373">
        <v>5</v>
      </c>
      <c r="Q159" s="1373">
        <v>15</v>
      </c>
      <c r="R159" s="1373">
        <v>25</v>
      </c>
      <c r="S159" s="1373">
        <v>50</v>
      </c>
      <c r="T159" s="1373">
        <v>100</v>
      </c>
      <c r="U159" s="1373">
        <v>200</v>
      </c>
      <c r="V159" s="1373">
        <v>500</v>
      </c>
      <c r="W159" s="1373">
        <v>1000</v>
      </c>
      <c r="X159" s="1373">
        <v>3000</v>
      </c>
      <c r="Y159" s="1265"/>
      <c r="Z159" s="1265"/>
      <c r="AA159" s="1265"/>
      <c r="AB159" s="2005"/>
      <c r="AC159" s="1366"/>
      <c r="AD159" s="1381">
        <v>5</v>
      </c>
      <c r="AE159" s="1381">
        <v>15</v>
      </c>
      <c r="AF159" s="1381">
        <v>25</v>
      </c>
      <c r="AG159" s="1381">
        <v>50</v>
      </c>
      <c r="AH159" s="1381">
        <v>100</v>
      </c>
      <c r="AI159" s="1381">
        <v>200</v>
      </c>
      <c r="AJ159" s="1381">
        <v>500</v>
      </c>
      <c r="AK159" s="1381">
        <v>1000</v>
      </c>
      <c r="AL159" s="1381">
        <v>3000</v>
      </c>
      <c r="AM159" s="1280"/>
      <c r="AN159" s="1280"/>
      <c r="AO159" s="1280"/>
      <c r="AP159" s="1367"/>
      <c r="AQ159" s="1367"/>
      <c r="AR159" s="1296">
        <v>5</v>
      </c>
      <c r="AS159" s="1296">
        <v>15</v>
      </c>
      <c r="AT159" s="1296">
        <v>25</v>
      </c>
      <c r="AU159" s="1296">
        <v>50</v>
      </c>
      <c r="AV159" s="1296">
        <v>100</v>
      </c>
      <c r="AW159" s="1296">
        <v>200</v>
      </c>
      <c r="AX159" s="1296">
        <v>500</v>
      </c>
      <c r="AY159" s="1296">
        <v>1000</v>
      </c>
      <c r="AZ159" s="1296">
        <v>3000</v>
      </c>
      <c r="BA159" s="1290"/>
      <c r="BB159" s="1290"/>
      <c r="BC159" s="1290"/>
      <c r="BD159" s="1452"/>
      <c r="BE159" s="1260"/>
      <c r="BF159" s="204">
        <v>5</v>
      </c>
      <c r="BG159" s="204">
        <v>15</v>
      </c>
      <c r="BH159" s="204">
        <v>25</v>
      </c>
      <c r="BI159" s="204">
        <v>50</v>
      </c>
      <c r="BJ159" s="204">
        <v>100</v>
      </c>
      <c r="BK159" s="204">
        <v>200</v>
      </c>
      <c r="BL159" s="204">
        <v>500</v>
      </c>
      <c r="BM159" s="204">
        <v>1000</v>
      </c>
      <c r="BN159" s="204">
        <v>3000</v>
      </c>
      <c r="BO159" s="1246"/>
      <c r="BP159" s="1246"/>
      <c r="BQ159" s="1246"/>
    </row>
    <row r="160" spans="1:69" x14ac:dyDescent="0.25">
      <c r="B160" s="1188" t="s">
        <v>145</v>
      </c>
      <c r="C160" s="320" t="s">
        <v>3876</v>
      </c>
      <c r="D160" s="320"/>
      <c r="F160" s="1473" t="str">
        <f t="shared" ca="1" si="16"/>
        <v>$O$392:$Z$397</v>
      </c>
      <c r="G160" s="1319" t="str">
        <f>diachivung($O$392:$Z$397)</f>
        <v>$O$392:$Z$397</v>
      </c>
      <c r="H160" s="1343" t="str">
        <f>diachivung($AC$392:$AM$397)</f>
        <v>$AC$392:$AM$397</v>
      </c>
      <c r="I160" s="1365" t="str">
        <f>diachivung($AQ$392:$BA$397)</f>
        <v>$AQ$392:$BA$397</v>
      </c>
      <c r="J160" s="320" t="str">
        <f>diachivung($BE$392:$BO$397)</f>
        <v>$BE$392:$BO$397</v>
      </c>
      <c r="N160" s="1276" t="s">
        <v>179</v>
      </c>
      <c r="O160" s="1276">
        <v>1</v>
      </c>
      <c r="P160" s="1373">
        <v>1.1000000000000001</v>
      </c>
      <c r="Q160" s="1373">
        <v>1</v>
      </c>
      <c r="R160" s="1373">
        <v>0.9</v>
      </c>
      <c r="S160" s="1373">
        <v>0.85</v>
      </c>
      <c r="T160" s="1373">
        <v>0.8</v>
      </c>
      <c r="U160" s="1373">
        <v>0.7</v>
      </c>
      <c r="V160" s="1373">
        <v>0.6</v>
      </c>
      <c r="W160" s="1373">
        <v>0.55000000000000004</v>
      </c>
      <c r="X160" s="1373">
        <v>0.45</v>
      </c>
      <c r="Y160" s="1265"/>
      <c r="Z160" s="1265"/>
      <c r="AA160" s="1265"/>
      <c r="AB160" s="1366" t="s">
        <v>179</v>
      </c>
      <c r="AC160" s="1366">
        <v>1</v>
      </c>
      <c r="AD160" s="1381">
        <v>1.1000000000000001</v>
      </c>
      <c r="AE160" s="1381">
        <v>1</v>
      </c>
      <c r="AF160" s="1381">
        <v>0.9</v>
      </c>
      <c r="AG160" s="1381">
        <v>0.85</v>
      </c>
      <c r="AH160" s="1381">
        <v>0.8</v>
      </c>
      <c r="AI160" s="1381">
        <v>0.7</v>
      </c>
      <c r="AJ160" s="1381">
        <v>0.6</v>
      </c>
      <c r="AK160" s="1381">
        <v>0.55000000000000004</v>
      </c>
      <c r="AL160" s="1381">
        <v>0.45</v>
      </c>
      <c r="AM160" s="1280"/>
      <c r="AN160" s="1280"/>
      <c r="AO160" s="1280"/>
      <c r="AP160" s="1367" t="s">
        <v>179</v>
      </c>
      <c r="AQ160" s="1367">
        <v>1</v>
      </c>
      <c r="AR160" s="1296">
        <v>1.1000000000000001</v>
      </c>
      <c r="AS160" s="1296">
        <v>1</v>
      </c>
      <c r="AT160" s="1296">
        <v>0.9</v>
      </c>
      <c r="AU160" s="1296">
        <v>0.85</v>
      </c>
      <c r="AV160" s="1296">
        <v>0.8</v>
      </c>
      <c r="AW160" s="1296">
        <v>0.7</v>
      </c>
      <c r="AX160" s="1296">
        <v>0.6</v>
      </c>
      <c r="AY160" s="1296">
        <v>0.55000000000000004</v>
      </c>
      <c r="AZ160" s="1296">
        <v>0.45</v>
      </c>
      <c r="BA160" s="1290"/>
      <c r="BB160" s="1290"/>
      <c r="BC160" s="1290"/>
      <c r="BD160" s="1260" t="s">
        <v>179</v>
      </c>
      <c r="BE160" s="204">
        <v>1</v>
      </c>
      <c r="BF160" s="204">
        <v>1.1000000000000001</v>
      </c>
      <c r="BG160" s="204">
        <v>1</v>
      </c>
      <c r="BH160" s="204">
        <v>0.9</v>
      </c>
      <c r="BI160" s="204">
        <v>0.85</v>
      </c>
      <c r="BJ160" s="204">
        <v>0.8</v>
      </c>
      <c r="BK160" s="204">
        <v>0.7</v>
      </c>
      <c r="BL160" s="204">
        <v>0.6</v>
      </c>
      <c r="BM160" s="204">
        <v>0.55000000000000004</v>
      </c>
      <c r="BN160" s="204">
        <v>0.45</v>
      </c>
      <c r="BO160" s="1246"/>
      <c r="BP160" s="1246"/>
      <c r="BQ160" s="1246"/>
    </row>
    <row r="161" spans="2:69" x14ac:dyDescent="0.25">
      <c r="B161" s="1188" t="s">
        <v>146</v>
      </c>
      <c r="C161" s="320" t="s">
        <v>3877</v>
      </c>
      <c r="D161" s="320"/>
      <c r="F161" s="1473" t="str">
        <f t="shared" ca="1" si="16"/>
        <v>$O$400:$Z$405</v>
      </c>
      <c r="G161" s="1319" t="str">
        <f>diachivung($O$400:$Z$405)</f>
        <v>$O$400:$Z$405</v>
      </c>
      <c r="H161" s="1343" t="str">
        <f>diachivung($AC$400:$AM$405)</f>
        <v>$AC$400:$AM$405</v>
      </c>
      <c r="I161" s="1365" t="str">
        <f>diachivung($AQ$400:$BA$405)</f>
        <v>$AQ$400:$BA$405</v>
      </c>
      <c r="J161" s="320" t="str">
        <f>diachivung($BE$400:$BO$405)</f>
        <v>$BE$400:$BO$405</v>
      </c>
      <c r="N161" s="1276" t="s">
        <v>180</v>
      </c>
      <c r="O161" s="1276">
        <v>2</v>
      </c>
      <c r="P161" s="1373">
        <v>0.95</v>
      </c>
      <c r="Q161" s="1373">
        <v>0.85</v>
      </c>
      <c r="R161" s="1373">
        <v>0.8</v>
      </c>
      <c r="S161" s="1373">
        <v>0.75</v>
      </c>
      <c r="T161" s="1373">
        <v>0.7</v>
      </c>
      <c r="U161" s="1373">
        <v>0.6</v>
      </c>
      <c r="V161" s="1373">
        <v>0.55000000000000004</v>
      </c>
      <c r="W161" s="1373">
        <v>0.5</v>
      </c>
      <c r="X161" s="1373">
        <v>0.4</v>
      </c>
      <c r="Y161" s="1265"/>
      <c r="Z161" s="1265"/>
      <c r="AA161" s="1265"/>
      <c r="AB161" s="1366" t="s">
        <v>180</v>
      </c>
      <c r="AC161" s="1366">
        <v>2</v>
      </c>
      <c r="AD161" s="1381">
        <v>0.95</v>
      </c>
      <c r="AE161" s="1381">
        <v>0.85</v>
      </c>
      <c r="AF161" s="1381">
        <v>0.8</v>
      </c>
      <c r="AG161" s="1381">
        <v>0.75</v>
      </c>
      <c r="AH161" s="1381">
        <v>0.7</v>
      </c>
      <c r="AI161" s="1381">
        <v>0.6</v>
      </c>
      <c r="AJ161" s="1381">
        <v>0.55000000000000004</v>
      </c>
      <c r="AK161" s="1381">
        <v>50</v>
      </c>
      <c r="AL161" s="1381">
        <v>40</v>
      </c>
      <c r="AM161" s="1280"/>
      <c r="AN161" s="1280"/>
      <c r="AO161" s="1280"/>
      <c r="AP161" s="1367" t="s">
        <v>180</v>
      </c>
      <c r="AQ161" s="1367">
        <v>2</v>
      </c>
      <c r="AR161" s="1296">
        <v>0.95</v>
      </c>
      <c r="AS161" s="1296">
        <v>0.85</v>
      </c>
      <c r="AT161" s="1296">
        <v>0.8</v>
      </c>
      <c r="AU161" s="1296">
        <v>0.75</v>
      </c>
      <c r="AV161" s="1296">
        <v>0.7</v>
      </c>
      <c r="AW161" s="1296">
        <v>0.6</v>
      </c>
      <c r="AX161" s="1296">
        <v>0.55000000000000004</v>
      </c>
      <c r="AY161" s="1296">
        <v>50</v>
      </c>
      <c r="AZ161" s="1296">
        <v>40</v>
      </c>
      <c r="BA161" s="1290"/>
      <c r="BB161" s="1290"/>
      <c r="BC161" s="1290"/>
      <c r="BD161" s="1260" t="s">
        <v>180</v>
      </c>
      <c r="BE161" s="204">
        <v>2</v>
      </c>
      <c r="BF161" s="204">
        <v>0.95</v>
      </c>
      <c r="BG161" s="204">
        <v>0.85</v>
      </c>
      <c r="BH161" s="204">
        <v>0.8</v>
      </c>
      <c r="BI161" s="204">
        <v>0.75</v>
      </c>
      <c r="BJ161" s="204">
        <v>0.7</v>
      </c>
      <c r="BK161" s="204">
        <v>0.6</v>
      </c>
      <c r="BL161" s="204">
        <v>0.55000000000000004</v>
      </c>
      <c r="BM161" s="204">
        <v>50</v>
      </c>
      <c r="BN161" s="204">
        <v>40</v>
      </c>
      <c r="BO161" s="1246"/>
      <c r="BP161" s="1246"/>
      <c r="BQ161" s="1246"/>
    </row>
    <row r="162" spans="2:69" x14ac:dyDescent="0.25">
      <c r="B162" s="1523" t="s">
        <v>147</v>
      </c>
      <c r="C162" s="1521" t="s">
        <v>3786</v>
      </c>
      <c r="D162" s="1519"/>
      <c r="F162" s="1473" t="str">
        <f ca="1">OFFSET(G162,0,i_KTQT-1)</f>
        <v>$O$409:$V$411</v>
      </c>
      <c r="G162" s="1319" t="str">
        <f xml:space="preserve"> diachivung($O$409:$V$411)</f>
        <v>$O$409:$V$411</v>
      </c>
      <c r="H162" s="1343" t="str">
        <f xml:space="preserve"> diachivung($AC$409:$AJ$411)</f>
        <v>$AC$409:$AJ$411</v>
      </c>
      <c r="I162" s="1365" t="str">
        <f xml:space="preserve"> diachivung($AQ$409:$AY$411)</f>
        <v>$AQ$409:$AY$411</v>
      </c>
      <c r="J162" s="320"/>
      <c r="N162" s="1276" t="s">
        <v>181</v>
      </c>
      <c r="O162" s="1276">
        <v>3</v>
      </c>
      <c r="P162" s="1373">
        <v>1.1499999999999999</v>
      </c>
      <c r="Q162" s="1373">
        <v>1</v>
      </c>
      <c r="R162" s="1373">
        <v>0.95</v>
      </c>
      <c r="S162" s="1373">
        <v>0.9</v>
      </c>
      <c r="T162" s="1373">
        <v>0.8</v>
      </c>
      <c r="U162" s="1373">
        <v>0.75</v>
      </c>
      <c r="V162" s="1373">
        <v>0.65</v>
      </c>
      <c r="W162" s="1373">
        <v>0.6</v>
      </c>
      <c r="X162" s="1373">
        <v>0.5</v>
      </c>
      <c r="Y162" s="1265"/>
      <c r="Z162" s="1265"/>
      <c r="AA162" s="1265"/>
      <c r="AB162" s="1366" t="s">
        <v>181</v>
      </c>
      <c r="AC162" s="1366">
        <v>3</v>
      </c>
      <c r="AD162" s="1381">
        <v>1.1499999999999999</v>
      </c>
      <c r="AE162" s="1381">
        <v>1</v>
      </c>
      <c r="AF162" s="1381">
        <v>0.95</v>
      </c>
      <c r="AG162" s="1381">
        <v>0.9</v>
      </c>
      <c r="AH162" s="1381">
        <v>0.8</v>
      </c>
      <c r="AI162" s="1381">
        <v>0.75</v>
      </c>
      <c r="AJ162" s="1381">
        <v>0.65</v>
      </c>
      <c r="AK162" s="1381">
        <v>0.6</v>
      </c>
      <c r="AL162" s="1381">
        <v>0.5</v>
      </c>
      <c r="AM162" s="1280"/>
      <c r="AN162" s="1280"/>
      <c r="AO162" s="1280"/>
      <c r="AP162" s="1367" t="s">
        <v>181</v>
      </c>
      <c r="AQ162" s="1367">
        <v>3</v>
      </c>
      <c r="AR162" s="1296">
        <v>1.1499999999999999</v>
      </c>
      <c r="AS162" s="1296">
        <v>1</v>
      </c>
      <c r="AT162" s="1296">
        <v>0.95</v>
      </c>
      <c r="AU162" s="1296">
        <v>0.9</v>
      </c>
      <c r="AV162" s="1296">
        <v>0.8</v>
      </c>
      <c r="AW162" s="1296">
        <v>0.75</v>
      </c>
      <c r="AX162" s="1296">
        <v>0.65</v>
      </c>
      <c r="AY162" s="1296">
        <v>0.6</v>
      </c>
      <c r="AZ162" s="1296">
        <v>0.5</v>
      </c>
      <c r="BA162" s="1290"/>
      <c r="BB162" s="1290"/>
      <c r="BC162" s="1290"/>
      <c r="BD162" s="1260" t="s">
        <v>181</v>
      </c>
      <c r="BE162" s="204">
        <v>3</v>
      </c>
      <c r="BF162" s="204">
        <v>1.1499999999999999</v>
      </c>
      <c r="BG162" s="204">
        <v>1</v>
      </c>
      <c r="BH162" s="204">
        <v>0.95</v>
      </c>
      <c r="BI162" s="204">
        <v>0.9</v>
      </c>
      <c r="BJ162" s="204">
        <v>0.8</v>
      </c>
      <c r="BK162" s="204">
        <v>0.75</v>
      </c>
      <c r="BL162" s="204">
        <v>0.65</v>
      </c>
      <c r="BM162" s="204">
        <v>0.6</v>
      </c>
      <c r="BN162" s="204">
        <v>0.5</v>
      </c>
      <c r="BO162" s="1246"/>
      <c r="BP162" s="1246"/>
      <c r="BQ162" s="1246"/>
    </row>
    <row r="163" spans="2:69" x14ac:dyDescent="0.25">
      <c r="B163" s="383" t="s">
        <v>3782</v>
      </c>
      <c r="C163" s="198" t="s">
        <v>3788</v>
      </c>
      <c r="F163" s="1473" t="str">
        <f t="shared" ref="F163:F168" ca="1" si="17">OFFSET(G163,0,$E$99-1)</f>
        <v>$O$419:$X$424</v>
      </c>
      <c r="G163" s="1197" t="str">
        <f ca="1">OFFSET(G164,$E$102-1,0)</f>
        <v>$O$419:$X$424</v>
      </c>
      <c r="H163" s="1197" t="str">
        <f ca="1">OFFSET(H164,$E$102-1,0)</f>
        <v>$AC$419:$AL$424</v>
      </c>
      <c r="I163" s="1365"/>
      <c r="J163" s="320"/>
      <c r="N163" s="1276" t="s">
        <v>182</v>
      </c>
      <c r="O163" s="1276">
        <v>4</v>
      </c>
      <c r="P163" s="1373">
        <v>0</v>
      </c>
      <c r="Q163" s="1373">
        <v>0</v>
      </c>
      <c r="R163" s="1373">
        <v>0</v>
      </c>
      <c r="S163" s="1373">
        <v>1.1499999999999999</v>
      </c>
      <c r="T163" s="1373">
        <v>1.1000000000000001</v>
      </c>
      <c r="U163" s="1373">
        <v>1.05</v>
      </c>
      <c r="V163" s="1373">
        <v>1.01</v>
      </c>
      <c r="W163" s="1373">
        <v>0.96</v>
      </c>
      <c r="X163" s="1373">
        <v>0.8</v>
      </c>
      <c r="Y163" s="1265"/>
      <c r="Z163" s="1265"/>
      <c r="AA163" s="1265"/>
      <c r="AB163" s="1366" t="s">
        <v>182</v>
      </c>
      <c r="AC163" s="1366">
        <v>4</v>
      </c>
      <c r="AD163" s="1381">
        <v>0</v>
      </c>
      <c r="AE163" s="1381">
        <v>0</v>
      </c>
      <c r="AF163" s="1381">
        <v>0</v>
      </c>
      <c r="AG163" s="1381">
        <v>1.1499999999999999</v>
      </c>
      <c r="AH163" s="1381">
        <v>1.1000000000000001</v>
      </c>
      <c r="AI163" s="1381">
        <v>1.05</v>
      </c>
      <c r="AJ163" s="1381">
        <v>1.01</v>
      </c>
      <c r="AK163" s="1381">
        <v>0.96</v>
      </c>
      <c r="AL163" s="1381">
        <v>0.8</v>
      </c>
      <c r="AM163" s="1280"/>
      <c r="AN163" s="1280"/>
      <c r="AO163" s="1280"/>
      <c r="AP163" s="1367" t="s">
        <v>182</v>
      </c>
      <c r="AQ163" s="1367">
        <v>4</v>
      </c>
      <c r="AR163" s="1296">
        <v>0</v>
      </c>
      <c r="AS163" s="1296">
        <v>0</v>
      </c>
      <c r="AT163" s="1296">
        <v>0</v>
      </c>
      <c r="AU163" s="1296">
        <v>1.1499999999999999</v>
      </c>
      <c r="AV163" s="1296">
        <v>1.1000000000000001</v>
      </c>
      <c r="AW163" s="1296">
        <v>1.05</v>
      </c>
      <c r="AX163" s="1296">
        <v>1.01</v>
      </c>
      <c r="AY163" s="1296">
        <v>0.96</v>
      </c>
      <c r="AZ163" s="1296">
        <v>0.8</v>
      </c>
      <c r="BA163" s="1290"/>
      <c r="BB163" s="1290"/>
      <c r="BC163" s="1290"/>
      <c r="BD163" s="1260" t="s">
        <v>182</v>
      </c>
      <c r="BE163" s="204">
        <v>4</v>
      </c>
      <c r="BF163" s="204">
        <v>0</v>
      </c>
      <c r="BG163" s="204">
        <v>0</v>
      </c>
      <c r="BH163" s="204">
        <v>0</v>
      </c>
      <c r="BI163" s="204">
        <v>1.1499999999999999</v>
      </c>
      <c r="BJ163" s="204">
        <v>1.1000000000000001</v>
      </c>
      <c r="BK163" s="204">
        <v>1.05</v>
      </c>
      <c r="BL163" s="204">
        <v>1.01</v>
      </c>
      <c r="BM163" s="204">
        <v>0.96</v>
      </c>
      <c r="BN163" s="204">
        <v>0.8</v>
      </c>
      <c r="BO163" s="1246"/>
      <c r="BP163" s="1246"/>
      <c r="BQ163" s="1246"/>
    </row>
    <row r="164" spans="2:69" ht="15.75" customHeight="1" x14ac:dyDescent="0.25">
      <c r="B164" s="1520" t="s">
        <v>3783</v>
      </c>
      <c r="C164" s="1521" t="s">
        <v>3788</v>
      </c>
      <c r="D164" s="1522"/>
      <c r="E164" s="1475"/>
      <c r="F164" s="1473" t="str">
        <f t="shared" ca="1" si="17"/>
        <v>$O$419:$X$424</v>
      </c>
      <c r="G164" s="1319" t="str">
        <f xml:space="preserve"> diachivung($O$419:$X$424)</f>
        <v>$O$419:$X$424</v>
      </c>
      <c r="H164" s="1343" t="str">
        <f xml:space="preserve"> diachivung($AC$419:$AL$424)</f>
        <v>$AC$419:$AL$424</v>
      </c>
      <c r="N164" s="1276" t="s">
        <v>183</v>
      </c>
      <c r="O164" s="1276">
        <v>5</v>
      </c>
      <c r="P164" s="1373">
        <v>0.73</v>
      </c>
      <c r="Q164" s="1373">
        <v>0.65</v>
      </c>
      <c r="R164" s="1373">
        <v>0.56000000000000005</v>
      </c>
      <c r="S164" s="1373">
        <v>0.51</v>
      </c>
      <c r="T164" s="1373">
        <v>0.48</v>
      </c>
      <c r="U164" s="1373">
        <v>0.42</v>
      </c>
      <c r="V164" s="1373">
        <v>0.37</v>
      </c>
      <c r="W164" s="1373">
        <v>0.34</v>
      </c>
      <c r="X164" s="1373">
        <v>0.3</v>
      </c>
      <c r="Y164" s="1265"/>
      <c r="Z164" s="1265"/>
      <c r="AA164" s="1265"/>
      <c r="AB164" s="1366" t="s">
        <v>183</v>
      </c>
      <c r="AC164" s="1366">
        <v>5</v>
      </c>
      <c r="AD164" s="1381">
        <v>0.73</v>
      </c>
      <c r="AE164" s="1381">
        <v>0.65</v>
      </c>
      <c r="AF164" s="1381">
        <v>0.56000000000000005</v>
      </c>
      <c r="AG164" s="1381">
        <v>0.51</v>
      </c>
      <c r="AH164" s="1381">
        <v>0.48</v>
      </c>
      <c r="AI164" s="1381">
        <v>0.42</v>
      </c>
      <c r="AJ164" s="1381">
        <v>0.37</v>
      </c>
      <c r="AK164" s="1381">
        <v>0.34</v>
      </c>
      <c r="AL164" s="1381">
        <v>0.3</v>
      </c>
      <c r="AM164" s="1280"/>
      <c r="AN164" s="1280"/>
      <c r="AO164" s="1280"/>
      <c r="AP164" s="1367" t="s">
        <v>183</v>
      </c>
      <c r="AQ164" s="1367">
        <v>5</v>
      </c>
      <c r="AR164" s="1296">
        <v>0.73</v>
      </c>
      <c r="AS164" s="1296">
        <v>0.65</v>
      </c>
      <c r="AT164" s="1296">
        <v>0.56000000000000005</v>
      </c>
      <c r="AU164" s="1296">
        <v>0.51</v>
      </c>
      <c r="AV164" s="1296">
        <v>0.48</v>
      </c>
      <c r="AW164" s="1296">
        <v>0.42</v>
      </c>
      <c r="AX164" s="1296">
        <v>0.37</v>
      </c>
      <c r="AY164" s="1296">
        <v>0.34</v>
      </c>
      <c r="AZ164" s="1296">
        <v>0.3</v>
      </c>
      <c r="BA164" s="1290"/>
      <c r="BB164" s="1290"/>
      <c r="BC164" s="1290"/>
      <c r="BD164" s="1260" t="s">
        <v>183</v>
      </c>
      <c r="BE164" s="204">
        <v>5</v>
      </c>
      <c r="BF164" s="204">
        <v>0.88</v>
      </c>
      <c r="BG164" s="204">
        <v>0.8</v>
      </c>
      <c r="BH164" s="204">
        <v>0.72</v>
      </c>
      <c r="BI164" s="204">
        <v>0.68</v>
      </c>
      <c r="BJ164" s="204">
        <v>0.64</v>
      </c>
      <c r="BK164" s="204">
        <v>0.56000000000000005</v>
      </c>
      <c r="BL164" s="204">
        <v>0.48</v>
      </c>
      <c r="BM164" s="204">
        <v>0.44</v>
      </c>
      <c r="BN164" s="204">
        <v>0.36</v>
      </c>
      <c r="BO164" s="1246"/>
      <c r="BP164" s="1246"/>
      <c r="BQ164" s="1246"/>
    </row>
    <row r="165" spans="2:69" x14ac:dyDescent="0.25">
      <c r="B165" s="1520" t="s">
        <v>3784</v>
      </c>
      <c r="C165" s="1521" t="s">
        <v>3789</v>
      </c>
      <c r="D165" s="1522"/>
      <c r="E165" s="1475"/>
      <c r="F165" s="1473" t="str">
        <f t="shared" ca="1" si="17"/>
        <v>$O$439:$X$444</v>
      </c>
      <c r="G165" s="1319" t="str">
        <f xml:space="preserve"> diachivung($O$439:$X$444)</f>
        <v>$O$439:$X$444</v>
      </c>
      <c r="H165" s="1343" t="str">
        <f xml:space="preserve"> diachivung($AC$439:$AL$444)</f>
        <v>$AC$439:$AL$444</v>
      </c>
      <c r="N165" s="1271" t="s">
        <v>184</v>
      </c>
      <c r="O165" s="1271"/>
      <c r="P165" s="1271"/>
      <c r="Q165" s="1271"/>
      <c r="R165" s="1272"/>
      <c r="S165" s="1272"/>
      <c r="T165" s="1265"/>
      <c r="U165" s="1265"/>
      <c r="V165" s="1265"/>
      <c r="W165" s="1265"/>
      <c r="X165" s="1265"/>
      <c r="Y165" s="1265"/>
      <c r="Z165" s="1265"/>
      <c r="AA165" s="1265"/>
      <c r="AB165" s="1284" t="s">
        <v>184</v>
      </c>
      <c r="AC165" s="1284"/>
      <c r="AD165" s="1284"/>
      <c r="AE165" s="1284"/>
      <c r="AF165" s="1285"/>
      <c r="AG165" s="1285"/>
      <c r="AH165" s="1280"/>
      <c r="AI165" s="1280"/>
      <c r="AJ165" s="1280"/>
      <c r="AK165" s="1280"/>
      <c r="AL165" s="1280"/>
      <c r="AM165" s="1280"/>
      <c r="AN165" s="1280"/>
      <c r="AO165" s="1280"/>
      <c r="AP165" s="1294" t="s">
        <v>184</v>
      </c>
      <c r="AQ165" s="1295"/>
      <c r="AR165" s="1294"/>
      <c r="AS165" s="1294"/>
      <c r="AT165" s="1295"/>
      <c r="AU165" s="1295"/>
      <c r="AV165" s="1290"/>
      <c r="AW165" s="1290"/>
      <c r="AX165" s="1290"/>
      <c r="AY165" s="1290"/>
      <c r="AZ165" s="1290"/>
      <c r="BA165" s="1290"/>
      <c r="BB165" s="1290"/>
      <c r="BC165" s="1290"/>
      <c r="BD165" s="1250" t="s">
        <v>184</v>
      </c>
      <c r="BE165" s="1251"/>
      <c r="BF165" s="1250"/>
      <c r="BG165" s="1250"/>
      <c r="BH165" s="1251"/>
      <c r="BI165" s="1251"/>
      <c r="BJ165" s="1246"/>
      <c r="BK165" s="1246"/>
      <c r="BL165" s="1246"/>
      <c r="BM165" s="1246"/>
      <c r="BN165" s="1246"/>
      <c r="BO165" s="1246"/>
      <c r="BP165" s="1246"/>
      <c r="BQ165" s="1246"/>
    </row>
    <row r="166" spans="2:69" x14ac:dyDescent="0.25">
      <c r="B166" s="383" t="s">
        <v>3779</v>
      </c>
      <c r="C166" s="198" t="s">
        <v>3790</v>
      </c>
      <c r="F166" s="1473" t="str">
        <f t="shared" ca="1" si="17"/>
        <v>$O$429:$X$434</v>
      </c>
      <c r="G166" s="1197" t="str">
        <f ca="1">OFFSET(G167,$E$102-1,0)</f>
        <v>$O$429:$X$434</v>
      </c>
      <c r="H166" s="1197" t="str">
        <f ca="1">OFFSET(H167,$E$102-1,0)</f>
        <v>$AC$429:$AL$434</v>
      </c>
      <c r="N166" s="1944" t="s">
        <v>162</v>
      </c>
      <c r="O166" s="1944" t="s">
        <v>117</v>
      </c>
      <c r="P166" s="1944"/>
      <c r="Q166" s="1944"/>
      <c r="R166" s="1944"/>
      <c r="S166" s="1944"/>
      <c r="T166" s="1265"/>
      <c r="U166" s="1265"/>
      <c r="V166" s="1265"/>
      <c r="W166" s="1265"/>
      <c r="X166" s="1265"/>
      <c r="Y166" s="1265"/>
      <c r="Z166" s="1265"/>
      <c r="AA166" s="1265"/>
      <c r="AB166" s="1968" t="s">
        <v>162</v>
      </c>
      <c r="AC166" s="1957" t="s">
        <v>117</v>
      </c>
      <c r="AD166" s="1958"/>
      <c r="AE166" s="1958"/>
      <c r="AF166" s="1958"/>
      <c r="AG166" s="1959"/>
      <c r="AH166" s="1280"/>
      <c r="AI166" s="1280"/>
      <c r="AJ166" s="1280"/>
      <c r="AK166" s="1280"/>
      <c r="AL166" s="1280"/>
      <c r="AM166" s="1280"/>
      <c r="AN166" s="1280"/>
      <c r="AO166" s="1280"/>
      <c r="AP166" s="1966" t="s">
        <v>162</v>
      </c>
      <c r="AQ166" s="1928" t="s">
        <v>117</v>
      </c>
      <c r="AR166" s="1928"/>
      <c r="AS166" s="1928"/>
      <c r="AT166" s="1928"/>
      <c r="AU166" s="1928"/>
      <c r="AV166" s="1290"/>
      <c r="AW166" s="1290"/>
      <c r="AX166" s="1290"/>
      <c r="AY166" s="1290"/>
      <c r="AZ166" s="1290"/>
      <c r="BA166" s="1290"/>
      <c r="BB166" s="1290"/>
      <c r="BC166" s="1290"/>
      <c r="BD166" s="1963" t="s">
        <v>162</v>
      </c>
      <c r="BE166" s="1930" t="s">
        <v>117</v>
      </c>
      <c r="BF166" s="1930"/>
      <c r="BG166" s="1930"/>
      <c r="BH166" s="1930"/>
      <c r="BI166" s="1930"/>
      <c r="BJ166" s="1246"/>
      <c r="BK166" s="1246"/>
      <c r="BL166" s="1246"/>
      <c r="BM166" s="1246"/>
      <c r="BN166" s="1246"/>
      <c r="BO166" s="1246"/>
      <c r="BP166" s="1246"/>
      <c r="BQ166" s="1246"/>
    </row>
    <row r="167" spans="2:69" x14ac:dyDescent="0.25">
      <c r="B167" s="1520" t="s">
        <v>3783</v>
      </c>
      <c r="C167" s="1521" t="s">
        <v>3790</v>
      </c>
      <c r="D167" s="1522"/>
      <c r="E167" s="1475"/>
      <c r="F167" s="1473" t="str">
        <f t="shared" ca="1" si="17"/>
        <v>$O$429:$X$434</v>
      </c>
      <c r="G167" s="1197" t="str">
        <f xml:space="preserve"> diachivung($O$429:$X$434)</f>
        <v>$O$429:$X$434</v>
      </c>
      <c r="H167" s="1342" t="str">
        <f xml:space="preserve"> diachivung($AC$429:$AL$434)</f>
        <v>$AC$429:$AL$434</v>
      </c>
      <c r="N167" s="1944"/>
      <c r="O167" s="1373" t="s">
        <v>118</v>
      </c>
      <c r="P167" s="1373" t="s">
        <v>163</v>
      </c>
      <c r="Q167" s="1373" t="s">
        <v>164</v>
      </c>
      <c r="R167" s="1373" t="s">
        <v>165</v>
      </c>
      <c r="S167" s="1373" t="s">
        <v>166</v>
      </c>
      <c r="T167" s="1265"/>
      <c r="U167" s="1265"/>
      <c r="V167" s="1265"/>
      <c r="W167" s="1265"/>
      <c r="X167" s="1265"/>
      <c r="Y167" s="1265"/>
      <c r="Z167" s="1265"/>
      <c r="AA167" s="1265"/>
      <c r="AB167" s="1969"/>
      <c r="AC167" s="1381" t="s">
        <v>118</v>
      </c>
      <c r="AD167" s="1381" t="s">
        <v>163</v>
      </c>
      <c r="AE167" s="1381" t="s">
        <v>164</v>
      </c>
      <c r="AF167" s="1381" t="s">
        <v>165</v>
      </c>
      <c r="AG167" s="1381" t="s">
        <v>166</v>
      </c>
      <c r="AH167" s="1280"/>
      <c r="AI167" s="1280"/>
      <c r="AJ167" s="1280"/>
      <c r="AK167" s="1280"/>
      <c r="AL167" s="1280"/>
      <c r="AM167" s="1280"/>
      <c r="AN167" s="1280"/>
      <c r="AO167" s="1280"/>
      <c r="AP167" s="1967"/>
      <c r="AQ167" s="1296" t="s">
        <v>118</v>
      </c>
      <c r="AR167" s="1296" t="s">
        <v>163</v>
      </c>
      <c r="AS167" s="1296" t="s">
        <v>164</v>
      </c>
      <c r="AT167" s="1381" t="s">
        <v>165</v>
      </c>
      <c r="AU167" s="1381" t="s">
        <v>166</v>
      </c>
      <c r="AV167" s="1290"/>
      <c r="AW167" s="1290"/>
      <c r="AX167" s="1290"/>
      <c r="AY167" s="1290"/>
      <c r="AZ167" s="1290"/>
      <c r="BA167" s="1290"/>
      <c r="BB167" s="1290"/>
      <c r="BC167" s="1290"/>
      <c r="BD167" s="1963"/>
      <c r="BE167" s="204" t="s">
        <v>118</v>
      </c>
      <c r="BF167" s="204" t="s">
        <v>163</v>
      </c>
      <c r="BG167" s="204" t="s">
        <v>164</v>
      </c>
      <c r="BH167" s="204" t="s">
        <v>165</v>
      </c>
      <c r="BI167" s="204" t="s">
        <v>166</v>
      </c>
      <c r="BJ167" s="1246"/>
      <c r="BK167" s="1246"/>
      <c r="BL167" s="1246"/>
      <c r="BM167" s="1246"/>
      <c r="BN167" s="1246"/>
      <c r="BO167" s="1246"/>
      <c r="BP167" s="1246"/>
      <c r="BQ167" s="1246"/>
    </row>
    <row r="168" spans="2:69" x14ac:dyDescent="0.25">
      <c r="B168" s="1520" t="s">
        <v>3784</v>
      </c>
      <c r="C168" s="1521" t="s">
        <v>3791</v>
      </c>
      <c r="D168" s="1522"/>
      <c r="E168" s="1475"/>
      <c r="F168" s="1473" t="str">
        <f t="shared" ca="1" si="17"/>
        <v>$O$449:$X$454</v>
      </c>
      <c r="G168" s="1197" t="str">
        <f xml:space="preserve"> diachivung($O$449:$X$454)</f>
        <v>$O$449:$X$454</v>
      </c>
      <c r="H168" s="1342" t="str">
        <f xml:space="preserve"> diachivung($AC$449:$AL$454)</f>
        <v>$AC$449:$AL$454</v>
      </c>
      <c r="N168" s="1373"/>
      <c r="O168" s="1373">
        <v>0</v>
      </c>
      <c r="P168" s="1373">
        <v>1</v>
      </c>
      <c r="Q168" s="1373">
        <v>2</v>
      </c>
      <c r="R168" s="1373">
        <v>3</v>
      </c>
      <c r="S168" s="1373">
        <v>4</v>
      </c>
      <c r="T168" s="1265"/>
      <c r="U168" s="1265"/>
      <c r="V168" s="1265"/>
      <c r="W168" s="1265"/>
      <c r="X168" s="1265"/>
      <c r="Y168" s="1265"/>
      <c r="Z168" s="1265"/>
      <c r="AA168" s="1265"/>
      <c r="AB168" s="1381"/>
      <c r="AC168" s="1381">
        <v>0</v>
      </c>
      <c r="AD168" s="1381">
        <v>1</v>
      </c>
      <c r="AE168" s="1381">
        <v>2</v>
      </c>
      <c r="AF168" s="1381">
        <v>3</v>
      </c>
      <c r="AG168" s="1381">
        <v>4</v>
      </c>
      <c r="AH168" s="1280"/>
      <c r="AI168" s="1280"/>
      <c r="AJ168" s="1280"/>
      <c r="AK168" s="1280"/>
      <c r="AL168" s="1280"/>
      <c r="AM168" s="1280"/>
      <c r="AN168" s="1280"/>
      <c r="AO168" s="1280"/>
      <c r="AP168" s="1405"/>
      <c r="AQ168" s="1296">
        <v>0</v>
      </c>
      <c r="AR168" s="1296">
        <v>1</v>
      </c>
      <c r="AS168" s="1296">
        <v>2</v>
      </c>
      <c r="AT168" s="1381">
        <v>3</v>
      </c>
      <c r="AU168" s="1381">
        <v>4</v>
      </c>
      <c r="AV168" s="1290"/>
      <c r="AW168" s="1290"/>
      <c r="AX168" s="1290"/>
      <c r="AY168" s="1290"/>
      <c r="AZ168" s="1290"/>
      <c r="BA168" s="1290"/>
      <c r="BB168" s="1290"/>
      <c r="BC168" s="1290"/>
      <c r="BD168" s="204"/>
      <c r="BE168" s="204">
        <v>0</v>
      </c>
      <c r="BF168" s="204">
        <v>1</v>
      </c>
      <c r="BG168" s="204">
        <v>2</v>
      </c>
      <c r="BH168" s="204">
        <v>3</v>
      </c>
      <c r="BI168" s="204">
        <v>4</v>
      </c>
      <c r="BJ168" s="1246"/>
      <c r="BK168" s="1246"/>
      <c r="BL168" s="1246"/>
      <c r="BM168" s="1246"/>
      <c r="BN168" s="1246"/>
      <c r="BO168" s="1246"/>
      <c r="BP168" s="1246"/>
      <c r="BQ168" s="1246"/>
    </row>
    <row r="169" spans="2:69" x14ac:dyDescent="0.25">
      <c r="B169" s="1520" t="s">
        <v>3781</v>
      </c>
      <c r="C169" s="1521" t="s">
        <v>3799</v>
      </c>
      <c r="D169" s="1522"/>
      <c r="E169" s="1475"/>
      <c r="F169" s="1526" t="str">
        <f ca="1">OFFSET(G169,0,$F$99-1)</f>
        <v>$O$469:$Y$470</v>
      </c>
      <c r="G169" s="1197" t="str">
        <f xml:space="preserve"> diachivung($O$469:$Y$470)</f>
        <v>$O$469:$Y$470</v>
      </c>
      <c r="H169" s="1342" t="str">
        <f xml:space="preserve"> diachivung($AC$469:$AM$470)</f>
        <v>$AC$469:$AM$470</v>
      </c>
      <c r="N169" s="1407">
        <v>10000</v>
      </c>
      <c r="O169" s="1408">
        <v>0.45</v>
      </c>
      <c r="P169" s="1408">
        <v>0.28000000000000003</v>
      </c>
      <c r="Q169" s="1408">
        <v>0.25</v>
      </c>
      <c r="R169" s="1408">
        <v>0.21</v>
      </c>
      <c r="S169" s="1408">
        <f>S170</f>
        <v>0.43</v>
      </c>
      <c r="T169" s="1265"/>
      <c r="U169" s="1265"/>
      <c r="V169" s="1265"/>
      <c r="W169" s="1265"/>
      <c r="X169" s="1265"/>
      <c r="Y169" s="1265"/>
      <c r="Z169" s="1265"/>
      <c r="AA169" s="1265"/>
      <c r="AB169" s="1381">
        <v>8000</v>
      </c>
      <c r="AC169" s="1381">
        <v>0.44</v>
      </c>
      <c r="AD169" s="1381">
        <v>0.8</v>
      </c>
      <c r="AE169" s="1381">
        <v>0.26</v>
      </c>
      <c r="AF169" s="1381">
        <v>0.21</v>
      </c>
      <c r="AG169" s="1381">
        <f>AG170</f>
        <v>0.24</v>
      </c>
      <c r="AH169" s="1280"/>
      <c r="AI169" s="1280"/>
      <c r="AJ169" s="1280"/>
      <c r="AK169" s="1280"/>
      <c r="AL169" s="1280"/>
      <c r="AM169" s="1280"/>
      <c r="AN169" s="1280"/>
      <c r="AO169" s="1280"/>
      <c r="AP169" s="1347">
        <v>5000</v>
      </c>
      <c r="AQ169" s="1296">
        <v>0.57999999999999996</v>
      </c>
      <c r="AR169" s="1296">
        <v>0.37</v>
      </c>
      <c r="AS169" s="1296">
        <v>0.34</v>
      </c>
      <c r="AT169" s="1296"/>
      <c r="AU169" s="1296"/>
      <c r="AV169" s="1290"/>
      <c r="AW169" s="1290"/>
      <c r="AX169" s="1290"/>
      <c r="AY169" s="1290"/>
      <c r="AZ169" s="1290"/>
      <c r="BA169" s="1290"/>
      <c r="BB169" s="1290"/>
      <c r="BC169" s="1290"/>
      <c r="BD169" s="204">
        <v>2000</v>
      </c>
      <c r="BE169" s="204">
        <v>0.76</v>
      </c>
      <c r="BF169" s="204">
        <v>0.48</v>
      </c>
      <c r="BG169" s="204">
        <v>0.44</v>
      </c>
      <c r="BH169" s="204"/>
      <c r="BI169" s="204"/>
      <c r="BJ169" s="1246"/>
      <c r="BK169" s="1246"/>
      <c r="BL169" s="1246"/>
      <c r="BM169" s="1246"/>
      <c r="BN169" s="1246"/>
      <c r="BO169" s="1246"/>
      <c r="BP169" s="1246"/>
      <c r="BQ169" s="1246"/>
    </row>
    <row r="170" spans="2:69" x14ac:dyDescent="0.25">
      <c r="B170" s="1188" t="s">
        <v>3305</v>
      </c>
      <c r="C170" s="320" t="s">
        <v>3802</v>
      </c>
      <c r="D170" s="320"/>
      <c r="E170" s="361">
        <v>1</v>
      </c>
      <c r="F170" s="320" t="str">
        <f ca="1">diachivung(OFFSET($O$476:$T$484,0,0))</f>
        <v>$O$476:$T$484</v>
      </c>
      <c r="N170" s="1407">
        <v>8000</v>
      </c>
      <c r="O170" s="1408">
        <v>0.51</v>
      </c>
      <c r="P170" s="1408">
        <v>0.34</v>
      </c>
      <c r="Q170" s="1408">
        <v>0.28999999999999998</v>
      </c>
      <c r="R170" s="1408">
        <v>0.25</v>
      </c>
      <c r="S170" s="1408">
        <f>S171</f>
        <v>0.43</v>
      </c>
      <c r="T170" s="1265"/>
      <c r="U170" s="1265"/>
      <c r="V170" s="1265"/>
      <c r="W170" s="1265"/>
      <c r="X170" s="1265"/>
      <c r="Y170" s="1265"/>
      <c r="Z170" s="1265"/>
      <c r="AA170" s="1265"/>
      <c r="AB170" s="1381">
        <v>5000</v>
      </c>
      <c r="AC170" s="1381">
        <v>0.57999999999999996</v>
      </c>
      <c r="AD170" s="1381">
        <v>0.37</v>
      </c>
      <c r="AE170" s="1381">
        <v>0.34</v>
      </c>
      <c r="AF170" s="1381">
        <v>0.28000000000000003</v>
      </c>
      <c r="AG170" s="1381">
        <v>0.24</v>
      </c>
      <c r="AH170" s="1280"/>
      <c r="AI170" s="1280"/>
      <c r="AJ170" s="1280"/>
      <c r="AK170" s="1280"/>
      <c r="AL170" s="1280"/>
      <c r="AM170" s="1280"/>
      <c r="AN170" s="1280"/>
      <c r="AO170" s="1280"/>
      <c r="AP170" s="1347">
        <v>2000</v>
      </c>
      <c r="AQ170" s="1296">
        <v>0.76</v>
      </c>
      <c r="AR170" s="1296">
        <v>0.48</v>
      </c>
      <c r="AS170" s="1296">
        <v>0.44</v>
      </c>
      <c r="AT170" s="1296"/>
      <c r="AU170" s="1296"/>
      <c r="AV170" s="1290"/>
      <c r="AW170" s="1290"/>
      <c r="AX170" s="1290"/>
      <c r="AY170" s="1290"/>
      <c r="AZ170" s="1290"/>
      <c r="BA170" s="1290"/>
      <c r="BB170" s="1290"/>
      <c r="BC170" s="1290"/>
      <c r="BD170" s="204">
        <v>1000</v>
      </c>
      <c r="BE170" s="204">
        <v>0.91</v>
      </c>
      <c r="BF170" s="204">
        <v>0.56999999999999995</v>
      </c>
      <c r="BG170" s="204">
        <v>0.52</v>
      </c>
      <c r="BH170" s="204"/>
      <c r="BI170" s="204"/>
      <c r="BJ170" s="1246"/>
      <c r="BK170" s="1246"/>
      <c r="BL170" s="1246"/>
      <c r="BM170" s="1246"/>
      <c r="BN170" s="1246"/>
      <c r="BO170" s="1246"/>
      <c r="BP170" s="1246"/>
      <c r="BQ170" s="1246"/>
    </row>
    <row r="171" spans="2:69" x14ac:dyDescent="0.25">
      <c r="B171" s="1188" t="s">
        <v>1149</v>
      </c>
      <c r="C171" s="320" t="s">
        <v>3778</v>
      </c>
      <c r="D171" s="1519"/>
      <c r="F171" s="320" t="str">
        <f ca="1">diachivung(OFFSET($O$504:$P$512,0,0))</f>
        <v>$O$504:$P$512</v>
      </c>
      <c r="N171" s="1407">
        <v>5000</v>
      </c>
      <c r="O171" s="1408">
        <v>0.68</v>
      </c>
      <c r="P171" s="1408">
        <v>0.44</v>
      </c>
      <c r="Q171" s="1408">
        <v>0.39</v>
      </c>
      <c r="R171" s="1408">
        <v>0.32</v>
      </c>
      <c r="S171" s="1408">
        <f>S172</f>
        <v>0.43</v>
      </c>
      <c r="T171" s="1265"/>
      <c r="U171" s="1265"/>
      <c r="V171" s="1265"/>
      <c r="W171" s="1265"/>
      <c r="X171" s="1265"/>
      <c r="Y171" s="1265"/>
      <c r="Z171" s="1265"/>
      <c r="AA171" s="1265"/>
      <c r="AB171" s="1381">
        <v>2000</v>
      </c>
      <c r="AC171" s="1381">
        <v>0.76</v>
      </c>
      <c r="AD171" s="1381">
        <v>0.48</v>
      </c>
      <c r="AE171" s="1381">
        <v>0.44</v>
      </c>
      <c r="AF171" s="1381">
        <v>0.24</v>
      </c>
      <c r="AG171" s="1381">
        <v>0.31</v>
      </c>
      <c r="AH171" s="1280"/>
      <c r="AI171" s="1280"/>
      <c r="AJ171" s="1280"/>
      <c r="AK171" s="1280"/>
      <c r="AL171" s="1280"/>
      <c r="AM171" s="1280"/>
      <c r="AN171" s="1280"/>
      <c r="AO171" s="1280"/>
      <c r="AP171" s="1347">
        <v>1000</v>
      </c>
      <c r="AQ171" s="1296">
        <v>0.91</v>
      </c>
      <c r="AR171" s="1296">
        <v>0.56999999999999995</v>
      </c>
      <c r="AS171" s="1296">
        <v>0.52</v>
      </c>
      <c r="AT171" s="1296"/>
      <c r="AU171" s="1296"/>
      <c r="AV171" s="1290"/>
      <c r="AW171" s="1290"/>
      <c r="AX171" s="1290"/>
      <c r="AY171" s="1290"/>
      <c r="AZ171" s="1290"/>
      <c r="BA171" s="1290"/>
      <c r="BB171" s="1290"/>
      <c r="BC171" s="1290"/>
      <c r="BD171" s="204">
        <v>500</v>
      </c>
      <c r="BE171" s="204">
        <v>1.06</v>
      </c>
      <c r="BF171" s="204">
        <v>0.67</v>
      </c>
      <c r="BG171" s="204">
        <v>0.61</v>
      </c>
      <c r="BH171" s="204"/>
      <c r="BI171" s="204"/>
      <c r="BJ171" s="1246"/>
      <c r="BK171" s="1246"/>
      <c r="BL171" s="1246"/>
      <c r="BM171" s="1246"/>
      <c r="BN171" s="1246"/>
      <c r="BO171" s="1246"/>
      <c r="BP171" s="1246"/>
      <c r="BQ171" s="1246"/>
    </row>
    <row r="172" spans="2:69" x14ac:dyDescent="0.25">
      <c r="B172" s="1188" t="s">
        <v>3306</v>
      </c>
      <c r="C172" s="320" t="s">
        <v>3803</v>
      </c>
      <c r="D172" s="1519"/>
      <c r="F172" s="320" t="str">
        <f>diachivung($O$488:$R$491)</f>
        <v>$O$488:$R$491</v>
      </c>
      <c r="N172" s="1407">
        <v>2000</v>
      </c>
      <c r="O172" s="1408">
        <v>0.92</v>
      </c>
      <c r="P172" s="1408">
        <v>0.57999999999999996</v>
      </c>
      <c r="Q172" s="1408">
        <v>0.51</v>
      </c>
      <c r="R172" s="1408">
        <v>0.43</v>
      </c>
      <c r="S172" s="1408">
        <f>S173</f>
        <v>0.43</v>
      </c>
      <c r="T172" s="1265"/>
      <c r="U172" s="1265"/>
      <c r="V172" s="1265"/>
      <c r="W172" s="1265"/>
      <c r="X172" s="1265"/>
      <c r="Y172" s="1265"/>
      <c r="Z172" s="1265"/>
      <c r="AA172" s="1265"/>
      <c r="AB172" s="1381">
        <v>1000</v>
      </c>
      <c r="AC172" s="1381">
        <v>0.91</v>
      </c>
      <c r="AD172" s="1381">
        <v>0.56999999999999995</v>
      </c>
      <c r="AE172" s="1381">
        <v>0.52</v>
      </c>
      <c r="AF172" s="1381">
        <v>0.42</v>
      </c>
      <c r="AG172" s="1381">
        <v>0.37</v>
      </c>
      <c r="AH172" s="1280"/>
      <c r="AI172" s="1280"/>
      <c r="AJ172" s="1280"/>
      <c r="AK172" s="1280"/>
      <c r="AL172" s="1280"/>
      <c r="AM172" s="1280"/>
      <c r="AN172" s="1280"/>
      <c r="AO172" s="1280"/>
      <c r="AP172" s="1347">
        <v>500</v>
      </c>
      <c r="AQ172" s="1296">
        <v>1.06</v>
      </c>
      <c r="AR172" s="1296">
        <v>0.67</v>
      </c>
      <c r="AS172" s="1296">
        <v>0.61</v>
      </c>
      <c r="AT172" s="1296"/>
      <c r="AU172" s="1296"/>
      <c r="AV172" s="1290"/>
      <c r="AW172" s="1290"/>
      <c r="AX172" s="1290"/>
      <c r="AY172" s="1290"/>
      <c r="AZ172" s="1290"/>
      <c r="BA172" s="1290"/>
      <c r="BB172" s="1290"/>
      <c r="BC172" s="1290"/>
      <c r="BD172" s="204">
        <v>200</v>
      </c>
      <c r="BE172" s="204">
        <v>1.145</v>
      </c>
      <c r="BF172" s="204">
        <v>0.73</v>
      </c>
      <c r="BG172" s="204">
        <v>0.67</v>
      </c>
      <c r="BH172" s="204"/>
      <c r="BI172" s="204"/>
      <c r="BJ172" s="1246"/>
      <c r="BK172" s="1246"/>
      <c r="BL172" s="1246"/>
      <c r="BM172" s="1246"/>
      <c r="BN172" s="1246"/>
      <c r="BO172" s="1246"/>
      <c r="BP172" s="1246"/>
      <c r="BQ172" s="1246"/>
    </row>
    <row r="173" spans="2:69" x14ac:dyDescent="0.25">
      <c r="B173" s="383" t="s">
        <v>3801</v>
      </c>
      <c r="C173" s="1553">
        <v>3</v>
      </c>
      <c r="F173" s="198">
        <v>3</v>
      </c>
      <c r="N173" s="1407">
        <v>1000</v>
      </c>
      <c r="O173" s="1408">
        <v>1.08</v>
      </c>
      <c r="P173" s="1408">
        <v>0.68</v>
      </c>
      <c r="Q173" s="1408">
        <v>0.6</v>
      </c>
      <c r="R173" s="1408">
        <v>0.48</v>
      </c>
      <c r="S173" s="1408">
        <v>0.43</v>
      </c>
      <c r="T173" s="1265"/>
      <c r="U173" s="1265"/>
      <c r="V173" s="1265"/>
      <c r="W173" s="1265"/>
      <c r="X173" s="1265"/>
      <c r="Y173" s="1265"/>
      <c r="Z173" s="1265"/>
      <c r="AA173" s="1265"/>
      <c r="AB173" s="1381">
        <v>500</v>
      </c>
      <c r="AC173" s="1381">
        <v>1.06</v>
      </c>
      <c r="AD173" s="1381">
        <v>0.67</v>
      </c>
      <c r="AE173" s="1381">
        <v>0.61</v>
      </c>
      <c r="AF173" s="1381">
        <v>0.5</v>
      </c>
      <c r="AG173" s="1381">
        <v>0.43</v>
      </c>
      <c r="AH173" s="1280"/>
      <c r="AI173" s="1280"/>
      <c r="AJ173" s="1280"/>
      <c r="AK173" s="1280"/>
      <c r="AL173" s="1280"/>
      <c r="AM173" s="1280"/>
      <c r="AN173" s="1280"/>
      <c r="AO173" s="1280"/>
      <c r="AP173" s="1347">
        <v>200</v>
      </c>
      <c r="AQ173" s="1296">
        <v>1.145</v>
      </c>
      <c r="AR173" s="1296">
        <v>0.73</v>
      </c>
      <c r="AS173" s="1296">
        <v>0.67</v>
      </c>
      <c r="AT173" s="1296"/>
      <c r="AU173" s="1296"/>
      <c r="AV173" s="1290"/>
      <c r="AW173" s="1290"/>
      <c r="AX173" s="1290"/>
      <c r="AY173" s="1290"/>
      <c r="AZ173" s="1290"/>
      <c r="BA173" s="1290"/>
      <c r="BB173" s="1290"/>
      <c r="BC173" s="1290"/>
      <c r="BD173" s="204">
        <v>100</v>
      </c>
      <c r="BE173" s="204">
        <v>1.26</v>
      </c>
      <c r="BF173" s="204">
        <v>0.81</v>
      </c>
      <c r="BG173" s="204">
        <v>0.73</v>
      </c>
      <c r="BH173" s="204"/>
      <c r="BI173" s="204"/>
      <c r="BJ173" s="1246"/>
      <c r="BK173" s="1246"/>
      <c r="BL173" s="1246"/>
      <c r="BM173" s="1246"/>
      <c r="BN173" s="1246"/>
      <c r="BO173" s="1246"/>
      <c r="BP173" s="1246"/>
      <c r="BQ173" s="1246"/>
    </row>
    <row r="174" spans="2:69" x14ac:dyDescent="0.25">
      <c r="B174" s="1188"/>
      <c r="N174" s="1407">
        <v>500</v>
      </c>
      <c r="O174" s="1408">
        <v>1.24</v>
      </c>
      <c r="P174" s="1408">
        <v>0.81</v>
      </c>
      <c r="Q174" s="1408">
        <v>0.7</v>
      </c>
      <c r="R174" s="1408">
        <v>0.57999999999999996</v>
      </c>
      <c r="S174" s="1408">
        <v>0.49</v>
      </c>
      <c r="T174" s="1265"/>
      <c r="U174" s="1265"/>
      <c r="V174" s="1265"/>
      <c r="W174" s="1265"/>
      <c r="X174" s="1265"/>
      <c r="Y174" s="1265"/>
      <c r="Z174" s="1265"/>
      <c r="AA174" s="1265"/>
      <c r="AB174" s="1381">
        <v>200</v>
      </c>
      <c r="AC174" s="1381">
        <v>1.145</v>
      </c>
      <c r="AD174" s="1381">
        <v>0.73</v>
      </c>
      <c r="AE174" s="1381">
        <v>0.67</v>
      </c>
      <c r="AF174" s="1381">
        <v>0.61</v>
      </c>
      <c r="AG174" s="1381">
        <v>0.51</v>
      </c>
      <c r="AH174" s="1280"/>
      <c r="AI174" s="1280"/>
      <c r="AJ174" s="1280"/>
      <c r="AK174" s="1280"/>
      <c r="AL174" s="1280"/>
      <c r="AM174" s="1280"/>
      <c r="AN174" s="1280"/>
      <c r="AO174" s="1280"/>
      <c r="AP174" s="1347">
        <v>100</v>
      </c>
      <c r="AQ174" s="1296">
        <v>1.26</v>
      </c>
      <c r="AR174" s="1296">
        <v>0.81</v>
      </c>
      <c r="AS174" s="1296">
        <v>0.73</v>
      </c>
      <c r="AT174" s="1296"/>
      <c r="AU174" s="1296"/>
      <c r="AV174" s="1290"/>
      <c r="AW174" s="1290"/>
      <c r="AX174" s="1290"/>
      <c r="AY174" s="1290"/>
      <c r="AZ174" s="1290"/>
      <c r="BA174" s="1290"/>
      <c r="BB174" s="1290"/>
      <c r="BC174" s="1290"/>
      <c r="BD174" s="204">
        <v>50</v>
      </c>
      <c r="BE174" s="204">
        <v>1.46</v>
      </c>
      <c r="BF174" s="204">
        <v>0.87</v>
      </c>
      <c r="BG174" s="204">
        <v>0.8</v>
      </c>
      <c r="BH174" s="204"/>
      <c r="BI174" s="204"/>
      <c r="BJ174" s="1246"/>
      <c r="BK174" s="1246"/>
      <c r="BL174" s="1246"/>
      <c r="BM174" s="1246"/>
      <c r="BN174" s="1246"/>
      <c r="BO174" s="1246"/>
      <c r="BP174" s="1246"/>
      <c r="BQ174" s="1246"/>
    </row>
    <row r="175" spans="2:69" x14ac:dyDescent="0.25">
      <c r="B175" s="1188"/>
      <c r="N175" s="1407">
        <v>200</v>
      </c>
      <c r="O175" s="1408">
        <v>1.36</v>
      </c>
      <c r="P175" s="1408">
        <v>0.95</v>
      </c>
      <c r="Q175" s="1408">
        <v>0.77</v>
      </c>
      <c r="R175" s="1408">
        <v>0.68</v>
      </c>
      <c r="S175" s="1408">
        <v>0.59</v>
      </c>
      <c r="T175" s="1265"/>
      <c r="U175" s="1265"/>
      <c r="V175" s="1265"/>
      <c r="W175" s="1265"/>
      <c r="X175" s="1265"/>
      <c r="Y175" s="1265"/>
      <c r="Z175" s="1265"/>
      <c r="AA175" s="1265"/>
      <c r="AB175" s="1381">
        <v>100</v>
      </c>
      <c r="AC175" s="1381">
        <v>1.26</v>
      </c>
      <c r="AD175" s="1381">
        <v>0.81</v>
      </c>
      <c r="AE175" s="1381">
        <v>0.73</v>
      </c>
      <c r="AF175" s="1381">
        <v>0.67</v>
      </c>
      <c r="AG175" s="1381">
        <v>0.6</v>
      </c>
      <c r="AH175" s="1280"/>
      <c r="AI175" s="1280"/>
      <c r="AJ175" s="1280"/>
      <c r="AK175" s="1280"/>
      <c r="AL175" s="1280"/>
      <c r="AM175" s="1280"/>
      <c r="AN175" s="1280"/>
      <c r="AO175" s="1280"/>
      <c r="AP175" s="1347">
        <v>50</v>
      </c>
      <c r="AQ175" s="1296">
        <v>1.46</v>
      </c>
      <c r="AR175" s="1296">
        <v>0.87</v>
      </c>
      <c r="AS175" s="1296">
        <v>0.8</v>
      </c>
      <c r="AT175" s="1296"/>
      <c r="AU175" s="1296"/>
      <c r="AV175" s="1290"/>
      <c r="AW175" s="1290"/>
      <c r="AX175" s="1290"/>
      <c r="AY175" s="1290"/>
      <c r="AZ175" s="1290"/>
      <c r="BA175" s="1290"/>
      <c r="BB175" s="1290"/>
      <c r="BC175" s="1290"/>
      <c r="BD175" s="204">
        <v>20</v>
      </c>
      <c r="BE175" s="204">
        <v>1.67</v>
      </c>
      <c r="BF175" s="204">
        <v>1.05</v>
      </c>
      <c r="BG175" s="204">
        <v>0.94</v>
      </c>
      <c r="BH175" s="204"/>
      <c r="BI175" s="204"/>
      <c r="BJ175" s="1246"/>
      <c r="BK175" s="1246"/>
      <c r="BL175" s="1246"/>
      <c r="BM175" s="1246"/>
      <c r="BN175" s="1246"/>
      <c r="BO175" s="1246"/>
      <c r="BP175" s="1246"/>
      <c r="BQ175" s="1246"/>
    </row>
    <row r="176" spans="2:69" x14ac:dyDescent="0.25">
      <c r="B176" s="1188"/>
      <c r="N176" s="1407">
        <v>100</v>
      </c>
      <c r="O176" s="1408">
        <v>1.5</v>
      </c>
      <c r="P176" s="1408">
        <v>1.05</v>
      </c>
      <c r="Q176" s="1408">
        <v>0.84</v>
      </c>
      <c r="R176" s="1408">
        <v>0.74</v>
      </c>
      <c r="S176" s="1408">
        <v>0.69</v>
      </c>
      <c r="T176" s="1265"/>
      <c r="U176" s="1265"/>
      <c r="V176" s="1265"/>
      <c r="W176" s="1265"/>
      <c r="X176" s="1265"/>
      <c r="Y176" s="1265"/>
      <c r="Z176" s="1265"/>
      <c r="AA176" s="1265"/>
      <c r="AB176" s="1381">
        <v>50</v>
      </c>
      <c r="AC176" s="1381">
        <v>1.46</v>
      </c>
      <c r="AD176" s="1381">
        <v>0.87</v>
      </c>
      <c r="AE176" s="1381">
        <v>0.8</v>
      </c>
      <c r="AF176" s="1381">
        <v>0.73</v>
      </c>
      <c r="AG176" s="1381">
        <v>0.66</v>
      </c>
      <c r="AH176" s="1280"/>
      <c r="AI176" s="1280"/>
      <c r="AJ176" s="1280"/>
      <c r="AK176" s="1280"/>
      <c r="AL176" s="1280"/>
      <c r="AM176" s="1280"/>
      <c r="AN176" s="1280"/>
      <c r="AO176" s="1280"/>
      <c r="AP176" s="1347">
        <v>20</v>
      </c>
      <c r="AQ176" s="1296">
        <v>1.67</v>
      </c>
      <c r="AR176" s="1296">
        <v>1.05</v>
      </c>
      <c r="AS176" s="1296">
        <v>0.94</v>
      </c>
      <c r="AT176" s="1296"/>
      <c r="AU176" s="1296"/>
      <c r="AV176" s="1290"/>
      <c r="AW176" s="1290"/>
      <c r="AX176" s="1290"/>
      <c r="AY176" s="1290"/>
      <c r="AZ176" s="1290"/>
      <c r="BA176" s="1290"/>
      <c r="BB176" s="1290"/>
      <c r="BC176" s="1290"/>
      <c r="BD176" s="204">
        <v>10</v>
      </c>
      <c r="BE176" s="204">
        <v>1.81</v>
      </c>
      <c r="BF176" s="204">
        <v>1.1100000000000001</v>
      </c>
      <c r="BG176" s="204">
        <v>1.01</v>
      </c>
      <c r="BH176" s="204"/>
      <c r="BI176" s="204"/>
      <c r="BJ176" s="1246"/>
      <c r="BK176" s="1246"/>
      <c r="BL176" s="1246"/>
      <c r="BM176" s="1246"/>
      <c r="BN176" s="1246"/>
      <c r="BO176" s="1246"/>
      <c r="BP176" s="1246"/>
      <c r="BQ176" s="1246"/>
    </row>
    <row r="177" spans="2:69" x14ac:dyDescent="0.25">
      <c r="B177" s="1188"/>
      <c r="N177" s="1407">
        <v>50</v>
      </c>
      <c r="O177" s="1408">
        <v>1.68</v>
      </c>
      <c r="P177" s="1408">
        <v>1.1299999999999999</v>
      </c>
      <c r="Q177" s="1408">
        <v>0.92</v>
      </c>
      <c r="R177" s="1408">
        <v>0.81</v>
      </c>
      <c r="S177" s="1408">
        <v>0.76</v>
      </c>
      <c r="T177" s="1265"/>
      <c r="U177" s="1265"/>
      <c r="V177" s="1265"/>
      <c r="W177" s="1265"/>
      <c r="X177" s="1265"/>
      <c r="Y177" s="1265"/>
      <c r="Z177" s="1265"/>
      <c r="AA177" s="1265"/>
      <c r="AB177" s="1381">
        <v>20</v>
      </c>
      <c r="AC177" s="1381">
        <v>1.67</v>
      </c>
      <c r="AD177" s="1381">
        <v>1.05</v>
      </c>
      <c r="AE177" s="1381">
        <v>0.94</v>
      </c>
      <c r="AF177" s="1381">
        <v>0.85</v>
      </c>
      <c r="AG177" s="1381">
        <v>0.76</v>
      </c>
      <c r="AH177" s="1280"/>
      <c r="AI177" s="1280"/>
      <c r="AJ177" s="1280"/>
      <c r="AK177" s="1280"/>
      <c r="AL177" s="1280"/>
      <c r="AM177" s="1280"/>
      <c r="AN177" s="1280"/>
      <c r="AO177" s="1280"/>
      <c r="AP177" s="1347">
        <v>10</v>
      </c>
      <c r="AQ177" s="1296">
        <v>1.81</v>
      </c>
      <c r="AR177" s="1296">
        <v>1.1100000000000001</v>
      </c>
      <c r="AS177" s="1296">
        <v>1.01</v>
      </c>
      <c r="AT177" s="1296"/>
      <c r="AU177" s="1296"/>
      <c r="AV177" s="1290"/>
      <c r="AW177" s="1290"/>
      <c r="AX177" s="1290"/>
      <c r="AY177" s="1290"/>
      <c r="AZ177" s="1290"/>
      <c r="BA177" s="1290"/>
      <c r="BB177" s="1290"/>
      <c r="BC177" s="1290"/>
      <c r="BD177" s="204">
        <v>7</v>
      </c>
      <c r="BE177" s="204">
        <v>0</v>
      </c>
      <c r="BF177" s="204">
        <v>0</v>
      </c>
      <c r="BG177" s="204">
        <v>1.04</v>
      </c>
      <c r="BH177" s="204"/>
      <c r="BI177" s="204"/>
      <c r="BJ177" s="1246"/>
      <c r="BK177" s="1246"/>
      <c r="BL177" s="1246"/>
      <c r="BM177" s="1246"/>
      <c r="BN177" s="1246"/>
      <c r="BO177" s="1246"/>
      <c r="BP177" s="1246"/>
      <c r="BQ177" s="1246"/>
    </row>
    <row r="178" spans="2:69" x14ac:dyDescent="0.25">
      <c r="N178" s="1407">
        <v>20</v>
      </c>
      <c r="O178" s="1408">
        <v>1.92</v>
      </c>
      <c r="P178" s="1408">
        <v>1.39</v>
      </c>
      <c r="Q178" s="1408">
        <v>1.08</v>
      </c>
      <c r="R178" s="1408">
        <v>0.93</v>
      </c>
      <c r="S178" s="1408">
        <v>0.87</v>
      </c>
      <c r="T178" s="1265"/>
      <c r="U178" s="1265"/>
      <c r="V178" s="1265"/>
      <c r="W178" s="1265"/>
      <c r="X178" s="1265"/>
      <c r="Y178" s="1265"/>
      <c r="Z178" s="1265"/>
      <c r="AA178" s="1265"/>
      <c r="AB178" s="1381">
        <v>10</v>
      </c>
      <c r="AC178" s="1381">
        <v>1.81</v>
      </c>
      <c r="AD178" s="1381">
        <v>1.1100000000000001</v>
      </c>
      <c r="AE178" s="1381">
        <v>1.01</v>
      </c>
      <c r="AF178" s="1381">
        <v>0.92</v>
      </c>
      <c r="AG178" s="1381">
        <v>0.83</v>
      </c>
      <c r="AH178" s="1280"/>
      <c r="AI178" s="1280"/>
      <c r="AJ178" s="1280"/>
      <c r="AK178" s="1280"/>
      <c r="AL178" s="1280"/>
      <c r="AM178" s="1280"/>
      <c r="AN178" s="1280"/>
      <c r="AO178" s="1280"/>
      <c r="AP178" s="1347">
        <v>7</v>
      </c>
      <c r="AQ178" s="1296">
        <v>0</v>
      </c>
      <c r="AR178" s="1296">
        <v>0</v>
      </c>
      <c r="AS178" s="1296">
        <v>1.04</v>
      </c>
      <c r="AT178" s="1296"/>
      <c r="AU178" s="1296"/>
      <c r="AV178" s="1290"/>
      <c r="AW178" s="1290"/>
      <c r="AX178" s="1290"/>
      <c r="AY178" s="1290"/>
      <c r="AZ178" s="1290"/>
      <c r="BA178" s="1290"/>
      <c r="BB178" s="1290"/>
      <c r="BC178" s="1290"/>
      <c r="BD178" s="204">
        <v>3</v>
      </c>
      <c r="BE178" s="204">
        <v>0</v>
      </c>
      <c r="BF178" s="204">
        <v>0</v>
      </c>
      <c r="BG178" s="204">
        <v>1.21</v>
      </c>
      <c r="BH178" s="204"/>
      <c r="BI178" s="204"/>
      <c r="BJ178" s="1246"/>
      <c r="BK178" s="1246"/>
      <c r="BL178" s="1246"/>
      <c r="BM178" s="1246"/>
      <c r="BN178" s="1246"/>
      <c r="BO178" s="1246"/>
      <c r="BP178" s="1246"/>
      <c r="BQ178" s="1246"/>
    </row>
    <row r="179" spans="2:69" ht="15.75" customHeight="1" x14ac:dyDescent="0.25">
      <c r="N179" s="1407">
        <v>10</v>
      </c>
      <c r="O179" s="1408">
        <v>2.0499999999999998</v>
      </c>
      <c r="P179" s="1408">
        <v>1.44</v>
      </c>
      <c r="Q179" s="1408">
        <v>1.19</v>
      </c>
      <c r="R179" s="1408">
        <v>1.05</v>
      </c>
      <c r="S179" s="1408">
        <v>0</v>
      </c>
      <c r="T179" s="1265"/>
      <c r="U179" s="1265"/>
      <c r="V179" s="1265"/>
      <c r="W179" s="1265"/>
      <c r="X179" s="1265"/>
      <c r="Y179" s="1265"/>
      <c r="Z179" s="1265"/>
      <c r="AA179" s="1265"/>
      <c r="AB179" s="1381">
        <v>7</v>
      </c>
      <c r="AC179" s="1581">
        <f>AC178</f>
        <v>1.81</v>
      </c>
      <c r="AD179" s="1381">
        <f>AD178</f>
        <v>1.1100000000000001</v>
      </c>
      <c r="AE179" s="1381">
        <v>1.04</v>
      </c>
      <c r="AF179" s="1381">
        <v>0.95</v>
      </c>
      <c r="AG179" s="1381">
        <v>0.85</v>
      </c>
      <c r="AH179" s="1280"/>
      <c r="AI179" s="1280"/>
      <c r="AJ179" s="1280"/>
      <c r="AK179" s="1280"/>
      <c r="AL179" s="1280"/>
      <c r="AM179" s="1280"/>
      <c r="AN179" s="1280"/>
      <c r="AO179" s="1280"/>
      <c r="AP179" s="1297"/>
      <c r="AQ179" s="1297"/>
      <c r="AR179" s="1297"/>
      <c r="AS179" s="1297"/>
      <c r="AT179" s="1297"/>
      <c r="AU179" s="1297"/>
      <c r="AV179" s="1290"/>
      <c r="AW179" s="1290"/>
      <c r="AX179" s="1290"/>
      <c r="AY179" s="1290"/>
      <c r="AZ179" s="1290"/>
      <c r="BA179" s="1290"/>
      <c r="BB179" s="1290"/>
      <c r="BC179" s="1290"/>
      <c r="BD179" s="201"/>
      <c r="BE179" s="201"/>
      <c r="BF179" s="201"/>
      <c r="BG179" s="201"/>
      <c r="BH179" s="201"/>
      <c r="BI179" s="201"/>
      <c r="BJ179" s="1246"/>
      <c r="BK179" s="1246"/>
      <c r="BL179" s="1246"/>
      <c r="BM179" s="1246"/>
      <c r="BN179" s="1246"/>
      <c r="BO179" s="1246"/>
      <c r="BP179" s="1246"/>
      <c r="BQ179" s="1246"/>
    </row>
    <row r="180" spans="2:69" x14ac:dyDescent="0.25">
      <c r="N180" s="1271" t="s">
        <v>185</v>
      </c>
      <c r="O180" s="1272"/>
      <c r="P180" s="1271"/>
      <c r="Q180" s="1271"/>
      <c r="R180" s="1272"/>
      <c r="S180" s="1272"/>
      <c r="T180" s="1265"/>
      <c r="U180" s="1265"/>
      <c r="V180" s="1265"/>
      <c r="W180" s="1265"/>
      <c r="X180" s="1265"/>
      <c r="Y180" s="1265"/>
      <c r="Z180" s="1265"/>
      <c r="AA180" s="1265"/>
      <c r="AB180" s="1284" t="s">
        <v>185</v>
      </c>
      <c r="AC180" s="1285"/>
      <c r="AD180" s="1284"/>
      <c r="AE180" s="1284"/>
      <c r="AF180" s="1285"/>
      <c r="AG180" s="1285"/>
      <c r="AH180" s="1280"/>
      <c r="AI180" s="1280"/>
      <c r="AJ180" s="1280"/>
      <c r="AK180" s="1280"/>
      <c r="AL180" s="1280"/>
      <c r="AM180" s="1280"/>
      <c r="AN180" s="1280"/>
      <c r="AO180" s="1280"/>
      <c r="AP180" s="1294" t="s">
        <v>185</v>
      </c>
      <c r="AQ180" s="1295"/>
      <c r="AR180" s="1294"/>
      <c r="AS180" s="1294"/>
      <c r="AT180" s="1295"/>
      <c r="AU180" s="1295"/>
      <c r="AV180" s="1290"/>
      <c r="AW180" s="1290"/>
      <c r="AX180" s="1290"/>
      <c r="AY180" s="1290"/>
      <c r="AZ180" s="1290"/>
      <c r="BA180" s="1290"/>
      <c r="BB180" s="1290"/>
      <c r="BC180" s="1290"/>
      <c r="BD180" s="1250" t="s">
        <v>185</v>
      </c>
      <c r="BE180" s="1251"/>
      <c r="BF180" s="1250"/>
      <c r="BG180" s="1250"/>
      <c r="BH180" s="1251"/>
      <c r="BI180" s="1251"/>
      <c r="BJ180" s="1246"/>
      <c r="BK180" s="1246"/>
      <c r="BL180" s="1246"/>
      <c r="BM180" s="1246"/>
      <c r="BN180" s="1246"/>
      <c r="BO180" s="1246"/>
      <c r="BP180" s="1246"/>
      <c r="BQ180" s="1246"/>
    </row>
    <row r="181" spans="2:69" x14ac:dyDescent="0.25">
      <c r="N181" s="1944" t="s">
        <v>162</v>
      </c>
      <c r="O181" s="1944" t="s">
        <v>117</v>
      </c>
      <c r="P181" s="1944"/>
      <c r="Q181" s="1944"/>
      <c r="R181" s="1944"/>
      <c r="S181" s="1944"/>
      <c r="T181" s="1265"/>
      <c r="U181" s="1265"/>
      <c r="V181" s="1265"/>
      <c r="W181" s="1265"/>
      <c r="X181" s="1265"/>
      <c r="Y181" s="1265"/>
      <c r="Z181" s="1265"/>
      <c r="AA181" s="1265"/>
      <c r="AB181" s="1962" t="s">
        <v>162</v>
      </c>
      <c r="AC181" s="1926" t="s">
        <v>117</v>
      </c>
      <c r="AD181" s="1926"/>
      <c r="AE181" s="1926"/>
      <c r="AF181" s="1926"/>
      <c r="AG181" s="1926"/>
      <c r="AH181" s="1280"/>
      <c r="AI181" s="1280"/>
      <c r="AJ181" s="1280"/>
      <c r="AK181" s="1280"/>
      <c r="AL181" s="1280"/>
      <c r="AM181" s="1280"/>
      <c r="AN181" s="1280"/>
      <c r="AO181" s="1280"/>
      <c r="AP181" s="1934" t="s">
        <v>162</v>
      </c>
      <c r="AQ181" s="1928" t="s">
        <v>117</v>
      </c>
      <c r="AR181" s="1928"/>
      <c r="AS181" s="1928"/>
      <c r="AT181" s="1928"/>
      <c r="AU181" s="1928"/>
      <c r="AV181" s="1290"/>
      <c r="AW181" s="1290"/>
      <c r="AX181" s="1290"/>
      <c r="AY181" s="1290"/>
      <c r="AZ181" s="1290"/>
      <c r="BA181" s="1290"/>
      <c r="BB181" s="1290"/>
      <c r="BC181" s="1290"/>
      <c r="BD181" s="1963" t="s">
        <v>162</v>
      </c>
      <c r="BE181" s="1930" t="s">
        <v>117</v>
      </c>
      <c r="BF181" s="1930"/>
      <c r="BG181" s="1930"/>
      <c r="BH181" s="1930"/>
      <c r="BI181" s="1930"/>
      <c r="BJ181" s="1246"/>
      <c r="BK181" s="1246"/>
      <c r="BL181" s="1246"/>
      <c r="BM181" s="1246"/>
      <c r="BN181" s="1246"/>
      <c r="BO181" s="1246"/>
      <c r="BP181" s="1246"/>
      <c r="BQ181" s="1246"/>
    </row>
    <row r="182" spans="2:69" x14ac:dyDescent="0.25">
      <c r="N182" s="1944"/>
      <c r="O182" s="1373" t="s">
        <v>118</v>
      </c>
      <c r="P182" s="1373" t="s">
        <v>163</v>
      </c>
      <c r="Q182" s="1373" t="s">
        <v>164</v>
      </c>
      <c r="R182" s="1373" t="s">
        <v>165</v>
      </c>
      <c r="S182" s="1373" t="s">
        <v>166</v>
      </c>
      <c r="T182" s="1265"/>
      <c r="U182" s="1265"/>
      <c r="V182" s="1265"/>
      <c r="W182" s="1265"/>
      <c r="X182" s="1265"/>
      <c r="Y182" s="1265"/>
      <c r="Z182" s="1265"/>
      <c r="AA182" s="1265"/>
      <c r="AB182" s="1962"/>
      <c r="AC182" s="1381" t="s">
        <v>118</v>
      </c>
      <c r="AD182" s="1381" t="s">
        <v>163</v>
      </c>
      <c r="AE182" s="1381" t="s">
        <v>164</v>
      </c>
      <c r="AF182" s="1381" t="s">
        <v>165</v>
      </c>
      <c r="AG182" s="1381" t="s">
        <v>166</v>
      </c>
      <c r="AH182" s="1280"/>
      <c r="AI182" s="1280"/>
      <c r="AJ182" s="1280"/>
      <c r="AK182" s="1280"/>
      <c r="AL182" s="1280"/>
      <c r="AM182" s="1280"/>
      <c r="AN182" s="1280"/>
      <c r="AO182" s="1280"/>
      <c r="AP182" s="1934"/>
      <c r="AQ182" s="1296" t="s">
        <v>118</v>
      </c>
      <c r="AR182" s="1296" t="s">
        <v>163</v>
      </c>
      <c r="AS182" s="1296" t="s">
        <v>164</v>
      </c>
      <c r="AT182" s="1381" t="s">
        <v>165</v>
      </c>
      <c r="AU182" s="1381" t="s">
        <v>166</v>
      </c>
      <c r="AV182" s="1290"/>
      <c r="AW182" s="1290"/>
      <c r="AX182" s="1290"/>
      <c r="AY182" s="1290"/>
      <c r="AZ182" s="1290"/>
      <c r="BA182" s="1290"/>
      <c r="BB182" s="1290"/>
      <c r="BC182" s="1290"/>
      <c r="BD182" s="1963"/>
      <c r="BE182" s="204" t="s">
        <v>118</v>
      </c>
      <c r="BF182" s="204" t="s">
        <v>163</v>
      </c>
      <c r="BG182" s="204" t="s">
        <v>164</v>
      </c>
      <c r="BH182" s="204" t="s">
        <v>165</v>
      </c>
      <c r="BI182" s="204" t="s">
        <v>166</v>
      </c>
      <c r="BJ182" s="1246"/>
      <c r="BK182" s="1246"/>
      <c r="BL182" s="1246"/>
      <c r="BM182" s="1246"/>
      <c r="BN182" s="1246"/>
      <c r="BO182" s="1246"/>
      <c r="BP182" s="1246"/>
      <c r="BQ182" s="1246"/>
    </row>
    <row r="183" spans="2:69" x14ac:dyDescent="0.25">
      <c r="N183" s="1373"/>
      <c r="O183" s="1373">
        <v>0</v>
      </c>
      <c r="P183" s="1373">
        <v>1</v>
      </c>
      <c r="Q183" s="1373">
        <v>2</v>
      </c>
      <c r="R183" s="1373">
        <v>3</v>
      </c>
      <c r="S183" s="1373">
        <v>4</v>
      </c>
      <c r="T183" s="1265"/>
      <c r="U183" s="1265"/>
      <c r="V183" s="1265"/>
      <c r="W183" s="1265"/>
      <c r="X183" s="1265"/>
      <c r="Y183" s="1265"/>
      <c r="Z183" s="1265"/>
      <c r="AA183" s="1265"/>
      <c r="AB183" s="1381"/>
      <c r="AC183" s="1381">
        <v>0</v>
      </c>
      <c r="AD183" s="1381">
        <v>1</v>
      </c>
      <c r="AE183" s="1381">
        <v>2</v>
      </c>
      <c r="AF183" s="1381">
        <v>3</v>
      </c>
      <c r="AG183" s="1381">
        <v>4</v>
      </c>
      <c r="AH183" s="1280"/>
      <c r="AI183" s="1280"/>
      <c r="AJ183" s="1280"/>
      <c r="AK183" s="1280"/>
      <c r="AL183" s="1280"/>
      <c r="AM183" s="1280"/>
      <c r="AN183" s="1280"/>
      <c r="AO183" s="1280"/>
      <c r="AP183" s="1296"/>
      <c r="AQ183" s="1296">
        <v>0</v>
      </c>
      <c r="AR183" s="1296">
        <v>1</v>
      </c>
      <c r="AS183" s="1296">
        <v>2</v>
      </c>
      <c r="AT183" s="1381">
        <v>3</v>
      </c>
      <c r="AU183" s="1381">
        <v>4</v>
      </c>
      <c r="AV183" s="1290"/>
      <c r="AW183" s="1290"/>
      <c r="AX183" s="1290"/>
      <c r="AY183" s="1290"/>
      <c r="AZ183" s="1290"/>
      <c r="BA183" s="1290"/>
      <c r="BB183" s="1290"/>
      <c r="BC183" s="1290"/>
      <c r="BD183" s="204"/>
      <c r="BE183" s="204">
        <v>0</v>
      </c>
      <c r="BF183" s="204">
        <v>1</v>
      </c>
      <c r="BG183" s="204">
        <v>2</v>
      </c>
      <c r="BH183" s="204">
        <v>3</v>
      </c>
      <c r="BI183" s="204">
        <v>4</v>
      </c>
      <c r="BJ183" s="1246"/>
      <c r="BK183" s="1246"/>
      <c r="BL183" s="1246"/>
      <c r="BM183" s="1246"/>
      <c r="BN183" s="1246"/>
      <c r="BO183" s="1246"/>
      <c r="BP183" s="1246"/>
      <c r="BQ183" s="1246"/>
    </row>
    <row r="184" spans="2:69" x14ac:dyDescent="0.25">
      <c r="N184" s="1407">
        <v>10000</v>
      </c>
      <c r="O184" s="1373">
        <v>0.248</v>
      </c>
      <c r="P184" s="1373">
        <v>0.154</v>
      </c>
      <c r="Q184" s="1373">
        <v>0.13800000000000001</v>
      </c>
      <c r="R184" s="1373">
        <v>0.11600000000000001</v>
      </c>
      <c r="S184" s="1583">
        <f>S185</f>
        <v>0.23699999999999999</v>
      </c>
      <c r="T184" s="1265"/>
      <c r="U184" s="1265"/>
      <c r="V184" s="1265"/>
      <c r="W184" s="1265"/>
      <c r="X184" s="1265"/>
      <c r="Y184" s="1265"/>
      <c r="Z184" s="1265"/>
      <c r="AA184" s="1265"/>
      <c r="AB184" s="1381">
        <v>8000</v>
      </c>
      <c r="AC184" s="1381">
        <f t="shared" ref="AC184:AG194" si="18">ROUND(AC169*0.55,3)</f>
        <v>0.24199999999999999</v>
      </c>
      <c r="AD184" s="1381">
        <f t="shared" si="18"/>
        <v>0.44</v>
      </c>
      <c r="AE184" s="1381">
        <f t="shared" si="18"/>
        <v>0.14299999999999999</v>
      </c>
      <c r="AF184" s="1381">
        <f t="shared" si="18"/>
        <v>0.11600000000000001</v>
      </c>
      <c r="AG184" s="1381">
        <f t="shared" si="18"/>
        <v>0.13200000000000001</v>
      </c>
      <c r="AH184" s="1280"/>
      <c r="AI184" s="1280"/>
      <c r="AJ184" s="1280"/>
      <c r="AK184" s="1280"/>
      <c r="AL184" s="1280"/>
      <c r="AM184" s="1280"/>
      <c r="AN184" s="1280"/>
      <c r="AO184" s="1280"/>
      <c r="AP184" s="1347">
        <v>5000</v>
      </c>
      <c r="AQ184" s="1296">
        <f t="shared" ref="AQ184:AS193" si="19">AQ169*0.55</f>
        <v>0.31900000000000001</v>
      </c>
      <c r="AR184" s="1296">
        <f t="shared" si="19"/>
        <v>0.20350000000000001</v>
      </c>
      <c r="AS184" s="1296">
        <f t="shared" si="19"/>
        <v>0.18700000000000003</v>
      </c>
      <c r="AT184" s="1296"/>
      <c r="AU184" s="1296"/>
      <c r="AV184" s="1290"/>
      <c r="AW184" s="1290"/>
      <c r="AX184" s="1290"/>
      <c r="AY184" s="1290"/>
      <c r="AZ184" s="1290"/>
      <c r="BA184" s="1290"/>
      <c r="BB184" s="1290"/>
      <c r="BC184" s="1290"/>
      <c r="BD184" s="204">
        <v>2000</v>
      </c>
      <c r="BE184" s="204">
        <f t="shared" ref="BE184:BG193" si="20">BE169*0.55</f>
        <v>0.41800000000000004</v>
      </c>
      <c r="BF184" s="204">
        <f t="shared" si="20"/>
        <v>0.26400000000000001</v>
      </c>
      <c r="BG184" s="204">
        <f t="shared" si="20"/>
        <v>0.24200000000000002</v>
      </c>
      <c r="BH184" s="204"/>
      <c r="BI184" s="204"/>
      <c r="BJ184" s="1246"/>
      <c r="BK184" s="1246"/>
      <c r="BL184" s="1246"/>
      <c r="BM184" s="1246"/>
      <c r="BN184" s="1246"/>
      <c r="BO184" s="1246"/>
      <c r="BP184" s="1246"/>
      <c r="BQ184" s="1246"/>
    </row>
    <row r="185" spans="2:69" x14ac:dyDescent="0.25">
      <c r="N185" s="1407">
        <v>8000</v>
      </c>
      <c r="O185" s="1373">
        <v>0.28100000000000003</v>
      </c>
      <c r="P185" s="1373">
        <v>0.187</v>
      </c>
      <c r="Q185" s="1373">
        <v>0.16</v>
      </c>
      <c r="R185" s="1373">
        <v>0.13800000000000001</v>
      </c>
      <c r="S185" s="1583">
        <f>S186</f>
        <v>0.23699999999999999</v>
      </c>
      <c r="T185" s="1265"/>
      <c r="U185" s="1265"/>
      <c r="V185" s="1265"/>
      <c r="W185" s="1265"/>
      <c r="X185" s="1265"/>
      <c r="Y185" s="1265"/>
      <c r="Z185" s="1265"/>
      <c r="AA185" s="1265"/>
      <c r="AB185" s="1381">
        <v>5000</v>
      </c>
      <c r="AC185" s="1381">
        <f t="shared" si="18"/>
        <v>0.31900000000000001</v>
      </c>
      <c r="AD185" s="1381">
        <f t="shared" si="18"/>
        <v>0.20399999999999999</v>
      </c>
      <c r="AE185" s="1381">
        <f t="shared" si="18"/>
        <v>0.187</v>
      </c>
      <c r="AF185" s="1381">
        <f t="shared" si="18"/>
        <v>0.154</v>
      </c>
      <c r="AG185" s="1381">
        <f t="shared" si="18"/>
        <v>0.13200000000000001</v>
      </c>
      <c r="AH185" s="1280"/>
      <c r="AI185" s="1280"/>
      <c r="AJ185" s="1280"/>
      <c r="AK185" s="1280"/>
      <c r="AL185" s="1280"/>
      <c r="AM185" s="1280"/>
      <c r="AN185" s="1280"/>
      <c r="AO185" s="1280"/>
      <c r="AP185" s="1347">
        <v>2000</v>
      </c>
      <c r="AQ185" s="1296">
        <f t="shared" si="19"/>
        <v>0.41800000000000004</v>
      </c>
      <c r="AR185" s="1296">
        <f t="shared" si="19"/>
        <v>0.26400000000000001</v>
      </c>
      <c r="AS185" s="1296">
        <f t="shared" si="19"/>
        <v>0.24200000000000002</v>
      </c>
      <c r="AT185" s="1296"/>
      <c r="AU185" s="1296"/>
      <c r="AV185" s="1290"/>
      <c r="AW185" s="1290"/>
      <c r="AX185" s="1290"/>
      <c r="AY185" s="1290"/>
      <c r="AZ185" s="1290"/>
      <c r="BA185" s="1290"/>
      <c r="BB185" s="1290"/>
      <c r="BC185" s="1290"/>
      <c r="BD185" s="204">
        <v>1000</v>
      </c>
      <c r="BE185" s="204">
        <f t="shared" si="20"/>
        <v>0.50050000000000006</v>
      </c>
      <c r="BF185" s="204">
        <f t="shared" si="20"/>
        <v>0.3135</v>
      </c>
      <c r="BG185" s="204">
        <f t="shared" si="20"/>
        <v>0.28600000000000003</v>
      </c>
      <c r="BH185" s="204"/>
      <c r="BI185" s="204"/>
      <c r="BJ185" s="1246"/>
      <c r="BK185" s="1246"/>
      <c r="BL185" s="1246"/>
      <c r="BM185" s="1246"/>
      <c r="BN185" s="1246"/>
      <c r="BO185" s="1246"/>
      <c r="BP185" s="1246"/>
      <c r="BQ185" s="1246"/>
    </row>
    <row r="186" spans="2:69" x14ac:dyDescent="0.25">
      <c r="N186" s="1407">
        <v>5000</v>
      </c>
      <c r="O186" s="1373">
        <v>0.374</v>
      </c>
      <c r="P186" s="1373">
        <v>0.24199999999999999</v>
      </c>
      <c r="Q186" s="1373">
        <v>0.215</v>
      </c>
      <c r="R186" s="1373">
        <v>0.17599999999999999</v>
      </c>
      <c r="S186" s="1583">
        <f>S187</f>
        <v>0.23699999999999999</v>
      </c>
      <c r="T186" s="1265"/>
      <c r="U186" s="1265"/>
      <c r="V186" s="1265"/>
      <c r="W186" s="1265"/>
      <c r="X186" s="1265"/>
      <c r="Y186" s="1265"/>
      <c r="Z186" s="1265"/>
      <c r="AA186" s="1265"/>
      <c r="AB186" s="1381">
        <v>2000</v>
      </c>
      <c r="AC186" s="1381">
        <f t="shared" si="18"/>
        <v>0.41799999999999998</v>
      </c>
      <c r="AD186" s="1381">
        <f t="shared" si="18"/>
        <v>0.26400000000000001</v>
      </c>
      <c r="AE186" s="1381">
        <f t="shared" si="18"/>
        <v>0.24199999999999999</v>
      </c>
      <c r="AF186" s="1381">
        <f t="shared" si="18"/>
        <v>0.13200000000000001</v>
      </c>
      <c r="AG186" s="1381">
        <f t="shared" si="18"/>
        <v>0.17100000000000001</v>
      </c>
      <c r="AH186" s="1280"/>
      <c r="AI186" s="1280"/>
      <c r="AJ186" s="1280"/>
      <c r="AK186" s="1280"/>
      <c r="AL186" s="1280"/>
      <c r="AM186" s="1280"/>
      <c r="AN186" s="1280"/>
      <c r="AO186" s="1280"/>
      <c r="AP186" s="1347">
        <v>1000</v>
      </c>
      <c r="AQ186" s="1296">
        <f t="shared" si="19"/>
        <v>0.50050000000000006</v>
      </c>
      <c r="AR186" s="1296">
        <f t="shared" si="19"/>
        <v>0.3135</v>
      </c>
      <c r="AS186" s="1296">
        <f t="shared" si="19"/>
        <v>0.28600000000000003</v>
      </c>
      <c r="AT186" s="1296"/>
      <c r="AU186" s="1296"/>
      <c r="AV186" s="1290"/>
      <c r="AW186" s="1290"/>
      <c r="AX186" s="1290"/>
      <c r="AY186" s="1290"/>
      <c r="AZ186" s="1290"/>
      <c r="BA186" s="1290"/>
      <c r="BB186" s="1290"/>
      <c r="BC186" s="1290"/>
      <c r="BD186" s="204">
        <v>500</v>
      </c>
      <c r="BE186" s="204">
        <f t="shared" si="20"/>
        <v>0.58300000000000007</v>
      </c>
      <c r="BF186" s="204">
        <f t="shared" si="20"/>
        <v>0.36850000000000005</v>
      </c>
      <c r="BG186" s="204">
        <f t="shared" si="20"/>
        <v>0.33550000000000002</v>
      </c>
      <c r="BH186" s="204"/>
      <c r="BI186" s="204"/>
      <c r="BJ186" s="1246"/>
      <c r="BK186" s="1246"/>
      <c r="BL186" s="1246"/>
      <c r="BM186" s="1246"/>
      <c r="BN186" s="1246"/>
      <c r="BO186" s="1246"/>
      <c r="BP186" s="1246"/>
      <c r="BQ186" s="1246"/>
    </row>
    <row r="187" spans="2:69" x14ac:dyDescent="0.25">
      <c r="B187" s="234"/>
      <c r="C187" s="234"/>
      <c r="D187" s="1199"/>
      <c r="E187" s="38"/>
      <c r="F187" s="38"/>
      <c r="N187" s="1407">
        <v>2000</v>
      </c>
      <c r="O187" s="1373">
        <v>0.50600000000000001</v>
      </c>
      <c r="P187" s="1373">
        <v>0.31900000000000001</v>
      </c>
      <c r="Q187" s="1373">
        <v>0.28100000000000003</v>
      </c>
      <c r="R187" s="1373">
        <v>0.23699999999999999</v>
      </c>
      <c r="S187" s="1373">
        <f>S188</f>
        <v>0.23699999999999999</v>
      </c>
      <c r="T187" s="1265"/>
      <c r="U187" s="1265"/>
      <c r="V187" s="1265"/>
      <c r="W187" s="1265"/>
      <c r="X187" s="1265"/>
      <c r="Y187" s="1265"/>
      <c r="Z187" s="1265"/>
      <c r="AA187" s="1265"/>
      <c r="AB187" s="1381">
        <v>1000</v>
      </c>
      <c r="AC187" s="1381">
        <f t="shared" si="18"/>
        <v>0.501</v>
      </c>
      <c r="AD187" s="1381">
        <f t="shared" si="18"/>
        <v>0.314</v>
      </c>
      <c r="AE187" s="1381">
        <f t="shared" si="18"/>
        <v>0.28599999999999998</v>
      </c>
      <c r="AF187" s="1381">
        <f t="shared" si="18"/>
        <v>0.23100000000000001</v>
      </c>
      <c r="AG187" s="1381">
        <f t="shared" si="18"/>
        <v>0.20399999999999999</v>
      </c>
      <c r="AH187" s="1280"/>
      <c r="AI187" s="1280"/>
      <c r="AJ187" s="1280"/>
      <c r="AK187" s="1280"/>
      <c r="AL187" s="1280"/>
      <c r="AM187" s="1280"/>
      <c r="AN187" s="1280"/>
      <c r="AO187" s="1280"/>
      <c r="AP187" s="1347">
        <v>500</v>
      </c>
      <c r="AQ187" s="1296">
        <f t="shared" si="19"/>
        <v>0.58300000000000007</v>
      </c>
      <c r="AR187" s="1296">
        <f t="shared" si="19"/>
        <v>0.36850000000000005</v>
      </c>
      <c r="AS187" s="1296">
        <f t="shared" si="19"/>
        <v>0.33550000000000002</v>
      </c>
      <c r="AT187" s="1296"/>
      <c r="AU187" s="1296"/>
      <c r="AV187" s="1290"/>
      <c r="AW187" s="1290"/>
      <c r="AX187" s="1290"/>
      <c r="AY187" s="1290"/>
      <c r="AZ187" s="1290"/>
      <c r="BA187" s="1290"/>
      <c r="BB187" s="1290"/>
      <c r="BC187" s="1290"/>
      <c r="BD187" s="204">
        <v>200</v>
      </c>
      <c r="BE187" s="204">
        <f t="shared" si="20"/>
        <v>0.62975000000000003</v>
      </c>
      <c r="BF187" s="204">
        <f t="shared" si="20"/>
        <v>0.40150000000000002</v>
      </c>
      <c r="BG187" s="204">
        <f t="shared" si="20"/>
        <v>0.36850000000000005</v>
      </c>
      <c r="BH187" s="204"/>
      <c r="BI187" s="204"/>
      <c r="BJ187" s="1246"/>
      <c r="BK187" s="1246"/>
      <c r="BL187" s="1246"/>
      <c r="BM187" s="1246"/>
      <c r="BN187" s="1246"/>
      <c r="BO187" s="1246"/>
      <c r="BP187" s="1246"/>
      <c r="BQ187" s="1246"/>
    </row>
    <row r="188" spans="2:69" x14ac:dyDescent="0.25">
      <c r="B188" s="234"/>
      <c r="C188" s="234"/>
      <c r="D188" s="1199"/>
      <c r="E188" s="38"/>
      <c r="F188" s="38"/>
      <c r="N188" s="1407">
        <v>1000</v>
      </c>
      <c r="O188" s="1373">
        <v>0.59399999999999997</v>
      </c>
      <c r="P188" s="1373">
        <v>0.374</v>
      </c>
      <c r="Q188" s="1373">
        <v>0.33</v>
      </c>
      <c r="R188" s="1373">
        <v>0.26400000000000001</v>
      </c>
      <c r="S188" s="1373">
        <v>0.23699999999999999</v>
      </c>
      <c r="T188" s="1265"/>
      <c r="U188" s="1265"/>
      <c r="V188" s="1265"/>
      <c r="W188" s="1265"/>
      <c r="X188" s="1265"/>
      <c r="Y188" s="1265"/>
      <c r="Z188" s="1265"/>
      <c r="AA188" s="1265"/>
      <c r="AB188" s="1381">
        <v>500</v>
      </c>
      <c r="AC188" s="1381">
        <f t="shared" si="18"/>
        <v>0.58299999999999996</v>
      </c>
      <c r="AD188" s="1381">
        <f t="shared" si="18"/>
        <v>0.36899999999999999</v>
      </c>
      <c r="AE188" s="1381">
        <f t="shared" si="18"/>
        <v>0.33600000000000002</v>
      </c>
      <c r="AF188" s="1381">
        <f t="shared" si="18"/>
        <v>0.27500000000000002</v>
      </c>
      <c r="AG188" s="1381">
        <f t="shared" si="18"/>
        <v>0.23699999999999999</v>
      </c>
      <c r="AH188" s="1280"/>
      <c r="AI188" s="1280"/>
      <c r="AJ188" s="1280"/>
      <c r="AK188" s="1280"/>
      <c r="AL188" s="1280"/>
      <c r="AM188" s="1280"/>
      <c r="AN188" s="1280"/>
      <c r="AO188" s="1280"/>
      <c r="AP188" s="1347">
        <v>200</v>
      </c>
      <c r="AQ188" s="1296">
        <f t="shared" si="19"/>
        <v>0.62975000000000003</v>
      </c>
      <c r="AR188" s="1296">
        <f t="shared" si="19"/>
        <v>0.40150000000000002</v>
      </c>
      <c r="AS188" s="1296">
        <f t="shared" si="19"/>
        <v>0.36850000000000005</v>
      </c>
      <c r="AT188" s="1296"/>
      <c r="AU188" s="1296"/>
      <c r="AV188" s="1290"/>
      <c r="AW188" s="1290"/>
      <c r="AX188" s="1290"/>
      <c r="AY188" s="1290"/>
      <c r="AZ188" s="1290"/>
      <c r="BA188" s="1290"/>
      <c r="BB188" s="1290"/>
      <c r="BC188" s="1290"/>
      <c r="BD188" s="204">
        <v>100</v>
      </c>
      <c r="BE188" s="204">
        <f t="shared" si="20"/>
        <v>0.69300000000000006</v>
      </c>
      <c r="BF188" s="204">
        <f t="shared" si="20"/>
        <v>0.44550000000000006</v>
      </c>
      <c r="BG188" s="204">
        <f t="shared" si="20"/>
        <v>0.40150000000000002</v>
      </c>
      <c r="BH188" s="204"/>
      <c r="BI188" s="204"/>
      <c r="BJ188" s="1246"/>
      <c r="BK188" s="1246"/>
      <c r="BL188" s="1246"/>
      <c r="BM188" s="1246"/>
      <c r="BN188" s="1246"/>
      <c r="BO188" s="1246"/>
      <c r="BP188" s="1246"/>
      <c r="BQ188" s="1246"/>
    </row>
    <row r="189" spans="2:69" x14ac:dyDescent="0.25">
      <c r="B189" s="234"/>
      <c r="C189" s="234"/>
      <c r="D189" s="1199"/>
      <c r="E189" s="38"/>
      <c r="F189" s="38"/>
      <c r="N189" s="1407">
        <v>500</v>
      </c>
      <c r="O189" s="1373">
        <v>0.68200000000000005</v>
      </c>
      <c r="P189" s="1373">
        <v>0.44600000000000001</v>
      </c>
      <c r="Q189" s="1373">
        <v>0.38500000000000001</v>
      </c>
      <c r="R189" s="1373">
        <v>0.31900000000000001</v>
      </c>
      <c r="S189" s="1373">
        <v>0.27</v>
      </c>
      <c r="T189" s="1265"/>
      <c r="U189" s="1265"/>
      <c r="V189" s="1265"/>
      <c r="W189" s="1265"/>
      <c r="X189" s="1265"/>
      <c r="Y189" s="1265"/>
      <c r="Z189" s="1265"/>
      <c r="AA189" s="1265"/>
      <c r="AB189" s="1381">
        <v>200</v>
      </c>
      <c r="AC189" s="1381">
        <f t="shared" si="18"/>
        <v>0.63</v>
      </c>
      <c r="AD189" s="1381">
        <f t="shared" si="18"/>
        <v>0.40200000000000002</v>
      </c>
      <c r="AE189" s="1381">
        <f t="shared" si="18"/>
        <v>0.36899999999999999</v>
      </c>
      <c r="AF189" s="1381">
        <f t="shared" si="18"/>
        <v>0.33600000000000002</v>
      </c>
      <c r="AG189" s="1381">
        <f t="shared" si="18"/>
        <v>0.28100000000000003</v>
      </c>
      <c r="AH189" s="1280"/>
      <c r="AI189" s="1280"/>
      <c r="AJ189" s="1280"/>
      <c r="AK189" s="1280"/>
      <c r="AL189" s="1280"/>
      <c r="AM189" s="1280"/>
      <c r="AN189" s="1280"/>
      <c r="AO189" s="1280"/>
      <c r="AP189" s="1347">
        <v>100</v>
      </c>
      <c r="AQ189" s="1296">
        <f t="shared" si="19"/>
        <v>0.69300000000000006</v>
      </c>
      <c r="AR189" s="1296">
        <f t="shared" si="19"/>
        <v>0.44550000000000006</v>
      </c>
      <c r="AS189" s="1296">
        <f t="shared" si="19"/>
        <v>0.40150000000000002</v>
      </c>
      <c r="AT189" s="1296"/>
      <c r="AU189" s="1296"/>
      <c r="AV189" s="1290"/>
      <c r="AW189" s="1290"/>
      <c r="AX189" s="1290"/>
      <c r="AY189" s="1290"/>
      <c r="AZ189" s="1290"/>
      <c r="BA189" s="1290"/>
      <c r="BB189" s="1290"/>
      <c r="BC189" s="1290"/>
      <c r="BD189" s="204">
        <v>50</v>
      </c>
      <c r="BE189" s="204">
        <f t="shared" si="20"/>
        <v>0.80300000000000005</v>
      </c>
      <c r="BF189" s="204">
        <f t="shared" si="20"/>
        <v>0.47850000000000004</v>
      </c>
      <c r="BG189" s="204">
        <f t="shared" si="20"/>
        <v>0.44000000000000006</v>
      </c>
      <c r="BH189" s="204"/>
      <c r="BI189" s="204"/>
      <c r="BJ189" s="1246"/>
      <c r="BK189" s="1246"/>
      <c r="BL189" s="1246"/>
      <c r="BM189" s="1246"/>
      <c r="BN189" s="1246"/>
      <c r="BO189" s="1246"/>
      <c r="BP189" s="1246"/>
      <c r="BQ189" s="1246"/>
    </row>
    <row r="190" spans="2:69" x14ac:dyDescent="0.25">
      <c r="B190" s="234"/>
      <c r="C190" s="234"/>
      <c r="D190" s="1199"/>
      <c r="E190" s="38"/>
      <c r="F190" s="38"/>
      <c r="N190" s="1407">
        <v>200</v>
      </c>
      <c r="O190" s="1373">
        <v>0.748</v>
      </c>
      <c r="P190" s="1373">
        <v>0.52300000000000002</v>
      </c>
      <c r="Q190" s="1373">
        <v>0.42399999999999999</v>
      </c>
      <c r="R190" s="1373">
        <v>0.374</v>
      </c>
      <c r="S190" s="1373">
        <v>0.32500000000000001</v>
      </c>
      <c r="T190" s="1265"/>
      <c r="U190" s="1265"/>
      <c r="V190" s="1265"/>
      <c r="W190" s="1265"/>
      <c r="X190" s="1265"/>
      <c r="Y190" s="1265"/>
      <c r="Z190" s="1265"/>
      <c r="AA190" s="1265"/>
      <c r="AB190" s="1381">
        <v>100</v>
      </c>
      <c r="AC190" s="1381">
        <f t="shared" si="18"/>
        <v>0.69299999999999995</v>
      </c>
      <c r="AD190" s="1381">
        <f t="shared" si="18"/>
        <v>0.44600000000000001</v>
      </c>
      <c r="AE190" s="1381">
        <f t="shared" si="18"/>
        <v>0.40200000000000002</v>
      </c>
      <c r="AF190" s="1381">
        <f t="shared" si="18"/>
        <v>0.36899999999999999</v>
      </c>
      <c r="AG190" s="1381">
        <f t="shared" si="18"/>
        <v>0.33</v>
      </c>
      <c r="AH190" s="1280"/>
      <c r="AI190" s="1280"/>
      <c r="AJ190" s="1280"/>
      <c r="AK190" s="1280"/>
      <c r="AL190" s="1280"/>
      <c r="AM190" s="1280"/>
      <c r="AN190" s="1280"/>
      <c r="AO190" s="1280"/>
      <c r="AP190" s="1347">
        <v>50</v>
      </c>
      <c r="AQ190" s="1296">
        <f t="shared" si="19"/>
        <v>0.80300000000000005</v>
      </c>
      <c r="AR190" s="1296">
        <f t="shared" si="19"/>
        <v>0.47850000000000004</v>
      </c>
      <c r="AS190" s="1296">
        <f t="shared" si="19"/>
        <v>0.44000000000000006</v>
      </c>
      <c r="AT190" s="1296"/>
      <c r="AU190" s="1296"/>
      <c r="AV190" s="1290"/>
      <c r="AW190" s="1290"/>
      <c r="AX190" s="1290"/>
      <c r="AY190" s="1290"/>
      <c r="AZ190" s="1290"/>
      <c r="BA190" s="1290"/>
      <c r="BB190" s="1290"/>
      <c r="BC190" s="1290"/>
      <c r="BD190" s="204">
        <v>20</v>
      </c>
      <c r="BE190" s="204">
        <f t="shared" si="20"/>
        <v>0.91849999999999998</v>
      </c>
      <c r="BF190" s="204">
        <f t="shared" si="20"/>
        <v>0.57750000000000012</v>
      </c>
      <c r="BG190" s="204">
        <f t="shared" si="20"/>
        <v>0.51700000000000002</v>
      </c>
      <c r="BH190" s="204"/>
      <c r="BI190" s="204"/>
      <c r="BJ190" s="1246"/>
      <c r="BK190" s="1246"/>
      <c r="BL190" s="1246"/>
      <c r="BM190" s="1246"/>
      <c r="BN190" s="1246"/>
      <c r="BO190" s="1246"/>
      <c r="BP190" s="1246"/>
      <c r="BQ190" s="1246"/>
    </row>
    <row r="191" spans="2:69" x14ac:dyDescent="0.25">
      <c r="B191" s="234"/>
      <c r="C191" s="234"/>
      <c r="D191" s="1199"/>
      <c r="E191" s="38"/>
      <c r="F191" s="38"/>
      <c r="N191" s="1407">
        <v>100</v>
      </c>
      <c r="O191" s="1373">
        <v>0.82499999999999996</v>
      </c>
      <c r="P191" s="1373">
        <v>0.57799999999999996</v>
      </c>
      <c r="Q191" s="1373">
        <v>0.46200000000000002</v>
      </c>
      <c r="R191" s="1373">
        <v>0.40699999999999997</v>
      </c>
      <c r="S191" s="1373">
        <v>0.38</v>
      </c>
      <c r="T191" s="1265"/>
      <c r="U191" s="1265"/>
      <c r="V191" s="1265"/>
      <c r="W191" s="1265"/>
      <c r="X191" s="1265"/>
      <c r="Y191" s="1265"/>
      <c r="Z191" s="1265"/>
      <c r="AA191" s="1265"/>
      <c r="AB191" s="1381">
        <v>50</v>
      </c>
      <c r="AC191" s="1381">
        <f t="shared" si="18"/>
        <v>0.80300000000000005</v>
      </c>
      <c r="AD191" s="1381">
        <f t="shared" si="18"/>
        <v>0.47899999999999998</v>
      </c>
      <c r="AE191" s="1381">
        <f t="shared" si="18"/>
        <v>0.44</v>
      </c>
      <c r="AF191" s="1381">
        <f t="shared" si="18"/>
        <v>0.40200000000000002</v>
      </c>
      <c r="AG191" s="1381">
        <f t="shared" si="18"/>
        <v>0.36299999999999999</v>
      </c>
      <c r="AH191" s="1280"/>
      <c r="AI191" s="1280"/>
      <c r="AJ191" s="1280"/>
      <c r="AK191" s="1280"/>
      <c r="AL191" s="1280"/>
      <c r="AM191" s="1280"/>
      <c r="AN191" s="1280"/>
      <c r="AO191" s="1280"/>
      <c r="AP191" s="1347">
        <v>20</v>
      </c>
      <c r="AQ191" s="1296">
        <f t="shared" si="19"/>
        <v>0.91849999999999998</v>
      </c>
      <c r="AR191" s="1296">
        <f t="shared" si="19"/>
        <v>0.57750000000000012</v>
      </c>
      <c r="AS191" s="1296">
        <f t="shared" si="19"/>
        <v>0.51700000000000002</v>
      </c>
      <c r="AT191" s="1296"/>
      <c r="AU191" s="1296"/>
      <c r="AV191" s="1290"/>
      <c r="AW191" s="1290"/>
      <c r="AX191" s="1290"/>
      <c r="AY191" s="1290"/>
      <c r="AZ191" s="1290"/>
      <c r="BA191" s="1290"/>
      <c r="BB191" s="1290"/>
      <c r="BC191" s="1290"/>
      <c r="BD191" s="204">
        <v>10</v>
      </c>
      <c r="BE191" s="204">
        <f t="shared" si="20"/>
        <v>0.99550000000000016</v>
      </c>
      <c r="BF191" s="204">
        <f t="shared" si="20"/>
        <v>0.61050000000000015</v>
      </c>
      <c r="BG191" s="204">
        <f t="shared" si="20"/>
        <v>0.5555000000000001</v>
      </c>
      <c r="BH191" s="204"/>
      <c r="BI191" s="204"/>
      <c r="BJ191" s="1246"/>
      <c r="BK191" s="1246"/>
      <c r="BL191" s="1246"/>
      <c r="BM191" s="1246"/>
      <c r="BN191" s="1246"/>
      <c r="BO191" s="1246"/>
      <c r="BP191" s="1246"/>
      <c r="BQ191" s="1246"/>
    </row>
    <row r="192" spans="2:69" x14ac:dyDescent="0.25">
      <c r="B192" s="234"/>
      <c r="C192" s="234"/>
      <c r="D192" s="1199"/>
      <c r="E192" s="234"/>
      <c r="F192" s="234"/>
      <c r="N192" s="1407">
        <v>50</v>
      </c>
      <c r="O192" s="1373">
        <v>0.92400000000000004</v>
      </c>
      <c r="P192" s="1373">
        <v>0.622</v>
      </c>
      <c r="Q192" s="1373">
        <v>0.50600000000000001</v>
      </c>
      <c r="R192" s="1373">
        <v>0.44600000000000001</v>
      </c>
      <c r="S192" s="1373">
        <v>0.41799999999999998</v>
      </c>
      <c r="T192" s="1265"/>
      <c r="U192" s="1265"/>
      <c r="V192" s="1265"/>
      <c r="W192" s="1265"/>
      <c r="X192" s="1265"/>
      <c r="Y192" s="1265"/>
      <c r="Z192" s="1265"/>
      <c r="AA192" s="1265"/>
      <c r="AB192" s="1381">
        <v>20</v>
      </c>
      <c r="AC192" s="1381">
        <f t="shared" si="18"/>
        <v>0.91900000000000004</v>
      </c>
      <c r="AD192" s="1381">
        <f t="shared" si="18"/>
        <v>0.57799999999999996</v>
      </c>
      <c r="AE192" s="1381">
        <f t="shared" si="18"/>
        <v>0.51700000000000002</v>
      </c>
      <c r="AF192" s="1381">
        <f t="shared" si="18"/>
        <v>0.46800000000000003</v>
      </c>
      <c r="AG192" s="1381">
        <f t="shared" si="18"/>
        <v>0.41799999999999998</v>
      </c>
      <c r="AH192" s="1280"/>
      <c r="AI192" s="1280"/>
      <c r="AJ192" s="1280"/>
      <c r="AK192" s="1280"/>
      <c r="AL192" s="1280"/>
      <c r="AM192" s="1280"/>
      <c r="AN192" s="1280"/>
      <c r="AO192" s="1280"/>
      <c r="AP192" s="1347">
        <v>10</v>
      </c>
      <c r="AQ192" s="1296">
        <f t="shared" si="19"/>
        <v>0.99550000000000016</v>
      </c>
      <c r="AR192" s="1296">
        <f t="shared" si="19"/>
        <v>0.61050000000000015</v>
      </c>
      <c r="AS192" s="1296">
        <f t="shared" si="19"/>
        <v>0.5555000000000001</v>
      </c>
      <c r="AT192" s="1296"/>
      <c r="AU192" s="1296"/>
      <c r="AV192" s="1290"/>
      <c r="AW192" s="1290"/>
      <c r="AX192" s="1290"/>
      <c r="AY192" s="1290"/>
      <c r="AZ192" s="1290"/>
      <c r="BA192" s="1290"/>
      <c r="BB192" s="1290"/>
      <c r="BC192" s="1290"/>
      <c r="BD192" s="204">
        <v>7</v>
      </c>
      <c r="BE192" s="204">
        <f t="shared" si="20"/>
        <v>0</v>
      </c>
      <c r="BF192" s="204">
        <f t="shared" si="20"/>
        <v>0</v>
      </c>
      <c r="BG192" s="204">
        <f t="shared" si="20"/>
        <v>0.57200000000000006</v>
      </c>
      <c r="BH192" s="204"/>
      <c r="BI192" s="204"/>
      <c r="BJ192" s="1246"/>
      <c r="BK192" s="1246"/>
      <c r="BL192" s="1246"/>
      <c r="BM192" s="1246"/>
      <c r="BN192" s="1246"/>
      <c r="BO192" s="1246"/>
      <c r="BP192" s="1246"/>
      <c r="BQ192" s="1246"/>
    </row>
    <row r="193" spans="4:69" x14ac:dyDescent="0.25">
      <c r="D193" s="1198"/>
      <c r="E193" s="234"/>
      <c r="F193" s="234"/>
      <c r="N193" s="1407">
        <v>20</v>
      </c>
      <c r="O193" s="1373">
        <v>1.056</v>
      </c>
      <c r="P193" s="1373">
        <v>0.76500000000000001</v>
      </c>
      <c r="Q193" s="1373">
        <v>0.59399999999999997</v>
      </c>
      <c r="R193" s="1373">
        <v>0.51200000000000001</v>
      </c>
      <c r="S193" s="1373">
        <v>0.47899999999999998</v>
      </c>
      <c r="T193" s="1265"/>
      <c r="U193" s="1265"/>
      <c r="V193" s="1265"/>
      <c r="W193" s="1265"/>
      <c r="X193" s="1265"/>
      <c r="Y193" s="1265"/>
      <c r="Z193" s="1265"/>
      <c r="AA193" s="1265"/>
      <c r="AB193" s="1381">
        <v>10</v>
      </c>
      <c r="AC193" s="1381">
        <f t="shared" si="18"/>
        <v>0.996</v>
      </c>
      <c r="AD193" s="1381">
        <f t="shared" si="18"/>
        <v>0.61099999999999999</v>
      </c>
      <c r="AE193" s="1381">
        <f t="shared" si="18"/>
        <v>0.55600000000000005</v>
      </c>
      <c r="AF193" s="1381">
        <f t="shared" si="18"/>
        <v>0.50600000000000001</v>
      </c>
      <c r="AG193" s="1381">
        <f t="shared" si="18"/>
        <v>0.45700000000000002</v>
      </c>
      <c r="AH193" s="1280"/>
      <c r="AI193" s="1280"/>
      <c r="AJ193" s="1280"/>
      <c r="AK193" s="1280"/>
      <c r="AL193" s="1280"/>
      <c r="AM193" s="1280"/>
      <c r="AN193" s="1280"/>
      <c r="AO193" s="1280"/>
      <c r="AP193" s="1347">
        <v>7</v>
      </c>
      <c r="AQ193" s="1296">
        <f t="shared" si="19"/>
        <v>0</v>
      </c>
      <c r="AR193" s="1296">
        <f t="shared" si="19"/>
        <v>0</v>
      </c>
      <c r="AS193" s="1296">
        <f t="shared" si="19"/>
        <v>0.57200000000000006</v>
      </c>
      <c r="AT193" s="1296"/>
      <c r="AU193" s="1296"/>
      <c r="AV193" s="1290"/>
      <c r="AW193" s="1290"/>
      <c r="AX193" s="1290"/>
      <c r="AY193" s="1290"/>
      <c r="AZ193" s="1290"/>
      <c r="BA193" s="1290"/>
      <c r="BB193" s="1290"/>
      <c r="BC193" s="1290"/>
      <c r="BD193" s="204">
        <v>3</v>
      </c>
      <c r="BE193" s="204">
        <f t="shared" si="20"/>
        <v>0</v>
      </c>
      <c r="BF193" s="204">
        <f t="shared" si="20"/>
        <v>0</v>
      </c>
      <c r="BG193" s="204">
        <f t="shared" si="20"/>
        <v>0.66549999999999998</v>
      </c>
      <c r="BH193" s="204"/>
      <c r="BI193" s="204"/>
      <c r="BJ193" s="1246"/>
      <c r="BK193" s="1246"/>
      <c r="BL193" s="1246"/>
      <c r="BM193" s="1246"/>
      <c r="BN193" s="1246"/>
      <c r="BO193" s="1246"/>
      <c r="BP193" s="1246"/>
      <c r="BQ193" s="1246"/>
    </row>
    <row r="194" spans="4:69" ht="15.75" customHeight="1" x14ac:dyDescent="0.25">
      <c r="E194" s="234"/>
      <c r="F194" s="234"/>
      <c r="N194" s="1407">
        <v>10</v>
      </c>
      <c r="O194" s="1373">
        <v>1.1279999999999999</v>
      </c>
      <c r="P194" s="1373">
        <v>0.79200000000000004</v>
      </c>
      <c r="Q194" s="1373">
        <v>0.65500000000000003</v>
      </c>
      <c r="R194" s="1373">
        <v>0.57799999999999996</v>
      </c>
      <c r="S194" s="1373">
        <f>S193</f>
        <v>0.47899999999999998</v>
      </c>
      <c r="T194" s="1265"/>
      <c r="U194" s="1265"/>
      <c r="V194" s="1265"/>
      <c r="W194" s="1265"/>
      <c r="X194" s="1265"/>
      <c r="Y194" s="1265"/>
      <c r="Z194" s="1265"/>
      <c r="AA194" s="1265"/>
      <c r="AB194" s="1381">
        <v>7</v>
      </c>
      <c r="AC194" s="1381">
        <f t="shared" si="18"/>
        <v>0.996</v>
      </c>
      <c r="AD194" s="1381">
        <f t="shared" si="18"/>
        <v>0.61099999999999999</v>
      </c>
      <c r="AE194" s="1381">
        <f t="shared" si="18"/>
        <v>0.57199999999999995</v>
      </c>
      <c r="AF194" s="1381">
        <f t="shared" si="18"/>
        <v>0.52300000000000002</v>
      </c>
      <c r="AG194" s="1381">
        <f t="shared" si="18"/>
        <v>0.46800000000000003</v>
      </c>
      <c r="AH194" s="1280"/>
      <c r="AI194" s="1280"/>
      <c r="AJ194" s="1280"/>
      <c r="AK194" s="1280"/>
      <c r="AL194" s="1280"/>
      <c r="AM194" s="1280"/>
      <c r="AN194" s="1280"/>
      <c r="AO194" s="1280"/>
      <c r="AP194" s="1297"/>
      <c r="AQ194" s="1297"/>
      <c r="AR194" s="1297"/>
      <c r="AS194" s="1297"/>
      <c r="AT194" s="1297"/>
      <c r="AU194" s="1297"/>
      <c r="AV194" s="1290"/>
      <c r="AW194" s="1290"/>
      <c r="AX194" s="1290"/>
      <c r="AY194" s="1290"/>
      <c r="AZ194" s="1290"/>
      <c r="BA194" s="1290"/>
      <c r="BB194" s="1290"/>
      <c r="BC194" s="1290"/>
      <c r="BD194" s="201"/>
      <c r="BE194" s="201"/>
      <c r="BF194" s="201"/>
      <c r="BG194" s="201"/>
      <c r="BH194" s="201"/>
      <c r="BI194" s="201"/>
      <c r="BJ194" s="1246"/>
      <c r="BK194" s="1246"/>
      <c r="BL194" s="1246"/>
      <c r="BM194" s="1246"/>
      <c r="BN194" s="1246"/>
      <c r="BO194" s="1246"/>
      <c r="BP194" s="1246"/>
      <c r="BQ194" s="1246"/>
    </row>
    <row r="195" spans="4:69" x14ac:dyDescent="0.25">
      <c r="N195" s="1271" t="s">
        <v>186</v>
      </c>
      <c r="O195" s="1272"/>
      <c r="P195" s="1271"/>
      <c r="Q195" s="1271"/>
      <c r="R195" s="1272"/>
      <c r="S195" s="1272"/>
      <c r="T195" s="1265"/>
      <c r="U195" s="1265"/>
      <c r="V195" s="1265"/>
      <c r="W195" s="1265"/>
      <c r="X195" s="1265"/>
      <c r="Y195" s="1265"/>
      <c r="Z195" s="1265"/>
      <c r="AA195" s="1265"/>
      <c r="AB195" s="1284" t="s">
        <v>186</v>
      </c>
      <c r="AC195" s="1285"/>
      <c r="AD195" s="1284"/>
      <c r="AE195" s="1284"/>
      <c r="AF195" s="1285"/>
      <c r="AG195" s="1285"/>
      <c r="AH195" s="1280"/>
      <c r="AI195" s="1280"/>
      <c r="AJ195" s="1280"/>
      <c r="AK195" s="1280"/>
      <c r="AL195" s="1280"/>
      <c r="AM195" s="1280"/>
      <c r="AN195" s="1280"/>
      <c r="AO195" s="1280"/>
      <c r="AP195" s="1294" t="s">
        <v>186</v>
      </c>
      <c r="AQ195" s="1295"/>
      <c r="AR195" s="1294"/>
      <c r="AS195" s="1294"/>
      <c r="AT195" s="1295"/>
      <c r="AU195" s="1295"/>
      <c r="AV195" s="1290"/>
      <c r="AW195" s="1290"/>
      <c r="AX195" s="1290"/>
      <c r="AY195" s="1290"/>
      <c r="AZ195" s="1290"/>
      <c r="BA195" s="1290"/>
      <c r="BB195" s="1290"/>
      <c r="BC195" s="1290"/>
      <c r="BD195" s="1250" t="s">
        <v>186</v>
      </c>
      <c r="BE195" s="1251"/>
      <c r="BF195" s="1250"/>
      <c r="BG195" s="1250"/>
      <c r="BH195" s="1251"/>
      <c r="BI195" s="1251"/>
      <c r="BJ195" s="1246"/>
      <c r="BK195" s="1246"/>
      <c r="BL195" s="1246"/>
      <c r="BM195" s="1246"/>
      <c r="BN195" s="1246"/>
      <c r="BO195" s="1246"/>
      <c r="BP195" s="1246"/>
      <c r="BQ195" s="1246"/>
    </row>
    <row r="196" spans="4:69" x14ac:dyDescent="0.25">
      <c r="N196" s="1944" t="s">
        <v>162</v>
      </c>
      <c r="O196" s="1944" t="s">
        <v>117</v>
      </c>
      <c r="P196" s="1944"/>
      <c r="Q196" s="1944"/>
      <c r="R196" s="1944"/>
      <c r="S196" s="1944"/>
      <c r="T196" s="1265"/>
      <c r="U196" s="1265"/>
      <c r="V196" s="1265"/>
      <c r="W196" s="1265"/>
      <c r="X196" s="1265"/>
      <c r="Y196" s="1265"/>
      <c r="Z196" s="1265"/>
      <c r="AA196" s="1265"/>
      <c r="AB196" s="1968" t="s">
        <v>162</v>
      </c>
      <c r="AC196" s="1957" t="s">
        <v>117</v>
      </c>
      <c r="AD196" s="1958"/>
      <c r="AE196" s="1958"/>
      <c r="AF196" s="1958"/>
      <c r="AG196" s="1959"/>
      <c r="AH196" s="1280"/>
      <c r="AI196" s="1280"/>
      <c r="AJ196" s="1280"/>
      <c r="AK196" s="1280"/>
      <c r="AL196" s="1280"/>
      <c r="AM196" s="1280"/>
      <c r="AN196" s="1280"/>
      <c r="AO196" s="1280"/>
      <c r="AP196" s="1934" t="s">
        <v>162</v>
      </c>
      <c r="AQ196" s="1931" t="s">
        <v>117</v>
      </c>
      <c r="AR196" s="1932"/>
      <c r="AS196" s="1932"/>
      <c r="AT196" s="1932"/>
      <c r="AU196" s="1933"/>
      <c r="AV196" s="1290"/>
      <c r="AW196" s="1290"/>
      <c r="AX196" s="1290"/>
      <c r="AY196" s="1290"/>
      <c r="AZ196" s="1290"/>
      <c r="BA196" s="1290"/>
      <c r="BB196" s="1290"/>
      <c r="BC196" s="1290"/>
      <c r="BD196" s="1963" t="s">
        <v>162</v>
      </c>
      <c r="BE196" s="1998" t="s">
        <v>117</v>
      </c>
      <c r="BF196" s="1999"/>
      <c r="BG196" s="1999"/>
      <c r="BH196" s="1999"/>
      <c r="BI196" s="2000"/>
      <c r="BJ196" s="1246"/>
      <c r="BK196" s="1246"/>
      <c r="BL196" s="1246"/>
      <c r="BM196" s="1246"/>
      <c r="BN196" s="1246"/>
      <c r="BO196" s="1246"/>
      <c r="BP196" s="1246"/>
      <c r="BQ196" s="1246"/>
    </row>
    <row r="197" spans="4:69" x14ac:dyDescent="0.25">
      <c r="N197" s="1944"/>
      <c r="O197" s="1373" t="s">
        <v>118</v>
      </c>
      <c r="P197" s="1373" t="s">
        <v>163</v>
      </c>
      <c r="Q197" s="1373" t="s">
        <v>164</v>
      </c>
      <c r="R197" s="1373" t="s">
        <v>165</v>
      </c>
      <c r="S197" s="1373" t="s">
        <v>166</v>
      </c>
      <c r="T197" s="1265"/>
      <c r="U197" s="1265"/>
      <c r="V197" s="1265"/>
      <c r="W197" s="1265"/>
      <c r="X197" s="1265"/>
      <c r="Y197" s="1265"/>
      <c r="Z197" s="1265"/>
      <c r="AA197" s="1265"/>
      <c r="AB197" s="1969"/>
      <c r="AC197" s="1381" t="s">
        <v>118</v>
      </c>
      <c r="AD197" s="1381" t="s">
        <v>163</v>
      </c>
      <c r="AE197" s="1381" t="s">
        <v>164</v>
      </c>
      <c r="AF197" s="1381" t="s">
        <v>165</v>
      </c>
      <c r="AG197" s="1381" t="s">
        <v>166</v>
      </c>
      <c r="AH197" s="1280"/>
      <c r="AI197" s="1280"/>
      <c r="AJ197" s="1280"/>
      <c r="AK197" s="1280"/>
      <c r="AL197" s="1280"/>
      <c r="AM197" s="1280"/>
      <c r="AN197" s="1280"/>
      <c r="AO197" s="1280"/>
      <c r="AP197" s="1934"/>
      <c r="AQ197" s="1381" t="s">
        <v>118</v>
      </c>
      <c r="AR197" s="1381" t="s">
        <v>163</v>
      </c>
      <c r="AS197" s="1296" t="s">
        <v>164</v>
      </c>
      <c r="AT197" s="1296" t="s">
        <v>165</v>
      </c>
      <c r="AU197" s="1296" t="s">
        <v>166</v>
      </c>
      <c r="AV197" s="1290"/>
      <c r="AW197" s="1290"/>
      <c r="AX197" s="1290"/>
      <c r="AY197" s="1290"/>
      <c r="AZ197" s="1290"/>
      <c r="BA197" s="1290"/>
      <c r="BB197" s="1290"/>
      <c r="BC197" s="1290"/>
      <c r="BD197" s="1963"/>
      <c r="BE197" s="1381" t="s">
        <v>118</v>
      </c>
      <c r="BF197" s="1381" t="s">
        <v>163</v>
      </c>
      <c r="BG197" s="204" t="s">
        <v>164</v>
      </c>
      <c r="BH197" s="204" t="s">
        <v>165</v>
      </c>
      <c r="BI197" s="204" t="s">
        <v>166</v>
      </c>
      <c r="BJ197" s="1246"/>
      <c r="BK197" s="1246"/>
      <c r="BL197" s="1246"/>
      <c r="BM197" s="1246"/>
      <c r="BN197" s="1246"/>
      <c r="BO197" s="1246"/>
      <c r="BP197" s="1246"/>
      <c r="BQ197" s="1246"/>
    </row>
    <row r="198" spans="4:69" x14ac:dyDescent="0.25">
      <c r="N198" s="1373"/>
      <c r="O198" s="1373">
        <v>0</v>
      </c>
      <c r="P198" s="1373">
        <v>1</v>
      </c>
      <c r="Q198" s="1373">
        <v>2</v>
      </c>
      <c r="R198" s="1373">
        <v>3</v>
      </c>
      <c r="S198" s="1373">
        <v>4</v>
      </c>
      <c r="T198" s="1265"/>
      <c r="U198" s="1265"/>
      <c r="V198" s="1265"/>
      <c r="W198" s="1265"/>
      <c r="X198" s="1265"/>
      <c r="Y198" s="1265"/>
      <c r="Z198" s="1265"/>
      <c r="AA198" s="1265"/>
      <c r="AB198" s="1381"/>
      <c r="AC198" s="1381">
        <v>0</v>
      </c>
      <c r="AD198" s="1381">
        <v>1</v>
      </c>
      <c r="AE198" s="1381">
        <v>2</v>
      </c>
      <c r="AF198" s="1381">
        <v>3</v>
      </c>
      <c r="AG198" s="1381">
        <v>4</v>
      </c>
      <c r="AH198" s="1280"/>
      <c r="AI198" s="1280"/>
      <c r="AJ198" s="1280"/>
      <c r="AK198" s="1280"/>
      <c r="AL198" s="1280"/>
      <c r="AM198" s="1280"/>
      <c r="AN198" s="1280"/>
      <c r="AO198" s="1280"/>
      <c r="AP198" s="1296"/>
      <c r="AQ198" s="1296"/>
      <c r="AR198" s="1296">
        <v>1</v>
      </c>
      <c r="AS198" s="1296">
        <v>2</v>
      </c>
      <c r="AT198" s="1296">
        <v>3</v>
      </c>
      <c r="AU198" s="1296">
        <v>4</v>
      </c>
      <c r="AV198" s="1290"/>
      <c r="AW198" s="1290"/>
      <c r="AX198" s="1290"/>
      <c r="AY198" s="1290"/>
      <c r="AZ198" s="1290"/>
      <c r="BA198" s="1290"/>
      <c r="BB198" s="1290"/>
      <c r="BC198" s="1290"/>
      <c r="BD198" s="204"/>
      <c r="BE198" s="1296"/>
      <c r="BF198" s="1296">
        <v>1</v>
      </c>
      <c r="BG198" s="204">
        <v>2</v>
      </c>
      <c r="BH198" s="204">
        <v>3</v>
      </c>
      <c r="BI198" s="204">
        <v>4</v>
      </c>
      <c r="BJ198" s="1246"/>
      <c r="BK198" s="1246"/>
      <c r="BL198" s="1246"/>
      <c r="BM198" s="1246"/>
      <c r="BN198" s="1246"/>
      <c r="BO198" s="1246"/>
      <c r="BP198" s="1246"/>
      <c r="BQ198" s="1246"/>
    </row>
    <row r="199" spans="4:69" x14ac:dyDescent="0.25">
      <c r="N199" s="1407">
        <v>10000</v>
      </c>
      <c r="O199" s="1408">
        <v>0.66</v>
      </c>
      <c r="P199" s="1408">
        <v>0.49</v>
      </c>
      <c r="Q199" s="1408">
        <v>0.36</v>
      </c>
      <c r="R199" s="1408">
        <v>0.28999999999999998</v>
      </c>
      <c r="S199" s="1408">
        <f>S200</f>
        <v>0.71</v>
      </c>
      <c r="T199" s="1265"/>
      <c r="U199" s="1265"/>
      <c r="V199" s="1265"/>
      <c r="W199" s="1265"/>
      <c r="X199" s="1265"/>
      <c r="Y199" s="1265"/>
      <c r="Z199" s="1265"/>
      <c r="AA199" s="1265"/>
      <c r="AB199" s="1381">
        <v>8000</v>
      </c>
      <c r="AC199" s="1381">
        <v>0.73</v>
      </c>
      <c r="AD199" s="1381">
        <v>0.61</v>
      </c>
      <c r="AE199" s="1381">
        <v>0.4</v>
      </c>
      <c r="AF199" s="1381">
        <v>0.32</v>
      </c>
      <c r="AG199" s="1381">
        <f>AG200</f>
        <v>0.37</v>
      </c>
      <c r="AH199" s="1280"/>
      <c r="AI199" s="1280"/>
      <c r="AJ199" s="1280"/>
      <c r="AK199" s="1280"/>
      <c r="AL199" s="1280"/>
      <c r="AM199" s="1280"/>
      <c r="AN199" s="1280"/>
      <c r="AO199" s="1280"/>
      <c r="AP199" s="1347">
        <v>5000</v>
      </c>
      <c r="AQ199" s="1296"/>
      <c r="AR199" s="1296"/>
      <c r="AS199" s="1296">
        <v>0.52</v>
      </c>
      <c r="AT199" s="1296">
        <v>0.42</v>
      </c>
      <c r="AU199" s="1296">
        <v>0.37</v>
      </c>
      <c r="AV199" s="1290"/>
      <c r="AW199" s="1290"/>
      <c r="AX199" s="1290"/>
      <c r="AY199" s="1290"/>
      <c r="AZ199" s="1290"/>
      <c r="BA199" s="1290"/>
      <c r="BB199" s="1290"/>
      <c r="BC199" s="1290"/>
      <c r="BD199" s="204">
        <v>2000</v>
      </c>
      <c r="BE199" s="1296"/>
      <c r="BF199" s="1296"/>
      <c r="BG199" s="204">
        <v>0.67</v>
      </c>
      <c r="BH199" s="204">
        <v>0.55000000000000004</v>
      </c>
      <c r="BI199" s="204">
        <v>0.48</v>
      </c>
      <c r="BJ199" s="1246"/>
      <c r="BK199" s="1246"/>
      <c r="BL199" s="1246"/>
      <c r="BM199" s="1246"/>
      <c r="BN199" s="1246"/>
      <c r="BO199" s="1246"/>
      <c r="BP199" s="1246"/>
      <c r="BQ199" s="1246"/>
    </row>
    <row r="200" spans="4:69" x14ac:dyDescent="0.25">
      <c r="N200" s="1407">
        <v>8000</v>
      </c>
      <c r="O200" s="1408">
        <v>0.75</v>
      </c>
      <c r="P200" s="1408">
        <v>0.61</v>
      </c>
      <c r="Q200" s="1408">
        <v>0.42</v>
      </c>
      <c r="R200" s="1408">
        <v>0.33</v>
      </c>
      <c r="S200" s="1408">
        <f>S201</f>
        <v>0.71</v>
      </c>
      <c r="T200" s="1265"/>
      <c r="U200" s="1265"/>
      <c r="V200" s="1265"/>
      <c r="W200" s="1265"/>
      <c r="X200" s="1265"/>
      <c r="Y200" s="1265"/>
      <c r="Z200" s="1265"/>
      <c r="AA200" s="1265"/>
      <c r="AB200" s="1381">
        <v>5000</v>
      </c>
      <c r="AC200" s="1381">
        <v>0.95</v>
      </c>
      <c r="AD200" s="1381">
        <v>0.79</v>
      </c>
      <c r="AE200" s="1381">
        <v>0.52</v>
      </c>
      <c r="AF200" s="1381">
        <v>0.42</v>
      </c>
      <c r="AG200" s="1381">
        <v>0.37</v>
      </c>
      <c r="AH200" s="1280"/>
      <c r="AI200" s="1280"/>
      <c r="AJ200" s="1280"/>
      <c r="AK200" s="1280"/>
      <c r="AL200" s="1280"/>
      <c r="AM200" s="1280"/>
      <c r="AN200" s="1280"/>
      <c r="AO200" s="1280"/>
      <c r="AP200" s="1347">
        <v>2000</v>
      </c>
      <c r="AQ200" s="1296"/>
      <c r="AR200" s="1296"/>
      <c r="AS200" s="1296">
        <v>0.67</v>
      </c>
      <c r="AT200" s="1296">
        <v>0.55000000000000004</v>
      </c>
      <c r="AU200" s="1296">
        <v>0.48</v>
      </c>
      <c r="AV200" s="1290"/>
      <c r="AW200" s="1290"/>
      <c r="AX200" s="1290"/>
      <c r="AY200" s="1290"/>
      <c r="AZ200" s="1290"/>
      <c r="BA200" s="1290"/>
      <c r="BB200" s="1290"/>
      <c r="BC200" s="1290"/>
      <c r="BD200" s="204">
        <v>1000</v>
      </c>
      <c r="BE200" s="1296"/>
      <c r="BF200" s="1296"/>
      <c r="BG200" s="204">
        <v>0.79</v>
      </c>
      <c r="BH200" s="204">
        <v>0.65</v>
      </c>
      <c r="BI200" s="204">
        <v>0.56999999999999995</v>
      </c>
      <c r="BJ200" s="1246"/>
      <c r="BK200" s="1246"/>
      <c r="BL200" s="1246"/>
      <c r="BM200" s="1246"/>
      <c r="BN200" s="1246"/>
      <c r="BO200" s="1246"/>
      <c r="BP200" s="1246"/>
      <c r="BQ200" s="1246"/>
    </row>
    <row r="201" spans="4:69" x14ac:dyDescent="0.25">
      <c r="N201" s="1407">
        <v>5000</v>
      </c>
      <c r="O201" s="1408">
        <v>1.02</v>
      </c>
      <c r="P201" s="1408">
        <v>0.79</v>
      </c>
      <c r="Q201" s="1408">
        <v>0.56000000000000005</v>
      </c>
      <c r="R201" s="1408">
        <v>0.45</v>
      </c>
      <c r="S201" s="1408">
        <f>S202</f>
        <v>0.71</v>
      </c>
      <c r="T201" s="1265"/>
      <c r="U201" s="1265"/>
      <c r="V201" s="1265"/>
      <c r="W201" s="1265"/>
      <c r="X201" s="1265"/>
      <c r="Y201" s="1265"/>
      <c r="Z201" s="1265"/>
      <c r="AA201" s="1265"/>
      <c r="AB201" s="1381">
        <v>2000</v>
      </c>
      <c r="AC201" s="1381">
        <v>1.23</v>
      </c>
      <c r="AD201" s="1381">
        <v>1.03</v>
      </c>
      <c r="AE201" s="1381">
        <v>0.67</v>
      </c>
      <c r="AF201" s="1381">
        <v>0.55000000000000004</v>
      </c>
      <c r="AG201" s="1381">
        <v>0.48</v>
      </c>
      <c r="AH201" s="1280"/>
      <c r="AI201" s="1280"/>
      <c r="AJ201" s="1280"/>
      <c r="AK201" s="1280"/>
      <c r="AL201" s="1280"/>
      <c r="AM201" s="1280"/>
      <c r="AN201" s="1280"/>
      <c r="AO201" s="1280"/>
      <c r="AP201" s="1347">
        <v>1000</v>
      </c>
      <c r="AQ201" s="1296"/>
      <c r="AR201" s="1296"/>
      <c r="AS201" s="1296">
        <v>0.79</v>
      </c>
      <c r="AT201" s="1296">
        <v>0.65</v>
      </c>
      <c r="AU201" s="1296">
        <v>0.56999999999999995</v>
      </c>
      <c r="AV201" s="1290"/>
      <c r="AW201" s="1290"/>
      <c r="AX201" s="1290"/>
      <c r="AY201" s="1290"/>
      <c r="AZ201" s="1290"/>
      <c r="BA201" s="1290"/>
      <c r="BB201" s="1290"/>
      <c r="BC201" s="1290"/>
      <c r="BD201" s="204">
        <v>500</v>
      </c>
      <c r="BE201" s="1296"/>
      <c r="BF201" s="1296"/>
      <c r="BG201" s="204">
        <v>0.93</v>
      </c>
      <c r="BH201" s="204">
        <v>0.77</v>
      </c>
      <c r="BI201" s="204">
        <v>0.66</v>
      </c>
      <c r="BJ201" s="1246"/>
      <c r="BK201" s="1246"/>
      <c r="BL201" s="1246"/>
      <c r="BM201" s="1246"/>
      <c r="BN201" s="1246"/>
      <c r="BO201" s="1246"/>
      <c r="BP201" s="1246"/>
      <c r="BQ201" s="1246"/>
    </row>
    <row r="202" spans="4:69" x14ac:dyDescent="0.25">
      <c r="N202" s="1407">
        <v>2000</v>
      </c>
      <c r="O202" s="1408">
        <v>1.32</v>
      </c>
      <c r="P202" s="1408">
        <v>1.03</v>
      </c>
      <c r="Q202" s="1408">
        <v>0.72</v>
      </c>
      <c r="R202" s="1408">
        <v>0.59</v>
      </c>
      <c r="S202" s="1408">
        <f>S203</f>
        <v>0.71</v>
      </c>
      <c r="T202" s="1265"/>
      <c r="U202" s="1265"/>
      <c r="V202" s="1265"/>
      <c r="W202" s="1265"/>
      <c r="X202" s="1265"/>
      <c r="Y202" s="1265"/>
      <c r="Z202" s="1265"/>
      <c r="AA202" s="1265"/>
      <c r="AB202" s="1381">
        <v>1000</v>
      </c>
      <c r="AC202" s="1381">
        <v>1.45</v>
      </c>
      <c r="AD202" s="1381">
        <v>1.21</v>
      </c>
      <c r="AE202" s="1381">
        <v>0.79</v>
      </c>
      <c r="AF202" s="1381">
        <v>0.65</v>
      </c>
      <c r="AG202" s="1381">
        <v>0.56999999999999995</v>
      </c>
      <c r="AH202" s="1280"/>
      <c r="AI202" s="1280"/>
      <c r="AJ202" s="1280"/>
      <c r="AK202" s="1280"/>
      <c r="AL202" s="1280"/>
      <c r="AM202" s="1280"/>
      <c r="AN202" s="1280"/>
      <c r="AO202" s="1280"/>
      <c r="AP202" s="1347">
        <v>500</v>
      </c>
      <c r="AQ202" s="1296"/>
      <c r="AR202" s="1296"/>
      <c r="AS202" s="1296">
        <v>0.93</v>
      </c>
      <c r="AT202" s="1296">
        <v>0.77</v>
      </c>
      <c r="AU202" s="1296">
        <v>0.66</v>
      </c>
      <c r="AV202" s="1290"/>
      <c r="AW202" s="1290"/>
      <c r="AX202" s="1290"/>
      <c r="AY202" s="1290"/>
      <c r="AZ202" s="1290"/>
      <c r="BA202" s="1290"/>
      <c r="BB202" s="1290"/>
      <c r="BC202" s="1290"/>
      <c r="BD202" s="204">
        <v>200</v>
      </c>
      <c r="BE202" s="1296"/>
      <c r="BF202" s="1296"/>
      <c r="BG202" s="204">
        <v>1.03</v>
      </c>
      <c r="BH202" s="204">
        <v>0.92</v>
      </c>
      <c r="BI202" s="204">
        <v>0.78</v>
      </c>
      <c r="BJ202" s="1246"/>
      <c r="BK202" s="1246"/>
      <c r="BL202" s="1246"/>
      <c r="BM202" s="1246"/>
      <c r="BN202" s="1246"/>
      <c r="BO202" s="1246"/>
      <c r="BP202" s="1246"/>
      <c r="BQ202" s="1246"/>
    </row>
    <row r="203" spans="4:69" x14ac:dyDescent="0.25">
      <c r="N203" s="1407">
        <v>1000</v>
      </c>
      <c r="O203" s="1408">
        <v>1.52</v>
      </c>
      <c r="P203" s="1408">
        <v>1.21</v>
      </c>
      <c r="Q203" s="1408">
        <v>0.85</v>
      </c>
      <c r="R203" s="1408">
        <v>0.7</v>
      </c>
      <c r="S203" s="1408">
        <f>S204</f>
        <v>0.71</v>
      </c>
      <c r="T203" s="1265"/>
      <c r="U203" s="1265"/>
      <c r="V203" s="1265"/>
      <c r="W203" s="1265"/>
      <c r="X203" s="1265"/>
      <c r="Y203" s="1265"/>
      <c r="Z203" s="1265"/>
      <c r="AA203" s="1265"/>
      <c r="AB203" s="1381">
        <v>500</v>
      </c>
      <c r="AC203" s="1381">
        <v>1.66</v>
      </c>
      <c r="AD203" s="1381">
        <v>1.38</v>
      </c>
      <c r="AE203" s="1381">
        <v>0.93</v>
      </c>
      <c r="AF203" s="1381">
        <v>0.77</v>
      </c>
      <c r="AG203" s="1381">
        <v>0.66</v>
      </c>
      <c r="AH203" s="1280"/>
      <c r="AI203" s="1280"/>
      <c r="AJ203" s="1280"/>
      <c r="AK203" s="1280"/>
      <c r="AL203" s="1280"/>
      <c r="AM203" s="1280"/>
      <c r="AN203" s="1280"/>
      <c r="AO203" s="1280"/>
      <c r="AP203" s="1347">
        <v>200</v>
      </c>
      <c r="AQ203" s="1296"/>
      <c r="AR203" s="1296"/>
      <c r="AS203" s="1296">
        <v>1.03</v>
      </c>
      <c r="AT203" s="1296">
        <v>0.92</v>
      </c>
      <c r="AU203" s="1296">
        <v>0.78</v>
      </c>
      <c r="AV203" s="1290"/>
      <c r="AW203" s="1290"/>
      <c r="AX203" s="1290"/>
      <c r="AY203" s="1290"/>
      <c r="AZ203" s="1290"/>
      <c r="BA203" s="1290"/>
      <c r="BB203" s="1290"/>
      <c r="BC203" s="1290"/>
      <c r="BD203" s="204">
        <v>100</v>
      </c>
      <c r="BE203" s="1296"/>
      <c r="BF203" s="1296"/>
      <c r="BG203" s="204">
        <v>1.1200000000000001</v>
      </c>
      <c r="BH203" s="204">
        <v>1.03</v>
      </c>
      <c r="BI203" s="204">
        <v>0.92</v>
      </c>
      <c r="BJ203" s="1246"/>
      <c r="BK203" s="1246"/>
      <c r="BL203" s="1246"/>
      <c r="BM203" s="1246"/>
      <c r="BN203" s="1246"/>
      <c r="BO203" s="1246"/>
      <c r="BP203" s="1246"/>
      <c r="BQ203" s="1246"/>
    </row>
    <row r="204" spans="4:69" x14ac:dyDescent="0.25">
      <c r="N204" s="1407">
        <v>500</v>
      </c>
      <c r="O204" s="1408">
        <v>1.78</v>
      </c>
      <c r="P204" s="1408">
        <v>1.38</v>
      </c>
      <c r="Q204" s="1408">
        <v>1.01</v>
      </c>
      <c r="R204" s="1408">
        <v>0.82</v>
      </c>
      <c r="S204" s="1408">
        <v>0.71</v>
      </c>
      <c r="T204" s="1265"/>
      <c r="U204" s="1265"/>
      <c r="V204" s="1265"/>
      <c r="W204" s="1265"/>
      <c r="X204" s="1265"/>
      <c r="Y204" s="1265"/>
      <c r="Z204" s="1265"/>
      <c r="AA204" s="1265"/>
      <c r="AB204" s="1381">
        <v>200</v>
      </c>
      <c r="AC204" s="1381">
        <v>1.82</v>
      </c>
      <c r="AD204" s="1381">
        <v>1.51</v>
      </c>
      <c r="AE204" s="1381">
        <v>1.03</v>
      </c>
      <c r="AF204" s="1381">
        <v>0.92</v>
      </c>
      <c r="AG204" s="1381">
        <v>0.78</v>
      </c>
      <c r="AH204" s="1280"/>
      <c r="AI204" s="1280"/>
      <c r="AJ204" s="1280"/>
      <c r="AK204" s="1280"/>
      <c r="AL204" s="1280"/>
      <c r="AM204" s="1280"/>
      <c r="AN204" s="1280"/>
      <c r="AO204" s="1280"/>
      <c r="AP204" s="1347">
        <v>100</v>
      </c>
      <c r="AQ204" s="1296"/>
      <c r="AR204" s="1296"/>
      <c r="AS204" s="1296">
        <v>1.1200000000000001</v>
      </c>
      <c r="AT204" s="1296">
        <v>1.03</v>
      </c>
      <c r="AU204" s="1296">
        <v>0.92</v>
      </c>
      <c r="AV204" s="1290"/>
      <c r="AW204" s="1290"/>
      <c r="AX204" s="1290"/>
      <c r="AY204" s="1290"/>
      <c r="AZ204" s="1290"/>
      <c r="BA204" s="1290"/>
      <c r="BB204" s="1290"/>
      <c r="BC204" s="1290"/>
      <c r="BD204" s="204">
        <v>50</v>
      </c>
      <c r="BE204" s="1296"/>
      <c r="BF204" s="1296"/>
      <c r="BG204" s="204">
        <v>1.23</v>
      </c>
      <c r="BH204" s="204">
        <v>1.1299999999999999</v>
      </c>
      <c r="BI204" s="204">
        <v>1.01</v>
      </c>
      <c r="BJ204" s="1246"/>
      <c r="BK204" s="1246"/>
      <c r="BL204" s="1246"/>
      <c r="BM204" s="1246"/>
      <c r="BN204" s="1246"/>
      <c r="BO204" s="1246"/>
      <c r="BP204" s="1246"/>
      <c r="BQ204" s="1246"/>
    </row>
    <row r="205" spans="4:69" x14ac:dyDescent="0.25">
      <c r="N205" s="1407">
        <v>200</v>
      </c>
      <c r="O205" s="1408">
        <v>1.95</v>
      </c>
      <c r="P205" s="1408">
        <v>1.51</v>
      </c>
      <c r="Q205" s="1408">
        <v>1.1000000000000001</v>
      </c>
      <c r="R205" s="1408">
        <v>0.97</v>
      </c>
      <c r="S205" s="1408">
        <v>0.83</v>
      </c>
      <c r="T205" s="1265"/>
      <c r="U205" s="1265"/>
      <c r="V205" s="1265"/>
      <c r="W205" s="1265"/>
      <c r="X205" s="1265"/>
      <c r="Y205" s="1265"/>
      <c r="Z205" s="1265"/>
      <c r="AA205" s="1265"/>
      <c r="AB205" s="1381">
        <v>100</v>
      </c>
      <c r="AC205" s="1381">
        <v>2.0099999999999998</v>
      </c>
      <c r="AD205" s="1381">
        <v>1.67</v>
      </c>
      <c r="AE205" s="1381">
        <v>1.1200000000000001</v>
      </c>
      <c r="AF205" s="1381">
        <v>1.03</v>
      </c>
      <c r="AG205" s="1381">
        <v>0.92</v>
      </c>
      <c r="AH205" s="1280"/>
      <c r="AI205" s="1280"/>
      <c r="AJ205" s="1280"/>
      <c r="AK205" s="1280"/>
      <c r="AL205" s="1280"/>
      <c r="AM205" s="1280"/>
      <c r="AN205" s="1280"/>
      <c r="AO205" s="1280"/>
      <c r="AP205" s="1347">
        <v>50</v>
      </c>
      <c r="AQ205" s="1296"/>
      <c r="AR205" s="1296"/>
      <c r="AS205" s="1296">
        <v>1.23</v>
      </c>
      <c r="AT205" s="1296">
        <v>1.1299999999999999</v>
      </c>
      <c r="AU205" s="1296">
        <v>1.01</v>
      </c>
      <c r="AV205" s="1290"/>
      <c r="AW205" s="1290"/>
      <c r="AX205" s="1290"/>
      <c r="AY205" s="1290"/>
      <c r="AZ205" s="1290"/>
      <c r="BA205" s="1290"/>
      <c r="BB205" s="1290"/>
      <c r="BC205" s="1290"/>
      <c r="BD205" s="204">
        <v>20</v>
      </c>
      <c r="BE205" s="1296"/>
      <c r="BF205" s="1296"/>
      <c r="BG205" s="204">
        <v>1.45</v>
      </c>
      <c r="BH205" s="204">
        <v>1.31</v>
      </c>
      <c r="BI205" s="204">
        <v>1.18</v>
      </c>
      <c r="BJ205" s="1246"/>
      <c r="BK205" s="1246"/>
      <c r="BL205" s="1246"/>
      <c r="BM205" s="1246"/>
      <c r="BN205" s="1246"/>
      <c r="BO205" s="1246"/>
      <c r="BP205" s="1246"/>
      <c r="BQ205" s="1246"/>
    </row>
    <row r="206" spans="4:69" x14ac:dyDescent="0.25">
      <c r="N206" s="1407">
        <v>100</v>
      </c>
      <c r="O206" s="1408">
        <v>2.15</v>
      </c>
      <c r="P206" s="1408">
        <v>1.67</v>
      </c>
      <c r="Q206" s="1408">
        <v>1.2</v>
      </c>
      <c r="R206" s="1408">
        <v>1.06</v>
      </c>
      <c r="S206" s="1408">
        <v>0.98</v>
      </c>
      <c r="T206" s="1265"/>
      <c r="U206" s="1265"/>
      <c r="V206" s="1265"/>
      <c r="W206" s="1265"/>
      <c r="X206" s="1265"/>
      <c r="Y206" s="1265"/>
      <c r="Z206" s="1265"/>
      <c r="AA206" s="1265"/>
      <c r="AB206" s="1381">
        <v>50</v>
      </c>
      <c r="AC206" s="1381">
        <v>2.21</v>
      </c>
      <c r="AD206" s="1381">
        <v>1.83</v>
      </c>
      <c r="AE206" s="1381">
        <v>1.23</v>
      </c>
      <c r="AF206" s="1381">
        <v>1.1299999999999999</v>
      </c>
      <c r="AG206" s="1381">
        <v>1.01</v>
      </c>
      <c r="AH206" s="1280"/>
      <c r="AI206" s="1280"/>
      <c r="AJ206" s="1280"/>
      <c r="AK206" s="1280"/>
      <c r="AL206" s="1280"/>
      <c r="AM206" s="1280"/>
      <c r="AN206" s="1280"/>
      <c r="AO206" s="1280"/>
      <c r="AP206" s="1347">
        <v>20</v>
      </c>
      <c r="AQ206" s="1296"/>
      <c r="AR206" s="1296"/>
      <c r="AS206" s="1296">
        <v>1.45</v>
      </c>
      <c r="AT206" s="1296">
        <v>1.31</v>
      </c>
      <c r="AU206" s="1296">
        <v>1.18</v>
      </c>
      <c r="AV206" s="1290"/>
      <c r="AW206" s="1290"/>
      <c r="AX206" s="1290"/>
      <c r="AY206" s="1290"/>
      <c r="AZ206" s="1290"/>
      <c r="BA206" s="1290"/>
      <c r="BB206" s="1290"/>
      <c r="BC206" s="1290"/>
      <c r="BD206" s="204">
        <v>10</v>
      </c>
      <c r="BE206" s="1296"/>
      <c r="BF206" s="1296"/>
      <c r="BG206" s="204">
        <v>1.56</v>
      </c>
      <c r="BH206" s="204">
        <v>1.42</v>
      </c>
      <c r="BI206" s="204">
        <v>1.28</v>
      </c>
      <c r="BJ206" s="1246"/>
      <c r="BK206" s="1246"/>
      <c r="BL206" s="1246"/>
      <c r="BM206" s="1246"/>
      <c r="BN206" s="1246"/>
      <c r="BO206" s="1246"/>
      <c r="BP206" s="1246"/>
      <c r="BQ206" s="1246"/>
    </row>
    <row r="207" spans="4:69" x14ac:dyDescent="0.25">
      <c r="N207" s="1407">
        <v>50</v>
      </c>
      <c r="O207" s="1408">
        <v>2.36</v>
      </c>
      <c r="P207" s="1408">
        <v>1.83</v>
      </c>
      <c r="Q207" s="1408">
        <v>1.32</v>
      </c>
      <c r="R207" s="1408">
        <v>1.17</v>
      </c>
      <c r="S207" s="1408">
        <v>1.08</v>
      </c>
      <c r="T207" s="1265"/>
      <c r="U207" s="1265"/>
      <c r="V207" s="1265"/>
      <c r="W207" s="1265"/>
      <c r="X207" s="1265"/>
      <c r="Y207" s="1265"/>
      <c r="Z207" s="1265"/>
      <c r="AA207" s="1265"/>
      <c r="AB207" s="1381">
        <v>20</v>
      </c>
      <c r="AC207" s="1381">
        <v>2.58</v>
      </c>
      <c r="AD207" s="1381">
        <v>2.15</v>
      </c>
      <c r="AE207" s="1381">
        <v>1.45</v>
      </c>
      <c r="AF207" s="1381">
        <v>1.31</v>
      </c>
      <c r="AG207" s="1381">
        <v>1.18</v>
      </c>
      <c r="AH207" s="1280"/>
      <c r="AI207" s="1280"/>
      <c r="AJ207" s="1280"/>
      <c r="AK207" s="1280"/>
      <c r="AL207" s="1280"/>
      <c r="AM207" s="1280"/>
      <c r="AN207" s="1280"/>
      <c r="AO207" s="1280"/>
      <c r="AP207" s="1347">
        <v>10</v>
      </c>
      <c r="AQ207" s="1296"/>
      <c r="AR207" s="1296"/>
      <c r="AS207" s="1296">
        <v>1.56</v>
      </c>
      <c r="AT207" s="1296">
        <v>1.42</v>
      </c>
      <c r="AU207" s="1296">
        <v>1.28</v>
      </c>
      <c r="AV207" s="1290"/>
      <c r="AW207" s="1290"/>
      <c r="AX207" s="1290"/>
      <c r="AY207" s="1290"/>
      <c r="AZ207" s="1290"/>
      <c r="BA207" s="1290"/>
      <c r="BB207" s="1290"/>
      <c r="BC207" s="1290"/>
      <c r="BD207" s="204">
        <v>7</v>
      </c>
      <c r="BE207" s="1296"/>
      <c r="BF207" s="1296"/>
      <c r="BG207" s="204">
        <v>1.61</v>
      </c>
      <c r="BH207" s="204">
        <v>1.46</v>
      </c>
      <c r="BI207" s="204">
        <v>1.31</v>
      </c>
      <c r="BJ207" s="1246"/>
      <c r="BK207" s="1246"/>
      <c r="BL207" s="1246"/>
      <c r="BM207" s="1246"/>
      <c r="BN207" s="1246"/>
      <c r="BO207" s="1246"/>
      <c r="BP207" s="1246"/>
      <c r="BQ207" s="1246"/>
    </row>
    <row r="208" spans="4:69" x14ac:dyDescent="0.25">
      <c r="N208" s="1407">
        <v>20</v>
      </c>
      <c r="O208" s="1408">
        <v>2.76</v>
      </c>
      <c r="P208" s="1408">
        <v>2.15</v>
      </c>
      <c r="Q208" s="1408">
        <v>1.55</v>
      </c>
      <c r="R208" s="1408">
        <v>1.37</v>
      </c>
      <c r="S208" s="1408">
        <v>1.26</v>
      </c>
      <c r="T208" s="1265"/>
      <c r="U208" s="1265"/>
      <c r="V208" s="1265"/>
      <c r="W208" s="1265"/>
      <c r="X208" s="1265"/>
      <c r="Y208" s="1265"/>
      <c r="Z208" s="1265"/>
      <c r="AA208" s="1265"/>
      <c r="AB208" s="1381">
        <v>10</v>
      </c>
      <c r="AC208" s="1381">
        <v>2.8</v>
      </c>
      <c r="AD208" s="1381">
        <v>2.72</v>
      </c>
      <c r="AE208" s="1381">
        <v>1.56</v>
      </c>
      <c r="AF208" s="1381">
        <v>1.42</v>
      </c>
      <c r="AG208" s="1381">
        <v>1.28</v>
      </c>
      <c r="AH208" s="1280"/>
      <c r="AI208" s="1280"/>
      <c r="AJ208" s="1280"/>
      <c r="AK208" s="1280"/>
      <c r="AL208" s="1280"/>
      <c r="AM208" s="1280"/>
      <c r="AN208" s="1280"/>
      <c r="AO208" s="1280"/>
      <c r="AP208" s="1347">
        <v>7</v>
      </c>
      <c r="AQ208" s="1296"/>
      <c r="AR208" s="1296"/>
      <c r="AS208" s="1296">
        <v>1.61</v>
      </c>
      <c r="AT208" s="1296">
        <v>1.46</v>
      </c>
      <c r="AU208" s="1296">
        <v>1.31</v>
      </c>
      <c r="AV208" s="1290"/>
      <c r="AW208" s="1290"/>
      <c r="AX208" s="1290"/>
      <c r="AY208" s="1290"/>
      <c r="AZ208" s="1290"/>
      <c r="BA208" s="1290"/>
      <c r="BB208" s="1290"/>
      <c r="BC208" s="1290"/>
      <c r="BD208" s="204">
        <v>3</v>
      </c>
      <c r="BE208" s="1296"/>
      <c r="BF208" s="1296"/>
      <c r="BG208" s="204">
        <v>1.85</v>
      </c>
      <c r="BH208" s="204">
        <v>1.68</v>
      </c>
      <c r="BI208" s="204">
        <v>1.52</v>
      </c>
      <c r="BJ208" s="1246"/>
      <c r="BK208" s="1246"/>
      <c r="BL208" s="1246"/>
      <c r="BM208" s="1246"/>
      <c r="BN208" s="1246"/>
      <c r="BO208" s="1246"/>
      <c r="BP208" s="1246"/>
      <c r="BQ208" s="1246"/>
    </row>
    <row r="209" spans="2:69" ht="15.75" customHeight="1" x14ac:dyDescent="0.25">
      <c r="N209" s="1407">
        <v>10</v>
      </c>
      <c r="O209" s="1408">
        <v>3.01</v>
      </c>
      <c r="P209" s="1408">
        <v>2.27</v>
      </c>
      <c r="Q209" s="1408">
        <v>1.67</v>
      </c>
      <c r="R209" s="1408">
        <v>1.48</v>
      </c>
      <c r="S209" s="1408">
        <v>1.37</v>
      </c>
      <c r="T209" s="1265"/>
      <c r="U209" s="1265"/>
      <c r="V209" s="1265"/>
      <c r="W209" s="1265"/>
      <c r="X209" s="1265"/>
      <c r="Y209" s="1265"/>
      <c r="Z209" s="1265"/>
      <c r="AA209" s="1265"/>
      <c r="AB209" s="1381">
        <v>7</v>
      </c>
      <c r="AC209" s="1381">
        <v>0</v>
      </c>
      <c r="AD209" s="1381">
        <v>0</v>
      </c>
      <c r="AE209" s="1381">
        <v>1.61</v>
      </c>
      <c r="AF209" s="1381">
        <v>1.46</v>
      </c>
      <c r="AG209" s="1381">
        <v>1.31</v>
      </c>
      <c r="AH209" s="1280"/>
      <c r="AI209" s="1280"/>
      <c r="AJ209" s="1280"/>
      <c r="AK209" s="1280"/>
      <c r="AL209" s="1280"/>
      <c r="AM209" s="1280"/>
      <c r="AN209" s="1280"/>
      <c r="AO209" s="1280"/>
      <c r="AP209" s="1296"/>
      <c r="AQ209" s="1296"/>
      <c r="AR209" s="1296"/>
      <c r="AS209" s="1296"/>
      <c r="AT209" s="1296"/>
      <c r="AU209" s="1296"/>
      <c r="AV209" s="1290"/>
      <c r="AW209" s="1290"/>
      <c r="AX209" s="1290"/>
      <c r="AY209" s="1290"/>
      <c r="AZ209" s="1290"/>
      <c r="BA209" s="1290"/>
      <c r="BB209" s="1290"/>
      <c r="BC209" s="1290"/>
      <c r="BD209" s="201"/>
      <c r="BE209" s="201"/>
      <c r="BF209" s="201"/>
      <c r="BG209" s="201"/>
      <c r="BH209" s="201"/>
      <c r="BI209" s="201"/>
      <c r="BJ209" s="1246"/>
      <c r="BK209" s="1246"/>
      <c r="BL209" s="1246"/>
      <c r="BM209" s="1246"/>
      <c r="BN209" s="1246"/>
      <c r="BO209" s="1246"/>
      <c r="BP209" s="1246"/>
      <c r="BQ209" s="1246"/>
    </row>
    <row r="210" spans="2:69" x14ac:dyDescent="0.25">
      <c r="N210" s="1271" t="s">
        <v>3666</v>
      </c>
      <c r="O210" s="1272"/>
      <c r="P210" s="1271"/>
      <c r="Q210" s="1271"/>
      <c r="R210" s="1272"/>
      <c r="S210" s="1272"/>
      <c r="T210" s="1265"/>
      <c r="U210" s="1265"/>
      <c r="V210" s="1265"/>
      <c r="W210" s="1265"/>
      <c r="X210" s="1265"/>
      <c r="Y210" s="1265"/>
      <c r="Z210" s="1265"/>
      <c r="AA210" s="1265"/>
      <c r="AB210" s="1284" t="s">
        <v>187</v>
      </c>
      <c r="AC210" s="1285"/>
      <c r="AD210" s="1284"/>
      <c r="AE210" s="1284"/>
      <c r="AF210" s="1285"/>
      <c r="AG210" s="1285"/>
      <c r="AH210" s="1280"/>
      <c r="AI210" s="1280"/>
      <c r="AJ210" s="1280"/>
      <c r="AK210" s="1280"/>
      <c r="AL210" s="1280"/>
      <c r="AM210" s="1280"/>
      <c r="AN210" s="1280"/>
      <c r="AO210" s="1280"/>
      <c r="AP210" s="1294" t="s">
        <v>187</v>
      </c>
      <c r="AQ210" s="1295"/>
      <c r="AR210" s="1294"/>
      <c r="AS210" s="1294"/>
      <c r="AT210" s="1295"/>
      <c r="AU210" s="1295"/>
      <c r="AV210" s="1290"/>
      <c r="AW210" s="1290"/>
      <c r="AX210" s="1290"/>
      <c r="AY210" s="1290"/>
      <c r="AZ210" s="1290"/>
      <c r="BA210" s="1290"/>
      <c r="BB210" s="1290"/>
      <c r="BC210" s="1290"/>
      <c r="BD210" s="1250" t="s">
        <v>187</v>
      </c>
      <c r="BE210" s="1251"/>
      <c r="BF210" s="1250"/>
      <c r="BG210" s="1250"/>
      <c r="BH210" s="1251"/>
      <c r="BI210" s="1251"/>
      <c r="BJ210" s="1246"/>
      <c r="BK210" s="1246"/>
      <c r="BL210" s="1246"/>
      <c r="BM210" s="1246"/>
      <c r="BN210" s="1246"/>
      <c r="BO210" s="1246"/>
      <c r="BP210" s="1246"/>
      <c r="BQ210" s="1246"/>
    </row>
    <row r="211" spans="2:69" x14ac:dyDescent="0.25">
      <c r="N211" s="1944" t="s">
        <v>162</v>
      </c>
      <c r="O211" s="1944" t="s">
        <v>117</v>
      </c>
      <c r="P211" s="1944"/>
      <c r="Q211" s="1944"/>
      <c r="R211" s="1944"/>
      <c r="S211" s="1944"/>
      <c r="T211" s="1265"/>
      <c r="U211" s="1265"/>
      <c r="V211" s="1265"/>
      <c r="W211" s="1265"/>
      <c r="X211" s="1265"/>
      <c r="Y211" s="1265"/>
      <c r="Z211" s="1265"/>
      <c r="AA211" s="1265"/>
      <c r="AB211" s="1962" t="s">
        <v>162</v>
      </c>
      <c r="AC211" s="1926" t="s">
        <v>117</v>
      </c>
      <c r="AD211" s="1926"/>
      <c r="AE211" s="1926"/>
      <c r="AF211" s="1926"/>
      <c r="AG211" s="1926"/>
      <c r="AH211" s="1280"/>
      <c r="AI211" s="1280"/>
      <c r="AJ211" s="1280"/>
      <c r="AK211" s="1280"/>
      <c r="AL211" s="1280"/>
      <c r="AM211" s="1280"/>
      <c r="AN211" s="1280"/>
      <c r="AO211" s="1280"/>
      <c r="AP211" s="1934" t="s">
        <v>162</v>
      </c>
      <c r="AQ211" s="1931" t="s">
        <v>117</v>
      </c>
      <c r="AR211" s="1932"/>
      <c r="AS211" s="1932"/>
      <c r="AT211" s="1932"/>
      <c r="AU211" s="1933"/>
      <c r="AV211" s="1290"/>
      <c r="AW211" s="1290"/>
      <c r="AX211" s="1290"/>
      <c r="AY211" s="1290"/>
      <c r="AZ211" s="1290"/>
      <c r="BA211" s="1290"/>
      <c r="BB211" s="1290"/>
      <c r="BC211" s="1290"/>
      <c r="BD211" s="1963" t="s">
        <v>162</v>
      </c>
      <c r="BE211" s="1930" t="s">
        <v>117</v>
      </c>
      <c r="BF211" s="1930"/>
      <c r="BG211" s="1930"/>
      <c r="BH211" s="1930"/>
      <c r="BI211" s="1930"/>
      <c r="BJ211" s="1246"/>
      <c r="BK211" s="1246"/>
      <c r="BL211" s="1246"/>
      <c r="BM211" s="1246"/>
      <c r="BN211" s="1246"/>
      <c r="BO211" s="1246"/>
      <c r="BP211" s="1246"/>
      <c r="BQ211" s="1246"/>
    </row>
    <row r="212" spans="2:69" x14ac:dyDescent="0.25">
      <c r="N212" s="1944"/>
      <c r="O212" s="1373" t="s">
        <v>118</v>
      </c>
      <c r="P212" s="1373" t="s">
        <v>163</v>
      </c>
      <c r="Q212" s="1373" t="s">
        <v>164</v>
      </c>
      <c r="R212" s="1373" t="s">
        <v>165</v>
      </c>
      <c r="S212" s="1373" t="s">
        <v>166</v>
      </c>
      <c r="T212" s="1265"/>
      <c r="U212" s="1265"/>
      <c r="V212" s="1265"/>
      <c r="W212" s="1265"/>
      <c r="X212" s="1265"/>
      <c r="Y212" s="1265"/>
      <c r="Z212" s="1265"/>
      <c r="AA212" s="1265"/>
      <c r="AB212" s="1962"/>
      <c r="AC212" s="1381" t="s">
        <v>118</v>
      </c>
      <c r="AD212" s="1381" t="s">
        <v>163</v>
      </c>
      <c r="AE212" s="1381" t="s">
        <v>164</v>
      </c>
      <c r="AF212" s="1381" t="s">
        <v>165</v>
      </c>
      <c r="AG212" s="1381" t="s">
        <v>166</v>
      </c>
      <c r="AH212" s="1280"/>
      <c r="AI212" s="1280"/>
      <c r="AJ212" s="1280"/>
      <c r="AK212" s="1280"/>
      <c r="AL212" s="1280"/>
      <c r="AM212" s="1280"/>
      <c r="AN212" s="1280"/>
      <c r="AO212" s="1280"/>
      <c r="AP212" s="1934"/>
      <c r="AQ212" s="1296" t="s">
        <v>118</v>
      </c>
      <c r="AR212" s="1296" t="s">
        <v>163</v>
      </c>
      <c r="AS212" s="1296" t="s">
        <v>164</v>
      </c>
      <c r="AT212" s="1296" t="s">
        <v>165</v>
      </c>
      <c r="AU212" s="1296" t="s">
        <v>166</v>
      </c>
      <c r="AV212" s="1290"/>
      <c r="AW212" s="1290"/>
      <c r="AX212" s="1290"/>
      <c r="AY212" s="1290"/>
      <c r="AZ212" s="1290"/>
      <c r="BA212" s="1290"/>
      <c r="BB212" s="1290"/>
      <c r="BC212" s="1290"/>
      <c r="BD212" s="1963"/>
      <c r="BE212" s="204" t="s">
        <v>118</v>
      </c>
      <c r="BF212" s="204" t="s">
        <v>163</v>
      </c>
      <c r="BG212" s="204" t="s">
        <v>164</v>
      </c>
      <c r="BH212" s="204" t="s">
        <v>165</v>
      </c>
      <c r="BI212" s="204" t="s">
        <v>166</v>
      </c>
      <c r="BJ212" s="1246"/>
      <c r="BK212" s="1246"/>
      <c r="BL212" s="1246"/>
      <c r="BM212" s="1246"/>
      <c r="BN212" s="1246"/>
      <c r="BO212" s="1246"/>
      <c r="BP212" s="1246"/>
      <c r="BQ212" s="1246"/>
    </row>
    <row r="213" spans="2:69" x14ac:dyDescent="0.25">
      <c r="N213" s="1373"/>
      <c r="O213" s="1373">
        <v>0</v>
      </c>
      <c r="P213" s="1373">
        <v>1</v>
      </c>
      <c r="Q213" s="1373">
        <v>2</v>
      </c>
      <c r="R213" s="1373">
        <v>3</v>
      </c>
      <c r="S213" s="1373">
        <v>4</v>
      </c>
      <c r="T213" s="1265"/>
      <c r="U213" s="1265"/>
      <c r="V213" s="1265"/>
      <c r="W213" s="1265"/>
      <c r="X213" s="1265"/>
      <c r="Y213" s="1265"/>
      <c r="Z213" s="1265"/>
      <c r="AA213" s="1265"/>
      <c r="AB213" s="1381"/>
      <c r="AC213" s="1381">
        <v>0</v>
      </c>
      <c r="AD213" s="1381">
        <v>1</v>
      </c>
      <c r="AE213" s="1381">
        <v>2</v>
      </c>
      <c r="AF213" s="1381">
        <v>3</v>
      </c>
      <c r="AG213" s="1381">
        <v>4</v>
      </c>
      <c r="AH213" s="1280"/>
      <c r="AI213" s="1280"/>
      <c r="AJ213" s="1280"/>
      <c r="AK213" s="1280"/>
      <c r="AL213" s="1280"/>
      <c r="AM213" s="1280"/>
      <c r="AN213" s="1280"/>
      <c r="AO213" s="1280"/>
      <c r="AP213" s="1296"/>
      <c r="AQ213" s="1296">
        <v>0</v>
      </c>
      <c r="AR213" s="1296">
        <v>1</v>
      </c>
      <c r="AS213" s="1296">
        <v>2</v>
      </c>
      <c r="AT213" s="1296">
        <v>3</v>
      </c>
      <c r="AU213" s="1296">
        <v>4</v>
      </c>
      <c r="AV213" s="1290"/>
      <c r="AW213" s="1290"/>
      <c r="AX213" s="1290"/>
      <c r="AY213" s="1290"/>
      <c r="AZ213" s="1290"/>
      <c r="BA213" s="1290"/>
      <c r="BB213" s="1290"/>
      <c r="BC213" s="1290"/>
      <c r="BD213" s="204"/>
      <c r="BE213" s="204">
        <v>0</v>
      </c>
      <c r="BF213" s="204">
        <v>1</v>
      </c>
      <c r="BG213" s="204">
        <v>2</v>
      </c>
      <c r="BH213" s="204">
        <v>3</v>
      </c>
      <c r="BI213" s="204">
        <v>4</v>
      </c>
      <c r="BJ213" s="1246"/>
      <c r="BK213" s="1246"/>
      <c r="BL213" s="1246"/>
      <c r="BM213" s="1246"/>
      <c r="BN213" s="1246"/>
      <c r="BO213" s="1246"/>
      <c r="BP213" s="1246"/>
      <c r="BQ213" s="1246"/>
    </row>
    <row r="214" spans="2:69" x14ac:dyDescent="0.25">
      <c r="N214" s="1407">
        <v>10000</v>
      </c>
      <c r="O214" s="1408">
        <v>0.57999999999999996</v>
      </c>
      <c r="P214" s="1408">
        <v>0.52</v>
      </c>
      <c r="Q214" s="1408">
        <v>0.42</v>
      </c>
      <c r="R214" s="1408">
        <v>0.37</v>
      </c>
      <c r="S214" s="1408">
        <f>S215</f>
        <v>0.64</v>
      </c>
      <c r="T214" s="1265"/>
      <c r="U214" s="1265"/>
      <c r="V214" s="1265"/>
      <c r="W214" s="1265"/>
      <c r="X214" s="1265"/>
      <c r="Y214" s="1265"/>
      <c r="Z214" s="1265"/>
      <c r="AA214" s="1265"/>
      <c r="AB214" s="1381">
        <v>8000</v>
      </c>
      <c r="AC214" s="1381">
        <v>0.56999999999999995</v>
      </c>
      <c r="AD214" s="1381">
        <v>0.51</v>
      </c>
      <c r="AE214" s="1381">
        <v>0.45</v>
      </c>
      <c r="AF214" s="1381">
        <v>0.4</v>
      </c>
      <c r="AG214" s="1381">
        <f>AG215</f>
        <v>0.38</v>
      </c>
      <c r="AH214" s="1280"/>
      <c r="AI214" s="1280"/>
      <c r="AJ214" s="1280"/>
      <c r="AK214" s="1280"/>
      <c r="AL214" s="1280"/>
      <c r="AM214" s="1280"/>
      <c r="AN214" s="1280"/>
      <c r="AO214" s="1280"/>
      <c r="AP214" s="1347">
        <v>5000</v>
      </c>
      <c r="AQ214" s="1296">
        <v>0.74</v>
      </c>
      <c r="AR214" s="1296">
        <v>0.67</v>
      </c>
      <c r="AS214" s="1296">
        <v>0.57999999999999996</v>
      </c>
      <c r="AT214" s="1296"/>
      <c r="AU214" s="1296"/>
      <c r="AV214" s="1290"/>
      <c r="AW214" s="1290"/>
      <c r="AX214" s="1290"/>
      <c r="AY214" s="1290"/>
      <c r="AZ214" s="1290"/>
      <c r="BA214" s="1290"/>
      <c r="BB214" s="1290"/>
      <c r="BC214" s="1290"/>
      <c r="BD214" s="204">
        <v>2000</v>
      </c>
      <c r="BE214" s="204">
        <v>0.96</v>
      </c>
      <c r="BF214" s="204">
        <v>0.87</v>
      </c>
      <c r="BG214" s="204">
        <v>0.76</v>
      </c>
      <c r="BH214" s="204"/>
      <c r="BI214" s="204"/>
      <c r="BJ214" s="1246"/>
      <c r="BK214" s="1246"/>
      <c r="BL214" s="1246"/>
      <c r="BM214" s="1246"/>
      <c r="BN214" s="1246"/>
      <c r="BO214" s="1246"/>
      <c r="BP214" s="1246"/>
      <c r="BQ214" s="1246"/>
    </row>
    <row r="215" spans="2:69" x14ac:dyDescent="0.25">
      <c r="N215" s="1407">
        <v>8000</v>
      </c>
      <c r="O215" s="1408">
        <v>0.66</v>
      </c>
      <c r="P215" s="1408">
        <v>0.59</v>
      </c>
      <c r="Q215" s="1408">
        <v>0.49</v>
      </c>
      <c r="R215" s="1408">
        <v>0.43</v>
      </c>
      <c r="S215" s="1408">
        <f>S216</f>
        <v>0.64</v>
      </c>
      <c r="T215" s="1265"/>
      <c r="U215" s="1265"/>
      <c r="V215" s="1265"/>
      <c r="W215" s="1265"/>
      <c r="X215" s="1265"/>
      <c r="Y215" s="1265"/>
      <c r="Z215" s="1265"/>
      <c r="AA215" s="1265"/>
      <c r="AB215" s="1381">
        <v>5000</v>
      </c>
      <c r="AC215" s="1381">
        <v>0.74</v>
      </c>
      <c r="AD215" s="1381">
        <v>0.67</v>
      </c>
      <c r="AE215" s="1381">
        <v>0.57999999999999996</v>
      </c>
      <c r="AF215" s="1381">
        <v>0.51</v>
      </c>
      <c r="AG215" s="1381">
        <v>0.38</v>
      </c>
      <c r="AH215" s="1280"/>
      <c r="AI215" s="1280"/>
      <c r="AJ215" s="1280"/>
      <c r="AK215" s="1280"/>
      <c r="AL215" s="1280"/>
      <c r="AM215" s="1280"/>
      <c r="AN215" s="1280"/>
      <c r="AO215" s="1280"/>
      <c r="AP215" s="1347">
        <v>2000</v>
      </c>
      <c r="AQ215" s="1296">
        <v>0.96</v>
      </c>
      <c r="AR215" s="1296">
        <v>0.87</v>
      </c>
      <c r="AS215" s="1296">
        <v>0.76</v>
      </c>
      <c r="AT215" s="1296"/>
      <c r="AU215" s="1296"/>
      <c r="AV215" s="1290"/>
      <c r="AW215" s="1290"/>
      <c r="AX215" s="1290"/>
      <c r="AY215" s="1290"/>
      <c r="AZ215" s="1290"/>
      <c r="BA215" s="1290"/>
      <c r="BB215" s="1290"/>
      <c r="BC215" s="1290"/>
      <c r="BD215" s="204">
        <v>1000</v>
      </c>
      <c r="BE215" s="204">
        <v>1.1299999999999999</v>
      </c>
      <c r="BF215" s="204">
        <v>1.02</v>
      </c>
      <c r="BG215" s="204">
        <v>0.91</v>
      </c>
      <c r="BH215" s="204"/>
      <c r="BI215" s="204"/>
      <c r="BJ215" s="1246"/>
      <c r="BK215" s="1246"/>
      <c r="BL215" s="1246"/>
      <c r="BM215" s="1246"/>
      <c r="BN215" s="1246"/>
      <c r="BO215" s="1246"/>
      <c r="BP215" s="1246"/>
      <c r="BQ215" s="1246"/>
    </row>
    <row r="216" spans="2:69" x14ac:dyDescent="0.25">
      <c r="N216" s="1407">
        <v>5000</v>
      </c>
      <c r="O216" s="1408">
        <v>0.85</v>
      </c>
      <c r="P216" s="1408">
        <v>0.77</v>
      </c>
      <c r="Q216" s="1408">
        <v>0.67</v>
      </c>
      <c r="R216" s="1408">
        <v>0.59</v>
      </c>
      <c r="S216" s="1408">
        <f>S217</f>
        <v>0.64</v>
      </c>
      <c r="T216" s="1265"/>
      <c r="U216" s="1265"/>
      <c r="V216" s="1265"/>
      <c r="W216" s="1265"/>
      <c r="X216" s="1265"/>
      <c r="Y216" s="1265"/>
      <c r="Z216" s="1265"/>
      <c r="AA216" s="1265"/>
      <c r="AB216" s="1381">
        <v>2000</v>
      </c>
      <c r="AC216" s="1381">
        <v>0.96</v>
      </c>
      <c r="AD216" s="1381">
        <v>0.87</v>
      </c>
      <c r="AE216" s="1381">
        <v>0.76</v>
      </c>
      <c r="AF216" s="1381">
        <v>0.67</v>
      </c>
      <c r="AG216" s="1381">
        <v>0.49</v>
      </c>
      <c r="AH216" s="1280"/>
      <c r="AI216" s="1280"/>
      <c r="AJ216" s="1280"/>
      <c r="AK216" s="1280"/>
      <c r="AL216" s="1280"/>
      <c r="AM216" s="1280"/>
      <c r="AN216" s="1280"/>
      <c r="AO216" s="1280"/>
      <c r="AP216" s="1347">
        <v>1000</v>
      </c>
      <c r="AQ216" s="1296">
        <v>1.1299999999999999</v>
      </c>
      <c r="AR216" s="1296">
        <v>1.02</v>
      </c>
      <c r="AS216" s="1296">
        <v>0.91</v>
      </c>
      <c r="AT216" s="1296"/>
      <c r="AU216" s="1296"/>
      <c r="AV216" s="1290"/>
      <c r="AW216" s="1290"/>
      <c r="AX216" s="1290"/>
      <c r="AY216" s="1290"/>
      <c r="AZ216" s="1290"/>
      <c r="BA216" s="1290"/>
      <c r="BB216" s="1290"/>
      <c r="BC216" s="1290"/>
      <c r="BD216" s="204">
        <v>500</v>
      </c>
      <c r="BE216" s="204">
        <v>1.34</v>
      </c>
      <c r="BF216" s="204">
        <v>1.21</v>
      </c>
      <c r="BG216" s="204">
        <v>1.06</v>
      </c>
      <c r="BH216" s="204"/>
      <c r="BI216" s="204"/>
      <c r="BJ216" s="1246"/>
      <c r="BK216" s="1246"/>
      <c r="BL216" s="1246"/>
      <c r="BM216" s="1246"/>
      <c r="BN216" s="1246"/>
      <c r="BO216" s="1246"/>
      <c r="BP216" s="1246"/>
      <c r="BQ216" s="1246"/>
    </row>
    <row r="217" spans="2:69" x14ac:dyDescent="0.25">
      <c r="N217" s="1407">
        <v>2000</v>
      </c>
      <c r="O217" s="1408">
        <v>1.1299999999999999</v>
      </c>
      <c r="P217" s="1408">
        <v>1.02</v>
      </c>
      <c r="Q217" s="1408">
        <v>0.87</v>
      </c>
      <c r="R217" s="1408">
        <v>0.77</v>
      </c>
      <c r="S217" s="1408">
        <f>S218</f>
        <v>0.64</v>
      </c>
      <c r="T217" s="1265"/>
      <c r="U217" s="1265"/>
      <c r="V217" s="1265"/>
      <c r="W217" s="1265"/>
      <c r="X217" s="1265"/>
      <c r="Y217" s="1265"/>
      <c r="Z217" s="1265"/>
      <c r="AA217" s="1265"/>
      <c r="AB217" s="1381">
        <v>1000</v>
      </c>
      <c r="AC217" s="1381">
        <v>1.1299999999999999</v>
      </c>
      <c r="AD217" s="1381">
        <v>1.02</v>
      </c>
      <c r="AE217" s="1381">
        <v>0.91</v>
      </c>
      <c r="AF217" s="1381">
        <v>0.78</v>
      </c>
      <c r="AG217" s="1381">
        <v>0.57999999999999996</v>
      </c>
      <c r="AH217" s="1280"/>
      <c r="AI217" s="1280"/>
      <c r="AJ217" s="1280"/>
      <c r="AK217" s="1280"/>
      <c r="AL217" s="1280"/>
      <c r="AM217" s="1280"/>
      <c r="AN217" s="1280"/>
      <c r="AO217" s="1280"/>
      <c r="AP217" s="1347">
        <v>500</v>
      </c>
      <c r="AQ217" s="1296">
        <v>1.34</v>
      </c>
      <c r="AR217" s="1296">
        <v>1.21</v>
      </c>
      <c r="AS217" s="1296">
        <v>1.06</v>
      </c>
      <c r="AT217" s="1296"/>
      <c r="AU217" s="1296"/>
      <c r="AV217" s="1290"/>
      <c r="AW217" s="1290"/>
      <c r="AX217" s="1290"/>
      <c r="AY217" s="1290"/>
      <c r="AZ217" s="1290"/>
      <c r="BA217" s="1290"/>
      <c r="BB217" s="1290"/>
      <c r="BC217" s="1290"/>
      <c r="BD217" s="204">
        <v>200</v>
      </c>
      <c r="BE217" s="204">
        <v>1.57</v>
      </c>
      <c r="BF217" s="204">
        <v>1.43</v>
      </c>
      <c r="BG217" s="204">
        <v>1.31</v>
      </c>
      <c r="BH217" s="204"/>
      <c r="BI217" s="204"/>
      <c r="BJ217" s="1246"/>
      <c r="BK217" s="1246"/>
      <c r="BL217" s="1246"/>
      <c r="BM217" s="1246"/>
      <c r="BN217" s="1246"/>
      <c r="BO217" s="1246"/>
      <c r="BP217" s="1246"/>
      <c r="BQ217" s="1246"/>
    </row>
    <row r="218" spans="2:69" x14ac:dyDescent="0.25">
      <c r="N218" s="1407">
        <v>1000</v>
      </c>
      <c r="O218" s="1408">
        <v>1.3</v>
      </c>
      <c r="P218" s="1408">
        <v>1.17</v>
      </c>
      <c r="Q218" s="1408">
        <v>1.05</v>
      </c>
      <c r="R218" s="1408">
        <v>0.9</v>
      </c>
      <c r="S218" s="1408">
        <v>0.64</v>
      </c>
      <c r="T218" s="1265"/>
      <c r="U218" s="1265"/>
      <c r="V218" s="1265"/>
      <c r="W218" s="1265"/>
      <c r="X218" s="1265"/>
      <c r="Y218" s="1265"/>
      <c r="Z218" s="1265"/>
      <c r="AA218" s="1265"/>
      <c r="AB218" s="1381">
        <v>500</v>
      </c>
      <c r="AC218" s="1381">
        <v>1.34</v>
      </c>
      <c r="AD218" s="1381">
        <v>1.21</v>
      </c>
      <c r="AE218" s="1381">
        <v>1.06</v>
      </c>
      <c r="AF218" s="1381">
        <v>0.92</v>
      </c>
      <c r="AG218" s="1381">
        <v>0.67</v>
      </c>
      <c r="AH218" s="1280"/>
      <c r="AI218" s="1280"/>
      <c r="AJ218" s="1280"/>
      <c r="AK218" s="1280"/>
      <c r="AL218" s="1280"/>
      <c r="AM218" s="1280"/>
      <c r="AN218" s="1280"/>
      <c r="AO218" s="1280"/>
      <c r="AP218" s="1347">
        <v>200</v>
      </c>
      <c r="AQ218" s="1296">
        <v>1.57</v>
      </c>
      <c r="AR218" s="1296">
        <v>1.43</v>
      </c>
      <c r="AS218" s="1296">
        <v>1.31</v>
      </c>
      <c r="AT218" s="1296"/>
      <c r="AU218" s="1296"/>
      <c r="AV218" s="1290"/>
      <c r="AW218" s="1290"/>
      <c r="AX218" s="1290"/>
      <c r="AY218" s="1290"/>
      <c r="AZ218" s="1290"/>
      <c r="BA218" s="1290"/>
      <c r="BB218" s="1290"/>
      <c r="BC218" s="1290"/>
      <c r="BD218" s="204">
        <v>100</v>
      </c>
      <c r="BE218" s="204">
        <v>1.72</v>
      </c>
      <c r="BF218" s="204">
        <v>1.55</v>
      </c>
      <c r="BG218" s="204">
        <v>1.42</v>
      </c>
      <c r="BH218" s="204"/>
      <c r="BI218" s="204"/>
      <c r="BJ218" s="1246"/>
      <c r="BK218" s="1246"/>
      <c r="BL218" s="1246"/>
      <c r="BM218" s="1246"/>
      <c r="BN218" s="1246"/>
      <c r="BO218" s="1246"/>
      <c r="BP218" s="1246"/>
      <c r="BQ218" s="1246"/>
    </row>
    <row r="219" spans="2:69" x14ac:dyDescent="0.25">
      <c r="N219" s="1407">
        <v>500</v>
      </c>
      <c r="O219" s="1408">
        <v>1.54</v>
      </c>
      <c r="P219" s="1408">
        <v>1.39</v>
      </c>
      <c r="Q219" s="1408">
        <v>1.22</v>
      </c>
      <c r="R219" s="1408">
        <v>1.06</v>
      </c>
      <c r="S219" s="1408">
        <v>0.8</v>
      </c>
      <c r="T219" s="1265"/>
      <c r="U219" s="1265"/>
      <c r="V219" s="1265"/>
      <c r="W219" s="1265"/>
      <c r="X219" s="1265"/>
      <c r="Y219" s="1265"/>
      <c r="Z219" s="1265"/>
      <c r="AA219" s="1265"/>
      <c r="AB219" s="1381">
        <v>200</v>
      </c>
      <c r="AC219" s="1381">
        <v>1.57</v>
      </c>
      <c r="AD219" s="1381">
        <v>1.43</v>
      </c>
      <c r="AE219" s="1381">
        <v>1.31</v>
      </c>
      <c r="AF219" s="1381">
        <v>1.08</v>
      </c>
      <c r="AG219" s="1381">
        <v>0.8</v>
      </c>
      <c r="AH219" s="1280"/>
      <c r="AI219" s="1280"/>
      <c r="AJ219" s="1280"/>
      <c r="AK219" s="1280"/>
      <c r="AL219" s="1280"/>
      <c r="AM219" s="1280"/>
      <c r="AN219" s="1280"/>
      <c r="AO219" s="1280"/>
      <c r="AP219" s="1347">
        <v>100</v>
      </c>
      <c r="AQ219" s="1296">
        <v>1.72</v>
      </c>
      <c r="AR219" s="1296">
        <v>1.55</v>
      </c>
      <c r="AS219" s="1296">
        <v>1.42</v>
      </c>
      <c r="AT219" s="1296"/>
      <c r="AU219" s="1296"/>
      <c r="AV219" s="1290"/>
      <c r="AW219" s="1290"/>
      <c r="AX219" s="1290"/>
      <c r="AY219" s="1290"/>
      <c r="AZ219" s="1290"/>
      <c r="BA219" s="1290"/>
      <c r="BB219" s="1290"/>
      <c r="BC219" s="1290"/>
      <c r="BD219" s="204">
        <v>50</v>
      </c>
      <c r="BE219" s="204">
        <v>1.91</v>
      </c>
      <c r="BF219" s="204">
        <v>1.73</v>
      </c>
      <c r="BG219" s="204">
        <v>1.57</v>
      </c>
      <c r="BH219" s="204"/>
      <c r="BI219" s="204"/>
      <c r="BJ219" s="1246"/>
      <c r="BK219" s="1246"/>
      <c r="BL219" s="1246"/>
      <c r="BM219" s="1246"/>
      <c r="BN219" s="1246"/>
      <c r="BO219" s="1246"/>
      <c r="BP219" s="1246"/>
      <c r="BQ219" s="1246"/>
    </row>
    <row r="220" spans="2:69" x14ac:dyDescent="0.25">
      <c r="B220" s="1189"/>
      <c r="N220" s="1407">
        <v>200</v>
      </c>
      <c r="O220" s="1408">
        <v>1.83</v>
      </c>
      <c r="P220" s="1408">
        <v>1.66</v>
      </c>
      <c r="Q220" s="1408">
        <v>1.51</v>
      </c>
      <c r="R220" s="1408">
        <v>1.24</v>
      </c>
      <c r="S220" s="1408">
        <v>1.01</v>
      </c>
      <c r="T220" s="1265"/>
      <c r="U220" s="1265"/>
      <c r="V220" s="1265"/>
      <c r="W220" s="1265"/>
      <c r="X220" s="1265"/>
      <c r="Y220" s="1265"/>
      <c r="Z220" s="1265"/>
      <c r="AA220" s="1265"/>
      <c r="AB220" s="1381">
        <v>100</v>
      </c>
      <c r="AC220" s="1381">
        <v>1.72</v>
      </c>
      <c r="AD220" s="1381">
        <v>1.55</v>
      </c>
      <c r="AE220" s="1381">
        <v>1.42</v>
      </c>
      <c r="AF220" s="1381">
        <v>1.27</v>
      </c>
      <c r="AG220" s="1381">
        <v>0.93</v>
      </c>
      <c r="AH220" s="1280"/>
      <c r="AI220" s="1280"/>
      <c r="AJ220" s="1280"/>
      <c r="AK220" s="1280"/>
      <c r="AL220" s="1280"/>
      <c r="AM220" s="1280"/>
      <c r="AN220" s="1280"/>
      <c r="AO220" s="1280"/>
      <c r="AP220" s="1347">
        <v>50</v>
      </c>
      <c r="AQ220" s="1296">
        <v>1.91</v>
      </c>
      <c r="AR220" s="1296">
        <v>1.73</v>
      </c>
      <c r="AS220" s="1296">
        <v>1.57</v>
      </c>
      <c r="AT220" s="1296"/>
      <c r="AU220" s="1296"/>
      <c r="AV220" s="1290"/>
      <c r="AW220" s="1290"/>
      <c r="AX220" s="1290"/>
      <c r="AY220" s="1290"/>
      <c r="AZ220" s="1290"/>
      <c r="BA220" s="1290"/>
      <c r="BB220" s="1290"/>
      <c r="BC220" s="1290"/>
      <c r="BD220" s="204">
        <v>20</v>
      </c>
      <c r="BE220" s="204">
        <v>2.25</v>
      </c>
      <c r="BF220" s="204">
        <v>2.0499999999999998</v>
      </c>
      <c r="BG220" s="204">
        <v>1.86</v>
      </c>
      <c r="BH220" s="204"/>
      <c r="BI220" s="204"/>
      <c r="BJ220" s="1246"/>
      <c r="BK220" s="1246"/>
      <c r="BL220" s="1246"/>
      <c r="BM220" s="1246"/>
      <c r="BN220" s="1246"/>
      <c r="BO220" s="1246"/>
      <c r="BP220" s="1246"/>
      <c r="BQ220" s="1246"/>
    </row>
    <row r="221" spans="2:69" x14ac:dyDescent="0.25">
      <c r="N221" s="1407">
        <v>100</v>
      </c>
      <c r="O221" s="1408">
        <v>1.98</v>
      </c>
      <c r="P221" s="1408">
        <v>1.78</v>
      </c>
      <c r="Q221" s="1408">
        <v>1.61</v>
      </c>
      <c r="R221" s="1408">
        <v>1.43</v>
      </c>
      <c r="S221" s="1408">
        <v>1.1200000000000001</v>
      </c>
      <c r="T221" s="1265"/>
      <c r="U221" s="1265"/>
      <c r="V221" s="1265"/>
      <c r="W221" s="1265"/>
      <c r="X221" s="1265"/>
      <c r="Y221" s="1265"/>
      <c r="Z221" s="1265"/>
      <c r="AA221" s="1265"/>
      <c r="AB221" s="1381">
        <v>50</v>
      </c>
      <c r="AC221" s="1381">
        <v>1.91</v>
      </c>
      <c r="AD221" s="1381">
        <v>1.73</v>
      </c>
      <c r="AE221" s="1381">
        <v>1.57</v>
      </c>
      <c r="AF221" s="1381">
        <v>1.4</v>
      </c>
      <c r="AG221" s="1381">
        <v>1.1000000000000001</v>
      </c>
      <c r="AH221" s="1280"/>
      <c r="AI221" s="1280"/>
      <c r="AJ221" s="1280"/>
      <c r="AK221" s="1280"/>
      <c r="AL221" s="1280"/>
      <c r="AM221" s="1280"/>
      <c r="AN221" s="1280"/>
      <c r="AO221" s="1280"/>
      <c r="AP221" s="1347">
        <v>20</v>
      </c>
      <c r="AQ221" s="1296">
        <v>2.25</v>
      </c>
      <c r="AR221" s="1296">
        <v>2.0499999999999998</v>
      </c>
      <c r="AS221" s="1296">
        <v>1.86</v>
      </c>
      <c r="AT221" s="1296"/>
      <c r="AU221" s="1296"/>
      <c r="AV221" s="1290"/>
      <c r="AW221" s="1290"/>
      <c r="AX221" s="1290"/>
      <c r="AY221" s="1290"/>
      <c r="AZ221" s="1290"/>
      <c r="BA221" s="1290"/>
      <c r="BB221" s="1290"/>
      <c r="BC221" s="1290"/>
      <c r="BD221" s="204">
        <v>10</v>
      </c>
      <c r="BE221" s="204">
        <v>2.59</v>
      </c>
      <c r="BF221" s="204">
        <v>2.35</v>
      </c>
      <c r="BG221" s="204">
        <v>2.13</v>
      </c>
      <c r="BH221" s="204"/>
      <c r="BI221" s="204"/>
      <c r="BJ221" s="1246"/>
      <c r="BK221" s="1246"/>
      <c r="BL221" s="1246"/>
      <c r="BM221" s="1246"/>
      <c r="BN221" s="1246"/>
      <c r="BO221" s="1246"/>
      <c r="BP221" s="1246"/>
      <c r="BQ221" s="1246"/>
    </row>
    <row r="222" spans="2:69" x14ac:dyDescent="0.25">
      <c r="N222" s="1407">
        <v>50</v>
      </c>
      <c r="O222" s="1408">
        <v>2.2000000000000002</v>
      </c>
      <c r="P222" s="1408">
        <v>1.99</v>
      </c>
      <c r="Q222" s="1408">
        <v>1.8</v>
      </c>
      <c r="R222" s="1408">
        <v>1.6</v>
      </c>
      <c r="S222" s="1408">
        <v>1.27</v>
      </c>
      <c r="T222" s="1265"/>
      <c r="U222" s="1265"/>
      <c r="V222" s="1265"/>
      <c r="W222" s="1265"/>
      <c r="X222" s="1265"/>
      <c r="Y222" s="1265"/>
      <c r="Z222" s="1265"/>
      <c r="AA222" s="1265"/>
      <c r="AB222" s="1381">
        <v>20</v>
      </c>
      <c r="AC222" s="1381">
        <v>2.25</v>
      </c>
      <c r="AD222" s="1381">
        <v>2.0499999999999998</v>
      </c>
      <c r="AE222" s="1381">
        <v>1.86</v>
      </c>
      <c r="AF222" s="1381">
        <v>1.67</v>
      </c>
      <c r="AG222" s="1381">
        <v>1.49</v>
      </c>
      <c r="AH222" s="1280"/>
      <c r="AI222" s="1280"/>
      <c r="AJ222" s="1280"/>
      <c r="AK222" s="1280"/>
      <c r="AL222" s="1280"/>
      <c r="AM222" s="1280"/>
      <c r="AN222" s="1280"/>
      <c r="AO222" s="1280"/>
      <c r="AP222" s="1347">
        <v>10</v>
      </c>
      <c r="AQ222" s="1296">
        <v>2.59</v>
      </c>
      <c r="AR222" s="1296">
        <v>2.35</v>
      </c>
      <c r="AS222" s="1296">
        <v>2.13</v>
      </c>
      <c r="AT222" s="1296"/>
      <c r="AU222" s="1296"/>
      <c r="AV222" s="1290"/>
      <c r="AW222" s="1290"/>
      <c r="AX222" s="1290"/>
      <c r="AY222" s="1290"/>
      <c r="AZ222" s="1290"/>
      <c r="BA222" s="1290"/>
      <c r="BB222" s="1290"/>
      <c r="BC222" s="1290"/>
      <c r="BD222" s="204">
        <v>7</v>
      </c>
      <c r="BE222" s="204">
        <v>0</v>
      </c>
      <c r="BF222" s="204">
        <v>0</v>
      </c>
      <c r="BG222" s="204">
        <v>2.2200000000000002</v>
      </c>
      <c r="BH222" s="204"/>
      <c r="BI222" s="204"/>
      <c r="BJ222" s="1246"/>
      <c r="BK222" s="1246"/>
      <c r="BL222" s="1246"/>
      <c r="BM222" s="1246"/>
      <c r="BN222" s="1246"/>
      <c r="BO222" s="1246"/>
      <c r="BP222" s="1246"/>
      <c r="BQ222" s="1246"/>
    </row>
    <row r="223" spans="2:69" x14ac:dyDescent="0.25">
      <c r="N223" s="1407">
        <v>20</v>
      </c>
      <c r="O223" s="1408">
        <v>2.6</v>
      </c>
      <c r="P223" s="1408">
        <v>2.36</v>
      </c>
      <c r="Q223" s="1408">
        <v>2.14</v>
      </c>
      <c r="R223" s="1408">
        <v>1.9</v>
      </c>
      <c r="S223" s="1408">
        <v>1.52</v>
      </c>
      <c r="T223" s="1265"/>
      <c r="U223" s="1265"/>
      <c r="V223" s="1265"/>
      <c r="W223" s="1265"/>
      <c r="X223" s="1265"/>
      <c r="Y223" s="1265"/>
      <c r="Z223" s="1265"/>
      <c r="AA223" s="1265"/>
      <c r="AB223" s="1381">
        <v>10</v>
      </c>
      <c r="AC223" s="1381">
        <v>2.59</v>
      </c>
      <c r="AD223" s="1381">
        <v>2.35</v>
      </c>
      <c r="AE223" s="1381">
        <v>2.13</v>
      </c>
      <c r="AF223" s="1381">
        <v>1.93</v>
      </c>
      <c r="AG223" s="1381">
        <v>1.7</v>
      </c>
      <c r="AH223" s="1280"/>
      <c r="AI223" s="1280"/>
      <c r="AJ223" s="1280"/>
      <c r="AK223" s="1280"/>
      <c r="AL223" s="1280"/>
      <c r="AM223" s="1280"/>
      <c r="AN223" s="1280"/>
      <c r="AO223" s="1280"/>
      <c r="AP223" s="1347">
        <v>7</v>
      </c>
      <c r="AQ223" s="1296">
        <v>0</v>
      </c>
      <c r="AR223" s="1296">
        <v>0</v>
      </c>
      <c r="AS223" s="1296">
        <v>2.2200000000000002</v>
      </c>
      <c r="AT223" s="1296"/>
      <c r="AU223" s="1296"/>
      <c r="AV223" s="1290"/>
      <c r="AW223" s="1290"/>
      <c r="AX223" s="1290"/>
      <c r="AY223" s="1290"/>
      <c r="AZ223" s="1290"/>
      <c r="BA223" s="1290"/>
      <c r="BB223" s="1290"/>
      <c r="BC223" s="1290"/>
      <c r="BD223" s="204">
        <v>3</v>
      </c>
      <c r="BE223" s="204">
        <v>0</v>
      </c>
      <c r="BF223" s="204">
        <v>0</v>
      </c>
      <c r="BG223" s="204">
        <v>2.4900000000000002</v>
      </c>
      <c r="BH223" s="204"/>
      <c r="BI223" s="204"/>
      <c r="BJ223" s="1246"/>
      <c r="BK223" s="1246"/>
      <c r="BL223" s="1246"/>
      <c r="BM223" s="1246"/>
      <c r="BN223" s="1246"/>
      <c r="BO223" s="1246"/>
      <c r="BP223" s="1246"/>
      <c r="BQ223" s="1246"/>
    </row>
    <row r="224" spans="2:69" ht="15.75" customHeight="1" x14ac:dyDescent="0.25">
      <c r="N224" s="1407">
        <v>10</v>
      </c>
      <c r="O224" s="1408">
        <v>2.98</v>
      </c>
      <c r="P224" s="1408">
        <v>2.7</v>
      </c>
      <c r="Q224" s="1408">
        <v>2.48</v>
      </c>
      <c r="R224" s="1408">
        <v>2.2000000000000002</v>
      </c>
      <c r="S224" s="1408">
        <v>1.74</v>
      </c>
      <c r="T224" s="1265"/>
      <c r="U224" s="1265"/>
      <c r="V224" s="1265"/>
      <c r="W224" s="1265"/>
      <c r="X224" s="1265"/>
      <c r="Y224" s="1265"/>
      <c r="Z224" s="1265"/>
      <c r="AA224" s="1265"/>
      <c r="AB224" s="1381">
        <v>7</v>
      </c>
      <c r="AC224" s="1381">
        <v>0</v>
      </c>
      <c r="AD224" s="1381">
        <v>0</v>
      </c>
      <c r="AE224" s="1381">
        <v>2.2200000000000002</v>
      </c>
      <c r="AF224" s="1381">
        <v>2.0099999999999998</v>
      </c>
      <c r="AG224" s="1381">
        <v>1.77</v>
      </c>
      <c r="AH224" s="1280"/>
      <c r="AI224" s="1280"/>
      <c r="AJ224" s="1280"/>
      <c r="AK224" s="1280"/>
      <c r="AL224" s="1280"/>
      <c r="AM224" s="1280"/>
      <c r="AN224" s="1280"/>
      <c r="AO224" s="1280"/>
      <c r="AP224" s="1297"/>
      <c r="AQ224" s="1297"/>
      <c r="AR224" s="1297"/>
      <c r="AS224" s="1297"/>
      <c r="AT224" s="1297"/>
      <c r="AU224" s="1297"/>
      <c r="AV224" s="1290"/>
      <c r="AW224" s="1290"/>
      <c r="AX224" s="1290"/>
      <c r="AY224" s="1290"/>
      <c r="AZ224" s="1290"/>
      <c r="BA224" s="1290"/>
      <c r="BB224" s="1290"/>
      <c r="BC224" s="1290"/>
      <c r="BD224" s="201"/>
      <c r="BE224" s="201"/>
      <c r="BF224" s="201"/>
      <c r="BG224" s="201"/>
      <c r="BH224" s="201"/>
      <c r="BI224" s="201"/>
      <c r="BJ224" s="1246"/>
      <c r="BK224" s="1246"/>
      <c r="BL224" s="1246"/>
      <c r="BM224" s="1246"/>
      <c r="BN224" s="1246"/>
      <c r="BO224" s="1246"/>
      <c r="BP224" s="1246"/>
      <c r="BQ224" s="1246"/>
    </row>
    <row r="225" spans="2:69" x14ac:dyDescent="0.25">
      <c r="N225" s="1271" t="s">
        <v>3689</v>
      </c>
      <c r="O225" s="1272"/>
      <c r="P225" s="1271"/>
      <c r="Q225" s="1271"/>
      <c r="R225" s="1272"/>
      <c r="S225" s="1272"/>
      <c r="T225" s="1265"/>
      <c r="U225" s="1265"/>
      <c r="V225" s="1265"/>
      <c r="W225" s="1265"/>
      <c r="X225" s="1265"/>
      <c r="Y225" s="1265"/>
      <c r="Z225" s="1265"/>
      <c r="AA225" s="1265"/>
      <c r="AB225" s="1284" t="s">
        <v>188</v>
      </c>
      <c r="AC225" s="1285"/>
      <c r="AD225" s="1284"/>
      <c r="AE225" s="1284"/>
      <c r="AF225" s="1285"/>
      <c r="AG225" s="1285"/>
      <c r="AH225" s="1280"/>
      <c r="AI225" s="1280"/>
      <c r="AJ225" s="1280"/>
      <c r="AK225" s="1280"/>
      <c r="AL225" s="1280"/>
      <c r="AM225" s="1280"/>
      <c r="AN225" s="1280"/>
      <c r="AO225" s="1280"/>
      <c r="AP225" s="1294" t="s">
        <v>188</v>
      </c>
      <c r="AQ225" s="1295"/>
      <c r="AR225" s="1294"/>
      <c r="AS225" s="1294"/>
      <c r="AT225" s="1295"/>
      <c r="AU225" s="1295"/>
      <c r="AV225" s="1290"/>
      <c r="AW225" s="1290"/>
      <c r="AX225" s="1290"/>
      <c r="AY225" s="1290"/>
      <c r="AZ225" s="1290"/>
      <c r="BA225" s="1290"/>
      <c r="BB225" s="1290"/>
      <c r="BC225" s="1290"/>
      <c r="BD225" s="1250" t="s">
        <v>188</v>
      </c>
      <c r="BE225" s="1251"/>
      <c r="BF225" s="1250"/>
      <c r="BG225" s="1250"/>
      <c r="BH225" s="1251"/>
      <c r="BI225" s="1251"/>
      <c r="BJ225" s="1246"/>
      <c r="BK225" s="1246"/>
      <c r="BL225" s="1246"/>
      <c r="BM225" s="1246"/>
      <c r="BN225" s="1246"/>
      <c r="BO225" s="1246"/>
      <c r="BP225" s="1246"/>
      <c r="BQ225" s="1246"/>
    </row>
    <row r="226" spans="2:69" x14ac:dyDescent="0.25">
      <c r="N226" s="1944" t="s">
        <v>162</v>
      </c>
      <c r="O226" s="1944" t="s">
        <v>117</v>
      </c>
      <c r="P226" s="1944"/>
      <c r="Q226" s="1944"/>
      <c r="R226" s="1944"/>
      <c r="S226" s="1944"/>
      <c r="T226" s="1265"/>
      <c r="U226" s="1265"/>
      <c r="V226" s="1265"/>
      <c r="W226" s="1265"/>
      <c r="X226" s="1265"/>
      <c r="Y226" s="1265"/>
      <c r="Z226" s="1265"/>
      <c r="AA226" s="1265"/>
      <c r="AB226" s="1962" t="s">
        <v>162</v>
      </c>
      <c r="AC226" s="1926" t="s">
        <v>117</v>
      </c>
      <c r="AD226" s="1926"/>
      <c r="AE226" s="1926"/>
      <c r="AF226" s="1926"/>
      <c r="AG226" s="1926"/>
      <c r="AH226" s="1280"/>
      <c r="AI226" s="1280"/>
      <c r="AJ226" s="1280"/>
      <c r="AK226" s="1280"/>
      <c r="AL226" s="1280"/>
      <c r="AM226" s="1280"/>
      <c r="AN226" s="1280"/>
      <c r="AO226" s="1280"/>
      <c r="AP226" s="1934" t="s">
        <v>162</v>
      </c>
      <c r="AQ226" s="1928" t="s">
        <v>117</v>
      </c>
      <c r="AR226" s="1928"/>
      <c r="AS226" s="1928"/>
      <c r="AT226" s="1928"/>
      <c r="AU226" s="1928"/>
      <c r="AV226" s="1290"/>
      <c r="AW226" s="1290"/>
      <c r="AX226" s="1290"/>
      <c r="AY226" s="1290"/>
      <c r="AZ226" s="1290"/>
      <c r="BA226" s="1290"/>
      <c r="BB226" s="1290"/>
      <c r="BC226" s="1290"/>
      <c r="BD226" s="1963" t="s">
        <v>162</v>
      </c>
      <c r="BE226" s="1930" t="s">
        <v>117</v>
      </c>
      <c r="BF226" s="1930"/>
      <c r="BG226" s="1930"/>
      <c r="BH226" s="1930"/>
      <c r="BI226" s="1930"/>
      <c r="BJ226" s="1246"/>
      <c r="BK226" s="1246"/>
      <c r="BL226" s="1246"/>
      <c r="BM226" s="1246"/>
      <c r="BN226" s="1246"/>
      <c r="BO226" s="1246"/>
      <c r="BP226" s="1246"/>
      <c r="BQ226" s="1246"/>
    </row>
    <row r="227" spans="2:69" x14ac:dyDescent="0.25">
      <c r="B227" s="36"/>
      <c r="C227" s="36"/>
      <c r="N227" s="1944"/>
      <c r="O227" s="1373" t="s">
        <v>118</v>
      </c>
      <c r="P227" s="1373" t="s">
        <v>163</v>
      </c>
      <c r="Q227" s="1373" t="s">
        <v>164</v>
      </c>
      <c r="R227" s="1373" t="s">
        <v>165</v>
      </c>
      <c r="S227" s="1373" t="s">
        <v>166</v>
      </c>
      <c r="T227" s="1265"/>
      <c r="U227" s="1265"/>
      <c r="V227" s="1265"/>
      <c r="W227" s="1265"/>
      <c r="X227" s="1265"/>
      <c r="Y227" s="1265"/>
      <c r="Z227" s="1265"/>
      <c r="AA227" s="1265"/>
      <c r="AB227" s="1962"/>
      <c r="AC227" s="1381" t="s">
        <v>118</v>
      </c>
      <c r="AD227" s="1381" t="s">
        <v>163</v>
      </c>
      <c r="AE227" s="1381" t="s">
        <v>164</v>
      </c>
      <c r="AF227" s="1381" t="s">
        <v>165</v>
      </c>
      <c r="AG227" s="1381" t="s">
        <v>166</v>
      </c>
      <c r="AH227" s="1280"/>
      <c r="AI227" s="1280"/>
      <c r="AJ227" s="1280"/>
      <c r="AK227" s="1280"/>
      <c r="AL227" s="1280"/>
      <c r="AM227" s="1280"/>
      <c r="AN227" s="1280"/>
      <c r="AO227" s="1280"/>
      <c r="AP227" s="1934"/>
      <c r="AQ227" s="1296" t="s">
        <v>118</v>
      </c>
      <c r="AR227" s="1296" t="s">
        <v>163</v>
      </c>
      <c r="AS227" s="1296" t="s">
        <v>164</v>
      </c>
      <c r="AT227" s="1296" t="s">
        <v>165</v>
      </c>
      <c r="AU227" s="1296" t="s">
        <v>166</v>
      </c>
      <c r="AV227" s="1290"/>
      <c r="AW227" s="1290"/>
      <c r="AX227" s="1290"/>
      <c r="AY227" s="1290"/>
      <c r="AZ227" s="1290"/>
      <c r="BA227" s="1290"/>
      <c r="BB227" s="1290"/>
      <c r="BC227" s="1290"/>
      <c r="BD227" s="1963"/>
      <c r="BE227" s="204" t="s">
        <v>118</v>
      </c>
      <c r="BF227" s="204" t="s">
        <v>163</v>
      </c>
      <c r="BG227" s="204" t="s">
        <v>164</v>
      </c>
      <c r="BH227" s="204" t="s">
        <v>165</v>
      </c>
      <c r="BI227" s="204" t="s">
        <v>166</v>
      </c>
      <c r="BJ227" s="1246"/>
      <c r="BK227" s="1246"/>
      <c r="BL227" s="1246"/>
      <c r="BM227" s="1246"/>
      <c r="BN227" s="1246"/>
      <c r="BO227" s="1246"/>
      <c r="BP227" s="1246"/>
      <c r="BQ227" s="1246"/>
    </row>
    <row r="228" spans="2:69" x14ac:dyDescent="0.25">
      <c r="B228" s="36"/>
      <c r="C228" s="36"/>
      <c r="N228" s="1373"/>
      <c r="O228" s="1373">
        <v>0</v>
      </c>
      <c r="P228" s="1373">
        <v>1</v>
      </c>
      <c r="Q228" s="1373">
        <v>2</v>
      </c>
      <c r="R228" s="1373">
        <v>3</v>
      </c>
      <c r="S228" s="1373">
        <v>4</v>
      </c>
      <c r="T228" s="1265"/>
      <c r="U228" s="1265"/>
      <c r="V228" s="1265"/>
      <c r="W228" s="1265"/>
      <c r="X228" s="1265"/>
      <c r="Y228" s="1265"/>
      <c r="Z228" s="1265"/>
      <c r="AA228" s="1265"/>
      <c r="AB228" s="1381"/>
      <c r="AC228" s="1381">
        <v>0</v>
      </c>
      <c r="AD228" s="1381">
        <v>1</v>
      </c>
      <c r="AE228" s="1381">
        <v>2</v>
      </c>
      <c r="AF228" s="1381">
        <v>3</v>
      </c>
      <c r="AG228" s="1381">
        <v>4</v>
      </c>
      <c r="AH228" s="1280"/>
      <c r="AI228" s="1280"/>
      <c r="AJ228" s="1280"/>
      <c r="AK228" s="1280"/>
      <c r="AL228" s="1280"/>
      <c r="AM228" s="1280"/>
      <c r="AN228" s="1280"/>
      <c r="AO228" s="1280"/>
      <c r="AP228" s="1296"/>
      <c r="AQ228" s="1296">
        <v>0</v>
      </c>
      <c r="AR228" s="1296">
        <v>1</v>
      </c>
      <c r="AS228" s="1296">
        <v>2</v>
      </c>
      <c r="AT228" s="1296">
        <v>3</v>
      </c>
      <c r="AU228" s="1296">
        <v>4</v>
      </c>
      <c r="AV228" s="1290"/>
      <c r="AW228" s="1290"/>
      <c r="AX228" s="1290"/>
      <c r="AY228" s="1290"/>
      <c r="AZ228" s="1290"/>
      <c r="BA228" s="1290"/>
      <c r="BB228" s="1290"/>
      <c r="BC228" s="1290"/>
      <c r="BD228" s="204"/>
      <c r="BE228" s="204">
        <v>0</v>
      </c>
      <c r="BF228" s="204">
        <v>1</v>
      </c>
      <c r="BG228" s="204">
        <v>2</v>
      </c>
      <c r="BH228" s="204">
        <v>3</v>
      </c>
      <c r="BI228" s="204">
        <v>4</v>
      </c>
      <c r="BJ228" s="1246"/>
      <c r="BK228" s="1246"/>
      <c r="BL228" s="1246"/>
      <c r="BM228" s="1246"/>
      <c r="BN228" s="1246"/>
      <c r="BO228" s="1246"/>
      <c r="BP228" s="1246"/>
      <c r="BQ228" s="1246"/>
    </row>
    <row r="229" spans="2:69" x14ac:dyDescent="0.25">
      <c r="B229" s="36"/>
      <c r="C229" s="36"/>
      <c r="N229" s="1407">
        <v>10000</v>
      </c>
      <c r="O229" s="1373">
        <f t="shared" ref="O229:S239" si="21">O214*0.55</f>
        <v>0.31900000000000001</v>
      </c>
      <c r="P229" s="1373">
        <f t="shared" si="21"/>
        <v>0.28600000000000003</v>
      </c>
      <c r="Q229" s="1373">
        <f t="shared" si="21"/>
        <v>0.23100000000000001</v>
      </c>
      <c r="R229" s="1373">
        <f t="shared" si="21"/>
        <v>0.20350000000000001</v>
      </c>
      <c r="S229" s="1373">
        <f t="shared" si="21"/>
        <v>0.35200000000000004</v>
      </c>
      <c r="T229" s="1265"/>
      <c r="U229" s="1265"/>
      <c r="V229" s="1265"/>
      <c r="W229" s="1265"/>
      <c r="X229" s="1265"/>
      <c r="Y229" s="1265"/>
      <c r="Z229" s="1265"/>
      <c r="AA229" s="1265"/>
      <c r="AB229" s="1381">
        <v>8000</v>
      </c>
      <c r="AC229" s="1381">
        <v>0.314</v>
      </c>
      <c r="AD229" s="1381">
        <v>0.28100000000000003</v>
      </c>
      <c r="AE229" s="1381">
        <v>0.248</v>
      </c>
      <c r="AF229" s="1381">
        <v>0.22</v>
      </c>
      <c r="AG229" s="1381">
        <f>AG230</f>
        <v>0.20899999999999999</v>
      </c>
      <c r="AH229" s="1280"/>
      <c r="AI229" s="1280"/>
      <c r="AJ229" s="1280"/>
      <c r="AK229" s="1280"/>
      <c r="AL229" s="1280"/>
      <c r="AM229" s="1280"/>
      <c r="AN229" s="1280"/>
      <c r="AO229" s="1280"/>
      <c r="AP229" s="1347">
        <v>5000</v>
      </c>
      <c r="AQ229" s="1296">
        <f t="shared" ref="AQ229:AS238" si="22">AQ214*0.55</f>
        <v>0.40700000000000003</v>
      </c>
      <c r="AR229" s="1296">
        <f t="shared" si="22"/>
        <v>0.36850000000000005</v>
      </c>
      <c r="AS229" s="1296">
        <f t="shared" si="22"/>
        <v>0.31900000000000001</v>
      </c>
      <c r="AT229" s="1296">
        <v>0</v>
      </c>
      <c r="AU229" s="1296">
        <v>0</v>
      </c>
      <c r="AV229" s="1290"/>
      <c r="AW229" s="1290"/>
      <c r="AX229" s="1290"/>
      <c r="AY229" s="1290"/>
      <c r="AZ229" s="1290"/>
      <c r="BA229" s="1290"/>
      <c r="BB229" s="1290"/>
      <c r="BC229" s="1290"/>
      <c r="BD229" s="204">
        <v>2000</v>
      </c>
      <c r="BE229" s="204">
        <f t="shared" ref="BE229:BG238" si="23">BE214*0.55</f>
        <v>0.52800000000000002</v>
      </c>
      <c r="BF229" s="204">
        <f t="shared" si="23"/>
        <v>0.47850000000000004</v>
      </c>
      <c r="BG229" s="204">
        <f t="shared" si="23"/>
        <v>0.41800000000000004</v>
      </c>
      <c r="BH229" s="204"/>
      <c r="BI229" s="204"/>
      <c r="BJ229" s="1246"/>
      <c r="BK229" s="1246"/>
      <c r="BL229" s="1246"/>
      <c r="BM229" s="1246"/>
      <c r="BN229" s="1246"/>
      <c r="BO229" s="1246"/>
      <c r="BP229" s="1246"/>
      <c r="BQ229" s="1246"/>
    </row>
    <row r="230" spans="2:69" x14ac:dyDescent="0.25">
      <c r="B230" s="36"/>
      <c r="C230" s="36"/>
      <c r="N230" s="1407">
        <v>8000</v>
      </c>
      <c r="O230" s="1373">
        <f t="shared" si="21"/>
        <v>0.36300000000000004</v>
      </c>
      <c r="P230" s="1373">
        <f t="shared" si="21"/>
        <v>0.32450000000000001</v>
      </c>
      <c r="Q230" s="1373">
        <f t="shared" si="21"/>
        <v>0.26950000000000002</v>
      </c>
      <c r="R230" s="1373">
        <f t="shared" si="21"/>
        <v>0.23650000000000002</v>
      </c>
      <c r="S230" s="1373">
        <f t="shared" si="21"/>
        <v>0.35200000000000004</v>
      </c>
      <c r="T230" s="1265"/>
      <c r="U230" s="1265"/>
      <c r="V230" s="1265"/>
      <c r="W230" s="1265"/>
      <c r="X230" s="1265"/>
      <c r="Y230" s="1265"/>
      <c r="Z230" s="1265"/>
      <c r="AA230" s="1265"/>
      <c r="AB230" s="1381">
        <v>5000</v>
      </c>
      <c r="AC230" s="1381">
        <v>0.40699999999999997</v>
      </c>
      <c r="AD230" s="1381">
        <v>0.36899999999999999</v>
      </c>
      <c r="AE230" s="1381">
        <v>0.31900000000000001</v>
      </c>
      <c r="AF230" s="1381">
        <v>0.28100000000000003</v>
      </c>
      <c r="AG230" s="1381">
        <v>0.20899999999999999</v>
      </c>
      <c r="AH230" s="1280"/>
      <c r="AI230" s="1280"/>
      <c r="AJ230" s="1280"/>
      <c r="AK230" s="1280"/>
      <c r="AL230" s="1280"/>
      <c r="AM230" s="1280"/>
      <c r="AN230" s="1280"/>
      <c r="AO230" s="1280"/>
      <c r="AP230" s="1347">
        <v>2000</v>
      </c>
      <c r="AQ230" s="1296">
        <f t="shared" si="22"/>
        <v>0.52800000000000002</v>
      </c>
      <c r="AR230" s="1296">
        <f t="shared" si="22"/>
        <v>0.47850000000000004</v>
      </c>
      <c r="AS230" s="1296">
        <f t="shared" si="22"/>
        <v>0.41800000000000004</v>
      </c>
      <c r="AT230" s="1296">
        <v>0</v>
      </c>
      <c r="AU230" s="1296">
        <v>0</v>
      </c>
      <c r="AV230" s="1290"/>
      <c r="AW230" s="1290"/>
      <c r="AX230" s="1290"/>
      <c r="AY230" s="1290"/>
      <c r="AZ230" s="1290"/>
      <c r="BA230" s="1290"/>
      <c r="BB230" s="1290"/>
      <c r="BC230" s="1290"/>
      <c r="BD230" s="204">
        <v>1000</v>
      </c>
      <c r="BE230" s="204">
        <f t="shared" si="23"/>
        <v>0.62149999999999994</v>
      </c>
      <c r="BF230" s="204">
        <f t="shared" si="23"/>
        <v>0.56100000000000005</v>
      </c>
      <c r="BG230" s="204">
        <f t="shared" si="23"/>
        <v>0.50050000000000006</v>
      </c>
      <c r="BH230" s="204"/>
      <c r="BI230" s="204"/>
      <c r="BJ230" s="1246"/>
      <c r="BK230" s="1246"/>
      <c r="BL230" s="1246"/>
      <c r="BM230" s="1246"/>
      <c r="BN230" s="1246"/>
      <c r="BO230" s="1246"/>
      <c r="BP230" s="1246"/>
      <c r="BQ230" s="1246"/>
    </row>
    <row r="231" spans="2:69" x14ac:dyDescent="0.25">
      <c r="B231" s="36"/>
      <c r="C231" s="36"/>
      <c r="N231" s="1407">
        <v>5000</v>
      </c>
      <c r="O231" s="1373">
        <f t="shared" si="21"/>
        <v>0.46750000000000003</v>
      </c>
      <c r="P231" s="1373">
        <f t="shared" si="21"/>
        <v>0.42350000000000004</v>
      </c>
      <c r="Q231" s="1373">
        <f t="shared" si="21"/>
        <v>0.36850000000000005</v>
      </c>
      <c r="R231" s="1373">
        <f t="shared" si="21"/>
        <v>0.32450000000000001</v>
      </c>
      <c r="S231" s="1373">
        <f t="shared" si="21"/>
        <v>0.35200000000000004</v>
      </c>
      <c r="T231" s="1265"/>
      <c r="U231" s="1265"/>
      <c r="V231" s="1265"/>
      <c r="W231" s="1265"/>
      <c r="X231" s="1265"/>
      <c r="Y231" s="1265"/>
      <c r="Z231" s="1265"/>
      <c r="AA231" s="1265"/>
      <c r="AB231" s="1381">
        <v>2000</v>
      </c>
      <c r="AC231" s="1381">
        <v>0.52800000000000002</v>
      </c>
      <c r="AD231" s="1381">
        <v>0.47899999999999998</v>
      </c>
      <c r="AE231" s="1381">
        <v>0.41799999999999998</v>
      </c>
      <c r="AF231" s="1381">
        <v>0.36899999999999999</v>
      </c>
      <c r="AG231" s="1381">
        <v>0.27</v>
      </c>
      <c r="AH231" s="1280"/>
      <c r="AI231" s="1280"/>
      <c r="AJ231" s="1280"/>
      <c r="AK231" s="1280"/>
      <c r="AL231" s="1280"/>
      <c r="AM231" s="1280"/>
      <c r="AN231" s="1280"/>
      <c r="AO231" s="1280"/>
      <c r="AP231" s="1347">
        <v>1000</v>
      </c>
      <c r="AQ231" s="1296">
        <f t="shared" si="22"/>
        <v>0.62149999999999994</v>
      </c>
      <c r="AR231" s="1296">
        <f t="shared" si="22"/>
        <v>0.56100000000000005</v>
      </c>
      <c r="AS231" s="1296">
        <f t="shared" si="22"/>
        <v>0.50050000000000006</v>
      </c>
      <c r="AT231" s="1296">
        <v>0</v>
      </c>
      <c r="AU231" s="1296">
        <v>0</v>
      </c>
      <c r="AV231" s="1290"/>
      <c r="AW231" s="1290"/>
      <c r="AX231" s="1290"/>
      <c r="AY231" s="1290"/>
      <c r="AZ231" s="1290"/>
      <c r="BA231" s="1290"/>
      <c r="BB231" s="1290"/>
      <c r="BC231" s="1290"/>
      <c r="BD231" s="204">
        <v>500</v>
      </c>
      <c r="BE231" s="204">
        <f t="shared" si="23"/>
        <v>0.7370000000000001</v>
      </c>
      <c r="BF231" s="204">
        <f t="shared" si="23"/>
        <v>0.66549999999999998</v>
      </c>
      <c r="BG231" s="204">
        <f t="shared" si="23"/>
        <v>0.58300000000000007</v>
      </c>
      <c r="BH231" s="204"/>
      <c r="BI231" s="204"/>
      <c r="BJ231" s="1246"/>
      <c r="BK231" s="1246"/>
      <c r="BL231" s="1246"/>
      <c r="BM231" s="1246"/>
      <c r="BN231" s="1246"/>
      <c r="BO231" s="1246"/>
      <c r="BP231" s="1246"/>
      <c r="BQ231" s="1246"/>
    </row>
    <row r="232" spans="2:69" x14ac:dyDescent="0.25">
      <c r="B232" s="36"/>
      <c r="C232" s="36"/>
      <c r="N232" s="1407">
        <v>2000</v>
      </c>
      <c r="O232" s="1373">
        <f t="shared" si="21"/>
        <v>0.62149999999999994</v>
      </c>
      <c r="P232" s="1373">
        <f t="shared" si="21"/>
        <v>0.56100000000000005</v>
      </c>
      <c r="Q232" s="1373">
        <f t="shared" si="21"/>
        <v>0.47850000000000004</v>
      </c>
      <c r="R232" s="1373">
        <f t="shared" si="21"/>
        <v>0.42350000000000004</v>
      </c>
      <c r="S232" s="1373">
        <f t="shared" si="21"/>
        <v>0.35200000000000004</v>
      </c>
      <c r="T232" s="1265"/>
      <c r="U232" s="1265"/>
      <c r="V232" s="1265"/>
      <c r="W232" s="1265"/>
      <c r="X232" s="1265"/>
      <c r="Y232" s="1265"/>
      <c r="Z232" s="1265"/>
      <c r="AA232" s="1265"/>
      <c r="AB232" s="1381">
        <v>1000</v>
      </c>
      <c r="AC232" s="1381">
        <v>0.622</v>
      </c>
      <c r="AD232" s="1381">
        <v>0.56100000000000005</v>
      </c>
      <c r="AE232" s="1381">
        <v>0.501</v>
      </c>
      <c r="AF232" s="1381">
        <v>0.42899999999999999</v>
      </c>
      <c r="AG232" s="1381">
        <v>0.31900000000000001</v>
      </c>
      <c r="AH232" s="1280"/>
      <c r="AI232" s="1280"/>
      <c r="AJ232" s="1280"/>
      <c r="AK232" s="1280"/>
      <c r="AL232" s="1280"/>
      <c r="AM232" s="1280"/>
      <c r="AN232" s="1280"/>
      <c r="AO232" s="1280"/>
      <c r="AP232" s="1347">
        <v>500</v>
      </c>
      <c r="AQ232" s="1296">
        <f t="shared" si="22"/>
        <v>0.7370000000000001</v>
      </c>
      <c r="AR232" s="1296">
        <f t="shared" si="22"/>
        <v>0.66549999999999998</v>
      </c>
      <c r="AS232" s="1296">
        <f t="shared" si="22"/>
        <v>0.58300000000000007</v>
      </c>
      <c r="AT232" s="1296">
        <v>0</v>
      </c>
      <c r="AU232" s="1296">
        <v>0</v>
      </c>
      <c r="AV232" s="1290"/>
      <c r="AW232" s="1290"/>
      <c r="AX232" s="1290"/>
      <c r="AY232" s="1290"/>
      <c r="AZ232" s="1290"/>
      <c r="BA232" s="1290"/>
      <c r="BB232" s="1290"/>
      <c r="BC232" s="1290"/>
      <c r="BD232" s="204">
        <v>200</v>
      </c>
      <c r="BE232" s="204">
        <f t="shared" si="23"/>
        <v>0.86350000000000016</v>
      </c>
      <c r="BF232" s="204">
        <f t="shared" si="23"/>
        <v>0.78649999999999998</v>
      </c>
      <c r="BG232" s="204">
        <f t="shared" si="23"/>
        <v>0.72050000000000014</v>
      </c>
      <c r="BH232" s="204"/>
      <c r="BI232" s="204"/>
      <c r="BJ232" s="1246"/>
      <c r="BK232" s="1246"/>
      <c r="BL232" s="1246"/>
      <c r="BM232" s="1246"/>
      <c r="BN232" s="1246"/>
      <c r="BO232" s="1246"/>
      <c r="BP232" s="1246"/>
      <c r="BQ232" s="1246"/>
    </row>
    <row r="233" spans="2:69" x14ac:dyDescent="0.25">
      <c r="B233" s="36"/>
      <c r="C233" s="36"/>
      <c r="N233" s="1407">
        <v>1000</v>
      </c>
      <c r="O233" s="1373">
        <f t="shared" si="21"/>
        <v>0.71500000000000008</v>
      </c>
      <c r="P233" s="1373">
        <f t="shared" si="21"/>
        <v>0.64349999999999996</v>
      </c>
      <c r="Q233" s="1373">
        <f t="shared" si="21"/>
        <v>0.57750000000000012</v>
      </c>
      <c r="R233" s="1373">
        <f t="shared" si="21"/>
        <v>0.49500000000000005</v>
      </c>
      <c r="S233" s="1373">
        <f t="shared" si="21"/>
        <v>0.35200000000000004</v>
      </c>
      <c r="T233" s="1265"/>
      <c r="U233" s="1265"/>
      <c r="V233" s="1265"/>
      <c r="W233" s="1265"/>
      <c r="X233" s="1265"/>
      <c r="Y233" s="1265"/>
      <c r="Z233" s="1265"/>
      <c r="AA233" s="1265"/>
      <c r="AB233" s="1381">
        <v>500</v>
      </c>
      <c r="AC233" s="1381">
        <v>0.73699999999999999</v>
      </c>
      <c r="AD233" s="1381">
        <v>0.66600000000000004</v>
      </c>
      <c r="AE233" s="1381">
        <v>0.58299999999999996</v>
      </c>
      <c r="AF233" s="1381">
        <v>0.50600000000000001</v>
      </c>
      <c r="AG233" s="1381">
        <v>0.36899999999999999</v>
      </c>
      <c r="AH233" s="1280"/>
      <c r="AI233" s="1280"/>
      <c r="AJ233" s="1280"/>
      <c r="AK233" s="1280"/>
      <c r="AL233" s="1280"/>
      <c r="AM233" s="1280"/>
      <c r="AN233" s="1280"/>
      <c r="AO233" s="1280"/>
      <c r="AP233" s="1347">
        <v>200</v>
      </c>
      <c r="AQ233" s="1296">
        <f t="shared" si="22"/>
        <v>0.86350000000000016</v>
      </c>
      <c r="AR233" s="1296">
        <f t="shared" si="22"/>
        <v>0.78649999999999998</v>
      </c>
      <c r="AS233" s="1296">
        <f t="shared" si="22"/>
        <v>0.72050000000000014</v>
      </c>
      <c r="AT233" s="1296">
        <v>0</v>
      </c>
      <c r="AU233" s="1296">
        <v>0</v>
      </c>
      <c r="AV233" s="1290"/>
      <c r="AW233" s="1290"/>
      <c r="AX233" s="1290"/>
      <c r="AY233" s="1290"/>
      <c r="AZ233" s="1290"/>
      <c r="BA233" s="1290"/>
      <c r="BB233" s="1290"/>
      <c r="BC233" s="1290"/>
      <c r="BD233" s="204">
        <v>100</v>
      </c>
      <c r="BE233" s="204">
        <f t="shared" si="23"/>
        <v>0.94600000000000006</v>
      </c>
      <c r="BF233" s="204">
        <f t="shared" si="23"/>
        <v>0.85250000000000015</v>
      </c>
      <c r="BG233" s="204">
        <f t="shared" si="23"/>
        <v>0.78100000000000003</v>
      </c>
      <c r="BH233" s="204"/>
      <c r="BI233" s="204"/>
      <c r="BJ233" s="1246"/>
      <c r="BK233" s="1246"/>
      <c r="BL233" s="1246"/>
      <c r="BM233" s="1246"/>
      <c r="BN233" s="1246"/>
      <c r="BO233" s="1246"/>
      <c r="BP233" s="1246"/>
      <c r="BQ233" s="1246"/>
    </row>
    <row r="234" spans="2:69" x14ac:dyDescent="0.25">
      <c r="B234" s="36"/>
      <c r="C234" s="36"/>
      <c r="N234" s="1407">
        <v>500</v>
      </c>
      <c r="O234" s="1373">
        <f t="shared" si="21"/>
        <v>0.84700000000000009</v>
      </c>
      <c r="P234" s="1373">
        <f t="shared" si="21"/>
        <v>0.76449999999999996</v>
      </c>
      <c r="Q234" s="1373">
        <f t="shared" si="21"/>
        <v>0.67100000000000004</v>
      </c>
      <c r="R234" s="1373">
        <f t="shared" si="21"/>
        <v>0.58300000000000007</v>
      </c>
      <c r="S234" s="1373">
        <f t="shared" si="21"/>
        <v>0.44000000000000006</v>
      </c>
      <c r="T234" s="1265"/>
      <c r="U234" s="1265"/>
      <c r="V234" s="1265"/>
      <c r="W234" s="1265"/>
      <c r="X234" s="1265"/>
      <c r="Y234" s="1265"/>
      <c r="Z234" s="1265"/>
      <c r="AA234" s="1265"/>
      <c r="AB234" s="1381">
        <v>200</v>
      </c>
      <c r="AC234" s="1381">
        <v>0.86399999999999999</v>
      </c>
      <c r="AD234" s="1381">
        <v>0.78700000000000003</v>
      </c>
      <c r="AE234" s="1381">
        <v>0.72099999999999997</v>
      </c>
      <c r="AF234" s="1381">
        <v>0.59399999999999997</v>
      </c>
      <c r="AG234" s="1381">
        <v>0.44</v>
      </c>
      <c r="AH234" s="1280"/>
      <c r="AI234" s="1280"/>
      <c r="AJ234" s="1280"/>
      <c r="AK234" s="1280"/>
      <c r="AL234" s="1280"/>
      <c r="AM234" s="1280"/>
      <c r="AN234" s="1280"/>
      <c r="AO234" s="1280"/>
      <c r="AP234" s="1347">
        <v>100</v>
      </c>
      <c r="AQ234" s="1296">
        <f t="shared" si="22"/>
        <v>0.94600000000000006</v>
      </c>
      <c r="AR234" s="1296">
        <f t="shared" si="22"/>
        <v>0.85250000000000015</v>
      </c>
      <c r="AS234" s="1296">
        <f t="shared" si="22"/>
        <v>0.78100000000000003</v>
      </c>
      <c r="AT234" s="1296">
        <v>0</v>
      </c>
      <c r="AU234" s="1296">
        <v>0</v>
      </c>
      <c r="AV234" s="1290"/>
      <c r="AW234" s="1290"/>
      <c r="AX234" s="1290"/>
      <c r="AY234" s="1290"/>
      <c r="AZ234" s="1290"/>
      <c r="BA234" s="1290"/>
      <c r="BB234" s="1290"/>
      <c r="BC234" s="1290"/>
      <c r="BD234" s="204">
        <v>50</v>
      </c>
      <c r="BE234" s="204">
        <f t="shared" si="23"/>
        <v>1.0505</v>
      </c>
      <c r="BF234" s="204">
        <f t="shared" si="23"/>
        <v>0.95150000000000001</v>
      </c>
      <c r="BG234" s="204">
        <f t="shared" si="23"/>
        <v>0.86350000000000016</v>
      </c>
      <c r="BH234" s="204"/>
      <c r="BI234" s="204"/>
      <c r="BJ234" s="1246"/>
      <c r="BK234" s="1246"/>
      <c r="BL234" s="1246"/>
      <c r="BM234" s="1246"/>
      <c r="BN234" s="1246"/>
      <c r="BO234" s="1246"/>
      <c r="BP234" s="1246"/>
      <c r="BQ234" s="1246"/>
    </row>
    <row r="235" spans="2:69" x14ac:dyDescent="0.25">
      <c r="B235" s="36"/>
      <c r="C235" s="36"/>
      <c r="N235" s="1407">
        <v>200</v>
      </c>
      <c r="O235" s="1373">
        <f t="shared" si="21"/>
        <v>1.0065000000000002</v>
      </c>
      <c r="P235" s="1373">
        <f t="shared" si="21"/>
        <v>0.91300000000000003</v>
      </c>
      <c r="Q235" s="1373">
        <f t="shared" si="21"/>
        <v>0.83050000000000013</v>
      </c>
      <c r="R235" s="1373">
        <f t="shared" si="21"/>
        <v>0.68200000000000005</v>
      </c>
      <c r="S235" s="1373">
        <f t="shared" si="21"/>
        <v>0.5555000000000001</v>
      </c>
      <c r="T235" s="1265"/>
      <c r="U235" s="1265"/>
      <c r="V235" s="1265"/>
      <c r="W235" s="1265"/>
      <c r="X235" s="1265"/>
      <c r="Y235" s="1265"/>
      <c r="Z235" s="1265"/>
      <c r="AA235" s="1265"/>
      <c r="AB235" s="1381">
        <v>100</v>
      </c>
      <c r="AC235" s="1381">
        <v>0.94599999999999995</v>
      </c>
      <c r="AD235" s="1381">
        <v>0.85299999999999998</v>
      </c>
      <c r="AE235" s="1381">
        <v>0.78100000000000003</v>
      </c>
      <c r="AF235" s="1381">
        <v>0.69899999999999995</v>
      </c>
      <c r="AG235" s="1381">
        <v>0.51200000000000001</v>
      </c>
      <c r="AH235" s="1280"/>
      <c r="AI235" s="1280"/>
      <c r="AJ235" s="1280"/>
      <c r="AK235" s="1280"/>
      <c r="AL235" s="1280"/>
      <c r="AM235" s="1280"/>
      <c r="AN235" s="1280"/>
      <c r="AO235" s="1280"/>
      <c r="AP235" s="1347">
        <v>50</v>
      </c>
      <c r="AQ235" s="1296">
        <f t="shared" si="22"/>
        <v>1.0505</v>
      </c>
      <c r="AR235" s="1296">
        <f t="shared" si="22"/>
        <v>0.95150000000000001</v>
      </c>
      <c r="AS235" s="1296">
        <f t="shared" si="22"/>
        <v>0.86350000000000016</v>
      </c>
      <c r="AT235" s="1296">
        <v>0</v>
      </c>
      <c r="AU235" s="1296">
        <v>0</v>
      </c>
      <c r="AV235" s="1290"/>
      <c r="AW235" s="1290"/>
      <c r="AX235" s="1290"/>
      <c r="AY235" s="1290"/>
      <c r="AZ235" s="1290"/>
      <c r="BA235" s="1290"/>
      <c r="BB235" s="1290"/>
      <c r="BC235" s="1290"/>
      <c r="BD235" s="204">
        <v>20</v>
      </c>
      <c r="BE235" s="204">
        <f t="shared" si="23"/>
        <v>1.2375</v>
      </c>
      <c r="BF235" s="204">
        <f t="shared" si="23"/>
        <v>1.1274999999999999</v>
      </c>
      <c r="BG235" s="204">
        <f t="shared" si="23"/>
        <v>1.0230000000000001</v>
      </c>
      <c r="BH235" s="204"/>
      <c r="BI235" s="204"/>
      <c r="BJ235" s="1246"/>
      <c r="BK235" s="1246"/>
      <c r="BL235" s="1246"/>
      <c r="BM235" s="1246"/>
      <c r="BN235" s="1246"/>
      <c r="BO235" s="1246"/>
      <c r="BP235" s="1246"/>
      <c r="BQ235" s="1246"/>
    </row>
    <row r="236" spans="2:69" x14ac:dyDescent="0.25">
      <c r="B236" s="36"/>
      <c r="C236" s="36"/>
      <c r="N236" s="1407">
        <v>100</v>
      </c>
      <c r="O236" s="1373">
        <f t="shared" si="21"/>
        <v>1.089</v>
      </c>
      <c r="P236" s="1373">
        <f t="shared" si="21"/>
        <v>0.97900000000000009</v>
      </c>
      <c r="Q236" s="1373">
        <f t="shared" si="21"/>
        <v>0.88550000000000018</v>
      </c>
      <c r="R236" s="1373">
        <f t="shared" si="21"/>
        <v>0.78649999999999998</v>
      </c>
      <c r="S236" s="1373">
        <f t="shared" si="21"/>
        <v>0.6160000000000001</v>
      </c>
      <c r="T236" s="1265"/>
      <c r="U236" s="1265"/>
      <c r="V236" s="1265"/>
      <c r="W236" s="1265"/>
      <c r="X236" s="1265"/>
      <c r="Y236" s="1265"/>
      <c r="Z236" s="1265"/>
      <c r="AA236" s="1265"/>
      <c r="AB236" s="1381">
        <v>50</v>
      </c>
      <c r="AC236" s="1381">
        <v>1.0509999999999999</v>
      </c>
      <c r="AD236" s="1381">
        <v>0.95199999999999996</v>
      </c>
      <c r="AE236" s="1381">
        <v>0.86399999999999999</v>
      </c>
      <c r="AF236" s="1381">
        <v>0.77</v>
      </c>
      <c r="AG236" s="1381">
        <v>0.60499999999999998</v>
      </c>
      <c r="AH236" s="1280"/>
      <c r="AI236" s="1280"/>
      <c r="AJ236" s="1280"/>
      <c r="AK236" s="1280"/>
      <c r="AL236" s="1280"/>
      <c r="AM236" s="1280"/>
      <c r="AN236" s="1280"/>
      <c r="AO236" s="1280"/>
      <c r="AP236" s="1347">
        <v>20</v>
      </c>
      <c r="AQ236" s="1296">
        <f t="shared" si="22"/>
        <v>1.2375</v>
      </c>
      <c r="AR236" s="1296">
        <f t="shared" si="22"/>
        <v>1.1274999999999999</v>
      </c>
      <c r="AS236" s="1296">
        <f t="shared" si="22"/>
        <v>1.0230000000000001</v>
      </c>
      <c r="AT236" s="1296">
        <v>0</v>
      </c>
      <c r="AU236" s="1296">
        <v>0</v>
      </c>
      <c r="AV236" s="1290"/>
      <c r="AW236" s="1290"/>
      <c r="AX236" s="1290"/>
      <c r="AY236" s="1290"/>
      <c r="AZ236" s="1290"/>
      <c r="BA236" s="1290"/>
      <c r="BB236" s="1290"/>
      <c r="BC236" s="1290"/>
      <c r="BD236" s="204">
        <v>10</v>
      </c>
      <c r="BE236" s="204">
        <f t="shared" si="23"/>
        <v>1.4245000000000001</v>
      </c>
      <c r="BF236" s="204">
        <f t="shared" si="23"/>
        <v>1.2925000000000002</v>
      </c>
      <c r="BG236" s="204">
        <f t="shared" si="23"/>
        <v>1.1715</v>
      </c>
      <c r="BH236" s="204"/>
      <c r="BI236" s="204"/>
      <c r="BJ236" s="1246"/>
      <c r="BK236" s="1246"/>
      <c r="BL236" s="1246"/>
      <c r="BM236" s="1246"/>
      <c r="BN236" s="1246"/>
      <c r="BO236" s="1246"/>
      <c r="BP236" s="1246"/>
      <c r="BQ236" s="1246"/>
    </row>
    <row r="237" spans="2:69" x14ac:dyDescent="0.25">
      <c r="B237" s="36"/>
      <c r="C237" s="36"/>
      <c r="N237" s="1407">
        <v>50</v>
      </c>
      <c r="O237" s="1373">
        <f t="shared" si="21"/>
        <v>1.2100000000000002</v>
      </c>
      <c r="P237" s="1373">
        <f t="shared" si="21"/>
        <v>1.0945</v>
      </c>
      <c r="Q237" s="1373">
        <f t="shared" si="21"/>
        <v>0.9900000000000001</v>
      </c>
      <c r="R237" s="1373">
        <f t="shared" si="21"/>
        <v>0.88000000000000012</v>
      </c>
      <c r="S237" s="1373">
        <f t="shared" si="21"/>
        <v>0.69850000000000012</v>
      </c>
      <c r="T237" s="1265"/>
      <c r="U237" s="1265"/>
      <c r="V237" s="1265"/>
      <c r="W237" s="1265"/>
      <c r="X237" s="1265"/>
      <c r="Y237" s="1265"/>
      <c r="Z237" s="1265"/>
      <c r="AA237" s="1265"/>
      <c r="AB237" s="1381">
        <v>20</v>
      </c>
      <c r="AC237" s="1381">
        <v>1.238</v>
      </c>
      <c r="AD237" s="1381">
        <v>1.1279999999999999</v>
      </c>
      <c r="AE237" s="1381">
        <v>1.0229999999999999</v>
      </c>
      <c r="AF237" s="1381">
        <v>0.91900000000000004</v>
      </c>
      <c r="AG237" s="1381">
        <v>0.82</v>
      </c>
      <c r="AH237" s="1280"/>
      <c r="AI237" s="1280"/>
      <c r="AJ237" s="1280"/>
      <c r="AK237" s="1280"/>
      <c r="AL237" s="1280"/>
      <c r="AM237" s="1280"/>
      <c r="AN237" s="1280"/>
      <c r="AO237" s="1280"/>
      <c r="AP237" s="1347">
        <v>10</v>
      </c>
      <c r="AQ237" s="1296">
        <f t="shared" si="22"/>
        <v>1.4245000000000001</v>
      </c>
      <c r="AR237" s="1296">
        <f t="shared" si="22"/>
        <v>1.2925000000000002</v>
      </c>
      <c r="AS237" s="1296">
        <f t="shared" si="22"/>
        <v>1.1715</v>
      </c>
      <c r="AT237" s="1296">
        <v>0</v>
      </c>
      <c r="AU237" s="1296">
        <v>0</v>
      </c>
      <c r="AV237" s="1290"/>
      <c r="AW237" s="1290"/>
      <c r="AX237" s="1290"/>
      <c r="AY237" s="1290"/>
      <c r="AZ237" s="1290"/>
      <c r="BA237" s="1290"/>
      <c r="BB237" s="1290"/>
      <c r="BC237" s="1290"/>
      <c r="BD237" s="204">
        <v>7</v>
      </c>
      <c r="BE237" s="204">
        <f t="shared" si="23"/>
        <v>0</v>
      </c>
      <c r="BF237" s="204">
        <f t="shared" si="23"/>
        <v>0</v>
      </c>
      <c r="BG237" s="204">
        <f t="shared" si="23"/>
        <v>1.2210000000000003</v>
      </c>
      <c r="BH237" s="204"/>
      <c r="BI237" s="204"/>
      <c r="BJ237" s="1246"/>
      <c r="BK237" s="1246"/>
      <c r="BL237" s="1246"/>
      <c r="BM237" s="1246"/>
      <c r="BN237" s="1246"/>
      <c r="BO237" s="1246"/>
      <c r="BP237" s="1246"/>
      <c r="BQ237" s="1246"/>
    </row>
    <row r="238" spans="2:69" x14ac:dyDescent="0.25">
      <c r="B238" s="36"/>
      <c r="C238" s="36"/>
      <c r="N238" s="1407">
        <v>20</v>
      </c>
      <c r="O238" s="1373">
        <f t="shared" si="21"/>
        <v>1.4300000000000002</v>
      </c>
      <c r="P238" s="1373">
        <f t="shared" si="21"/>
        <v>1.298</v>
      </c>
      <c r="Q238" s="1373">
        <f t="shared" si="21"/>
        <v>1.1770000000000003</v>
      </c>
      <c r="R238" s="1373">
        <f t="shared" si="21"/>
        <v>1.0449999999999999</v>
      </c>
      <c r="S238" s="1373">
        <f t="shared" si="21"/>
        <v>0.83600000000000008</v>
      </c>
      <c r="T238" s="1265"/>
      <c r="U238" s="1265"/>
      <c r="V238" s="1265"/>
      <c r="W238" s="1265"/>
      <c r="X238" s="1265"/>
      <c r="Y238" s="1265"/>
      <c r="Z238" s="1265"/>
      <c r="AA238" s="1265"/>
      <c r="AB238" s="1381">
        <v>10</v>
      </c>
      <c r="AC238" s="1381">
        <v>1.425</v>
      </c>
      <c r="AD238" s="1381">
        <v>1.2929999999999999</v>
      </c>
      <c r="AE238" s="1381">
        <v>1.1719999999999999</v>
      </c>
      <c r="AF238" s="1381">
        <v>1.0620000000000001</v>
      </c>
      <c r="AG238" s="1381">
        <v>0.93500000000000005</v>
      </c>
      <c r="AH238" s="1280"/>
      <c r="AI238" s="1280"/>
      <c r="AJ238" s="1280"/>
      <c r="AK238" s="1280"/>
      <c r="AL238" s="1280"/>
      <c r="AM238" s="1280"/>
      <c r="AN238" s="1280"/>
      <c r="AO238" s="1280"/>
      <c r="AP238" s="1347">
        <v>7</v>
      </c>
      <c r="AQ238" s="1296">
        <f t="shared" si="22"/>
        <v>0</v>
      </c>
      <c r="AR238" s="1296">
        <f t="shared" si="22"/>
        <v>0</v>
      </c>
      <c r="AS238" s="1296">
        <f t="shared" si="22"/>
        <v>1.2210000000000003</v>
      </c>
      <c r="AT238" s="1296">
        <v>0</v>
      </c>
      <c r="AU238" s="1296">
        <v>0</v>
      </c>
      <c r="AV238" s="1290"/>
      <c r="AW238" s="1290"/>
      <c r="AX238" s="1290"/>
      <c r="AY238" s="1290"/>
      <c r="AZ238" s="1290"/>
      <c r="BA238" s="1290"/>
      <c r="BB238" s="1290"/>
      <c r="BC238" s="1290"/>
      <c r="BD238" s="204">
        <v>3</v>
      </c>
      <c r="BE238" s="204">
        <f t="shared" si="23"/>
        <v>0</v>
      </c>
      <c r="BF238" s="204">
        <f t="shared" si="23"/>
        <v>0</v>
      </c>
      <c r="BG238" s="204">
        <f t="shared" si="23"/>
        <v>1.3695000000000002</v>
      </c>
      <c r="BH238" s="204"/>
      <c r="BI238" s="204"/>
      <c r="BJ238" s="1246"/>
      <c r="BK238" s="1246"/>
      <c r="BL238" s="1246"/>
      <c r="BM238" s="1246"/>
      <c r="BN238" s="1246"/>
      <c r="BO238" s="1246"/>
      <c r="BP238" s="1246"/>
      <c r="BQ238" s="1246"/>
    </row>
    <row r="239" spans="2:69" ht="15.75" customHeight="1" x14ac:dyDescent="0.25">
      <c r="B239" s="36"/>
      <c r="C239" s="36"/>
      <c r="N239" s="1407">
        <v>10</v>
      </c>
      <c r="O239" s="1373">
        <f t="shared" si="21"/>
        <v>1.639</v>
      </c>
      <c r="P239" s="1373">
        <f t="shared" si="21"/>
        <v>1.4850000000000003</v>
      </c>
      <c r="Q239" s="1373">
        <f t="shared" si="21"/>
        <v>1.3640000000000001</v>
      </c>
      <c r="R239" s="1373">
        <f t="shared" si="21"/>
        <v>1.2100000000000002</v>
      </c>
      <c r="S239" s="1373">
        <f t="shared" si="21"/>
        <v>0.95700000000000007</v>
      </c>
      <c r="T239" s="1265"/>
      <c r="U239" s="1265"/>
      <c r="V239" s="1265"/>
      <c r="W239" s="1265"/>
      <c r="X239" s="1265"/>
      <c r="Y239" s="1265"/>
      <c r="Z239" s="1265"/>
      <c r="AA239" s="1265"/>
      <c r="AB239" s="1381">
        <v>7</v>
      </c>
      <c r="AC239" s="1381">
        <v>0</v>
      </c>
      <c r="AD239" s="1381">
        <v>0</v>
      </c>
      <c r="AE239" s="1381">
        <v>1.2210000000000001</v>
      </c>
      <c r="AF239" s="1381">
        <v>1.1060000000000001</v>
      </c>
      <c r="AG239" s="1381">
        <v>0.97399999999999998</v>
      </c>
      <c r="AH239" s="1280"/>
      <c r="AI239" s="1280"/>
      <c r="AJ239" s="1280"/>
      <c r="AK239" s="1280"/>
      <c r="AL239" s="1280"/>
      <c r="AM239" s="1280"/>
      <c r="AN239" s="1280"/>
      <c r="AO239" s="1280"/>
      <c r="AP239" s="1297"/>
      <c r="AQ239" s="1297"/>
      <c r="AR239" s="1297"/>
      <c r="AS239" s="1297"/>
      <c r="AT239" s="1297"/>
      <c r="AU239" s="1297"/>
      <c r="AV239" s="1290"/>
      <c r="AW239" s="1290"/>
      <c r="AX239" s="1290"/>
      <c r="AY239" s="1290"/>
      <c r="AZ239" s="1290"/>
      <c r="BA239" s="1290"/>
      <c r="BB239" s="1290"/>
      <c r="BC239" s="1290"/>
      <c r="BD239" s="201"/>
      <c r="BE239" s="201"/>
      <c r="BF239" s="201"/>
      <c r="BG239" s="201"/>
      <c r="BH239" s="201"/>
      <c r="BI239" s="201"/>
      <c r="BJ239" s="1246"/>
      <c r="BK239" s="1246"/>
      <c r="BL239" s="1246"/>
      <c r="BM239" s="1246"/>
      <c r="BN239" s="1246"/>
      <c r="BO239" s="1246"/>
      <c r="BP239" s="1246"/>
      <c r="BQ239" s="1246"/>
    </row>
    <row r="240" spans="2:69" x14ac:dyDescent="0.25">
      <c r="B240" s="36"/>
      <c r="C240" s="36"/>
      <c r="N240" s="1271" t="s">
        <v>3690</v>
      </c>
      <c r="O240" s="1272"/>
      <c r="P240" s="1271"/>
      <c r="Q240" s="1271"/>
      <c r="R240" s="1272"/>
      <c r="S240" s="1272"/>
      <c r="T240" s="1265"/>
      <c r="U240" s="1265"/>
      <c r="V240" s="1265"/>
      <c r="W240" s="1265"/>
      <c r="X240" s="1265"/>
      <c r="Y240" s="1265"/>
      <c r="Z240" s="1265"/>
      <c r="AA240" s="1265"/>
      <c r="AB240" s="1284" t="s">
        <v>189</v>
      </c>
      <c r="AC240" s="1285"/>
      <c r="AD240" s="1284"/>
      <c r="AE240" s="1284"/>
      <c r="AF240" s="1285"/>
      <c r="AG240" s="1285"/>
      <c r="AH240" s="1280"/>
      <c r="AI240" s="1280"/>
      <c r="AJ240" s="1280"/>
      <c r="AK240" s="1280"/>
      <c r="AL240" s="1280"/>
      <c r="AM240" s="1280"/>
      <c r="AN240" s="1280"/>
      <c r="AO240" s="1280"/>
      <c r="AP240" s="1294" t="s">
        <v>189</v>
      </c>
      <c r="AQ240" s="1295"/>
      <c r="AR240" s="1294"/>
      <c r="AS240" s="1294"/>
      <c r="AT240" s="1295"/>
      <c r="AU240" s="1295"/>
      <c r="AV240" s="1290"/>
      <c r="AW240" s="1290"/>
      <c r="AX240" s="1290"/>
      <c r="AY240" s="1290"/>
      <c r="AZ240" s="1290"/>
      <c r="BA240" s="1290"/>
      <c r="BB240" s="1290"/>
      <c r="BC240" s="1290"/>
      <c r="BD240" s="1250" t="s">
        <v>190</v>
      </c>
      <c r="BE240" s="1251"/>
      <c r="BF240" s="1250"/>
      <c r="BG240" s="1250"/>
      <c r="BH240" s="1251"/>
      <c r="BI240" s="1251"/>
      <c r="BJ240" s="1246"/>
      <c r="BK240" s="1246"/>
      <c r="BL240" s="1246"/>
      <c r="BM240" s="1246"/>
      <c r="BN240" s="1246"/>
      <c r="BO240" s="1246"/>
      <c r="BP240" s="1246"/>
      <c r="BQ240" s="1246"/>
    </row>
    <row r="241" spans="2:69" x14ac:dyDescent="0.25">
      <c r="B241" s="36"/>
      <c r="C241" s="36"/>
      <c r="N241" s="1944" t="s">
        <v>162</v>
      </c>
      <c r="O241" s="1944" t="s">
        <v>117</v>
      </c>
      <c r="P241" s="1944"/>
      <c r="Q241" s="1944"/>
      <c r="R241" s="1944"/>
      <c r="S241" s="1944"/>
      <c r="T241" s="1265"/>
      <c r="U241" s="1265"/>
      <c r="V241" s="1265"/>
      <c r="W241" s="1265"/>
      <c r="X241" s="1265"/>
      <c r="Y241" s="1265"/>
      <c r="Z241" s="1265"/>
      <c r="AA241" s="1265"/>
      <c r="AB241" s="1962" t="s">
        <v>162</v>
      </c>
      <c r="AC241" s="1957" t="s">
        <v>117</v>
      </c>
      <c r="AD241" s="1958"/>
      <c r="AE241" s="1958"/>
      <c r="AF241" s="1958"/>
      <c r="AG241" s="1959"/>
      <c r="AH241" s="1280"/>
      <c r="AI241" s="1280"/>
      <c r="AJ241" s="1280"/>
      <c r="AK241" s="1280"/>
      <c r="AL241" s="1280"/>
      <c r="AM241" s="1280"/>
      <c r="AN241" s="1280"/>
      <c r="AO241" s="1280"/>
      <c r="AP241" s="1934" t="s">
        <v>162</v>
      </c>
      <c r="AQ241" s="1931" t="s">
        <v>117</v>
      </c>
      <c r="AR241" s="1932"/>
      <c r="AS241" s="1932"/>
      <c r="AT241" s="1932"/>
      <c r="AU241" s="1933"/>
      <c r="AV241" s="1290"/>
      <c r="AW241" s="1290"/>
      <c r="AX241" s="1290"/>
      <c r="AY241" s="1290"/>
      <c r="AZ241" s="1290"/>
      <c r="BA241" s="1290"/>
      <c r="BB241" s="1290"/>
      <c r="BC241" s="1290"/>
      <c r="BD241" s="1963" t="s">
        <v>162</v>
      </c>
      <c r="BE241" s="1998" t="s">
        <v>117</v>
      </c>
      <c r="BF241" s="1999"/>
      <c r="BG241" s="1999"/>
      <c r="BH241" s="1999"/>
      <c r="BI241" s="2000"/>
      <c r="BJ241" s="1246"/>
      <c r="BK241" s="1246"/>
      <c r="BL241" s="1246"/>
      <c r="BM241" s="1246"/>
      <c r="BN241" s="1246"/>
      <c r="BO241" s="1246"/>
      <c r="BP241" s="1246"/>
      <c r="BQ241" s="1246"/>
    </row>
    <row r="242" spans="2:69" x14ac:dyDescent="0.25">
      <c r="B242" s="36"/>
      <c r="C242" s="36"/>
      <c r="N242" s="1944"/>
      <c r="O242" s="1373" t="s">
        <v>118</v>
      </c>
      <c r="P242" s="1373" t="s">
        <v>163</v>
      </c>
      <c r="Q242" s="1373" t="s">
        <v>164</v>
      </c>
      <c r="R242" s="1373" t="s">
        <v>165</v>
      </c>
      <c r="S242" s="1373" t="s">
        <v>166</v>
      </c>
      <c r="T242" s="1265"/>
      <c r="U242" s="1265"/>
      <c r="V242" s="1265"/>
      <c r="W242" s="1265"/>
      <c r="X242" s="1265"/>
      <c r="Y242" s="1265"/>
      <c r="Z242" s="1265"/>
      <c r="AA242" s="1265"/>
      <c r="AB242" s="1962"/>
      <c r="AC242" s="1381" t="s">
        <v>118</v>
      </c>
      <c r="AD242" s="1381" t="s">
        <v>163</v>
      </c>
      <c r="AE242" s="1381" t="s">
        <v>164</v>
      </c>
      <c r="AF242" s="1381" t="s">
        <v>165</v>
      </c>
      <c r="AG242" s="1381" t="s">
        <v>166</v>
      </c>
      <c r="AH242" s="1280"/>
      <c r="AI242" s="1280"/>
      <c r="AJ242" s="1280"/>
      <c r="AK242" s="1280"/>
      <c r="AL242" s="1280"/>
      <c r="AM242" s="1280"/>
      <c r="AN242" s="1280"/>
      <c r="AO242" s="1280"/>
      <c r="AP242" s="1934"/>
      <c r="AQ242" s="1405" t="s">
        <v>118</v>
      </c>
      <c r="AR242" s="1405" t="s">
        <v>163</v>
      </c>
      <c r="AS242" s="1296" t="s">
        <v>164</v>
      </c>
      <c r="AT242" s="1296" t="s">
        <v>165</v>
      </c>
      <c r="AU242" s="1296" t="s">
        <v>166</v>
      </c>
      <c r="AV242" s="1290"/>
      <c r="AW242" s="1290"/>
      <c r="AX242" s="1290"/>
      <c r="AY242" s="1290"/>
      <c r="AZ242" s="1290"/>
      <c r="BA242" s="1290"/>
      <c r="BB242" s="1290"/>
      <c r="BC242" s="1290"/>
      <c r="BD242" s="1963"/>
      <c r="BE242" s="1405" t="s">
        <v>118</v>
      </c>
      <c r="BF242" s="1405" t="s">
        <v>163</v>
      </c>
      <c r="BG242" s="204" t="s">
        <v>164</v>
      </c>
      <c r="BH242" s="204" t="s">
        <v>165</v>
      </c>
      <c r="BI242" s="204" t="s">
        <v>166</v>
      </c>
      <c r="BJ242" s="1246"/>
      <c r="BK242" s="1246"/>
      <c r="BL242" s="1246"/>
      <c r="BM242" s="1246"/>
      <c r="BN242" s="1246"/>
      <c r="BO242" s="1246"/>
      <c r="BP242" s="1246"/>
      <c r="BQ242" s="1246"/>
    </row>
    <row r="243" spans="2:69" x14ac:dyDescent="0.25">
      <c r="B243" s="36"/>
      <c r="C243" s="36"/>
      <c r="N243" s="1373"/>
      <c r="O243" s="1373">
        <v>0</v>
      </c>
      <c r="P243" s="1373">
        <v>1</v>
      </c>
      <c r="Q243" s="1373">
        <v>2</v>
      </c>
      <c r="R243" s="1373">
        <v>3</v>
      </c>
      <c r="S243" s="1373">
        <v>4</v>
      </c>
      <c r="T243" s="1265"/>
      <c r="U243" s="1265"/>
      <c r="V243" s="1265"/>
      <c r="W243" s="1265"/>
      <c r="X243" s="1265"/>
      <c r="Y243" s="1265"/>
      <c r="Z243" s="1265"/>
      <c r="AA243" s="1265"/>
      <c r="AB243" s="1381"/>
      <c r="AC243" s="1381">
        <v>0</v>
      </c>
      <c r="AD243" s="1381">
        <v>1</v>
      </c>
      <c r="AE243" s="1381">
        <v>2</v>
      </c>
      <c r="AF243" s="1381">
        <v>3</v>
      </c>
      <c r="AG243" s="1381">
        <v>4</v>
      </c>
      <c r="AH243" s="1280"/>
      <c r="AI243" s="1280"/>
      <c r="AJ243" s="1280"/>
      <c r="AK243" s="1280"/>
      <c r="AL243" s="1280"/>
      <c r="AM243" s="1280"/>
      <c r="AN243" s="1280"/>
      <c r="AO243" s="1280"/>
      <c r="AP243" s="1296"/>
      <c r="AQ243" s="1405"/>
      <c r="AR243" s="1405">
        <v>1</v>
      </c>
      <c r="AS243" s="1296">
        <v>2</v>
      </c>
      <c r="AT243" s="1296">
        <v>3</v>
      </c>
      <c r="AU243" s="1296">
        <v>4</v>
      </c>
      <c r="AV243" s="1290"/>
      <c r="AW243" s="1290"/>
      <c r="AX243" s="1290"/>
      <c r="AY243" s="1290"/>
      <c r="AZ243" s="1290"/>
      <c r="BA243" s="1290"/>
      <c r="BB243" s="1290"/>
      <c r="BC243" s="1290"/>
      <c r="BD243" s="204"/>
      <c r="BE243" s="1405"/>
      <c r="BF243" s="1405">
        <v>1</v>
      </c>
      <c r="BG243" s="204">
        <v>2</v>
      </c>
      <c r="BH243" s="204">
        <v>3</v>
      </c>
      <c r="BI243" s="204">
        <v>4</v>
      </c>
      <c r="BJ243" s="1246"/>
      <c r="BK243" s="1246"/>
      <c r="BL243" s="1246"/>
      <c r="BM243" s="1246"/>
      <c r="BN243" s="1246"/>
      <c r="BO243" s="1246"/>
      <c r="BP243" s="1246"/>
      <c r="BQ243" s="1246"/>
    </row>
    <row r="244" spans="2:69" x14ac:dyDescent="0.25">
      <c r="B244" s="36"/>
      <c r="C244" s="36"/>
      <c r="N244" s="1407">
        <v>10000</v>
      </c>
      <c r="O244" s="1408">
        <v>0.83</v>
      </c>
      <c r="P244" s="1408">
        <v>0.74</v>
      </c>
      <c r="Q244" s="1408">
        <v>0.57999999999999996</v>
      </c>
      <c r="R244" s="1408">
        <v>0.51</v>
      </c>
      <c r="S244" s="1408">
        <f>S245</f>
        <v>1.1399999999999999</v>
      </c>
      <c r="T244" s="1265"/>
      <c r="U244" s="1265"/>
      <c r="V244" s="1265"/>
      <c r="W244" s="1265"/>
      <c r="X244" s="1265"/>
      <c r="Y244" s="1265"/>
      <c r="Z244" s="1265"/>
      <c r="AA244" s="1265"/>
      <c r="AB244" s="1381">
        <v>8000</v>
      </c>
      <c r="AC244" s="1381">
        <v>0.88</v>
      </c>
      <c r="AD244" s="1381">
        <v>0.79</v>
      </c>
      <c r="AE244" s="1381">
        <v>0.51</v>
      </c>
      <c r="AF244" s="1381">
        <v>0.46</v>
      </c>
      <c r="AG244" s="1381">
        <f>AG245</f>
        <v>0.57999999999999996</v>
      </c>
      <c r="AH244" s="1280"/>
      <c r="AI244" s="1280"/>
      <c r="AJ244" s="1280"/>
      <c r="AK244" s="1280"/>
      <c r="AL244" s="1280"/>
      <c r="AM244" s="1280"/>
      <c r="AN244" s="1280"/>
      <c r="AO244" s="1280"/>
      <c r="AP244" s="1296">
        <v>5000</v>
      </c>
      <c r="AQ244" s="1405"/>
      <c r="AR244" s="1405"/>
      <c r="AS244" s="1296">
        <v>0.9</v>
      </c>
      <c r="AT244" s="1296">
        <v>0.79</v>
      </c>
      <c r="AU244" s="1296">
        <v>0.57999999999999996</v>
      </c>
      <c r="AV244" s="1290"/>
      <c r="AW244" s="1290"/>
      <c r="AX244" s="1290"/>
      <c r="AY244" s="1290"/>
      <c r="AZ244" s="1290"/>
      <c r="BA244" s="1290"/>
      <c r="BB244" s="1290"/>
      <c r="BC244" s="1290"/>
      <c r="BD244" s="204">
        <v>2000</v>
      </c>
      <c r="BE244" s="1405"/>
      <c r="BF244" s="1405"/>
      <c r="BG244" s="204">
        <v>1.17</v>
      </c>
      <c r="BH244" s="204">
        <v>1.03</v>
      </c>
      <c r="BI244" s="204">
        <v>0.75</v>
      </c>
      <c r="BJ244" s="1246"/>
      <c r="BK244" s="1246"/>
      <c r="BL244" s="1246"/>
      <c r="BM244" s="1246"/>
      <c r="BN244" s="1246"/>
      <c r="BO244" s="1246"/>
      <c r="BP244" s="1246"/>
      <c r="BQ244" s="1246"/>
    </row>
    <row r="245" spans="2:69" x14ac:dyDescent="0.25">
      <c r="B245" s="36"/>
      <c r="C245" s="36"/>
      <c r="N245" s="1407">
        <v>8000</v>
      </c>
      <c r="O245" s="1408">
        <v>0.95</v>
      </c>
      <c r="P245" s="1408">
        <v>0.85</v>
      </c>
      <c r="Q245" s="1408">
        <v>0.69</v>
      </c>
      <c r="R245" s="1408">
        <v>0.6</v>
      </c>
      <c r="S245" s="1408">
        <f>S246</f>
        <v>1.1399999999999999</v>
      </c>
      <c r="T245" s="1265"/>
      <c r="U245" s="1265"/>
      <c r="V245" s="1265"/>
      <c r="W245" s="1265"/>
      <c r="X245" s="1265"/>
      <c r="Y245" s="1265"/>
      <c r="Z245" s="1265"/>
      <c r="AA245" s="1265"/>
      <c r="AB245" s="1381">
        <v>5000</v>
      </c>
      <c r="AC245" s="1381">
        <v>1.1399999999999999</v>
      </c>
      <c r="AD245" s="1381">
        <v>1.03</v>
      </c>
      <c r="AE245" s="1381">
        <v>0.9</v>
      </c>
      <c r="AF245" s="1381">
        <v>0.79</v>
      </c>
      <c r="AG245" s="1381">
        <v>0.57999999999999996</v>
      </c>
      <c r="AH245" s="1280"/>
      <c r="AI245" s="1280"/>
      <c r="AJ245" s="1280"/>
      <c r="AK245" s="1280"/>
      <c r="AL245" s="1280"/>
      <c r="AM245" s="1280"/>
      <c r="AN245" s="1280"/>
      <c r="AO245" s="1280"/>
      <c r="AP245" s="1296">
        <v>2000</v>
      </c>
      <c r="AQ245" s="1405"/>
      <c r="AR245" s="1405"/>
      <c r="AS245" s="1296">
        <v>1.17</v>
      </c>
      <c r="AT245" s="1296">
        <v>1.03</v>
      </c>
      <c r="AU245" s="1296">
        <v>0.75</v>
      </c>
      <c r="AV245" s="1290"/>
      <c r="AW245" s="1290"/>
      <c r="AX245" s="1290"/>
      <c r="AY245" s="1290"/>
      <c r="AZ245" s="1290"/>
      <c r="BA245" s="1290"/>
      <c r="BB245" s="1290"/>
      <c r="BC245" s="1290"/>
      <c r="BD245" s="204">
        <v>1000</v>
      </c>
      <c r="BE245" s="1405"/>
      <c r="BF245" s="1405"/>
      <c r="BG245" s="204">
        <v>1.38</v>
      </c>
      <c r="BH245" s="204">
        <v>1.21</v>
      </c>
      <c r="BI245" s="204">
        <v>0.89</v>
      </c>
      <c r="BJ245" s="1246"/>
      <c r="BK245" s="1246"/>
      <c r="BL245" s="1246"/>
      <c r="BM245" s="1246"/>
      <c r="BN245" s="1246"/>
      <c r="BO245" s="1246"/>
      <c r="BP245" s="1246"/>
      <c r="BQ245" s="1246"/>
    </row>
    <row r="246" spans="2:69" x14ac:dyDescent="0.25">
      <c r="B246" s="36"/>
      <c r="C246" s="36"/>
      <c r="N246" s="1407">
        <v>5000</v>
      </c>
      <c r="O246" s="1408">
        <v>1.22</v>
      </c>
      <c r="P246" s="1408">
        <v>1.1000000000000001</v>
      </c>
      <c r="Q246" s="1408">
        <v>0.96</v>
      </c>
      <c r="R246" s="1408">
        <v>0.83</v>
      </c>
      <c r="S246" s="1408">
        <f>S247</f>
        <v>1.1399999999999999</v>
      </c>
      <c r="T246" s="1265"/>
      <c r="U246" s="1265"/>
      <c r="V246" s="1265"/>
      <c r="W246" s="1265"/>
      <c r="X246" s="1265"/>
      <c r="Y246" s="1265"/>
      <c r="Z246" s="1265"/>
      <c r="AA246" s="1265"/>
      <c r="AB246" s="1381">
        <v>2000</v>
      </c>
      <c r="AC246" s="1381">
        <v>1.48</v>
      </c>
      <c r="AD246" s="1381">
        <v>1.34</v>
      </c>
      <c r="AE246" s="1381">
        <v>1.17</v>
      </c>
      <c r="AF246" s="1381">
        <v>1.03</v>
      </c>
      <c r="AG246" s="1381">
        <v>0.75</v>
      </c>
      <c r="AH246" s="1280"/>
      <c r="AI246" s="1280"/>
      <c r="AJ246" s="1280"/>
      <c r="AK246" s="1280"/>
      <c r="AL246" s="1280"/>
      <c r="AM246" s="1280"/>
      <c r="AN246" s="1280"/>
      <c r="AO246" s="1280"/>
      <c r="AP246" s="1296">
        <v>1000</v>
      </c>
      <c r="AQ246" s="1405"/>
      <c r="AR246" s="1405"/>
      <c r="AS246" s="1296">
        <v>1.38</v>
      </c>
      <c r="AT246" s="1296">
        <v>1.21</v>
      </c>
      <c r="AU246" s="1296">
        <v>0.89</v>
      </c>
      <c r="AV246" s="1290"/>
      <c r="AW246" s="1290"/>
      <c r="AX246" s="1290"/>
      <c r="AY246" s="1290"/>
      <c r="AZ246" s="1290"/>
      <c r="BA246" s="1290"/>
      <c r="BB246" s="1290"/>
      <c r="BC246" s="1290"/>
      <c r="BD246" s="204">
        <v>500</v>
      </c>
      <c r="BE246" s="1405"/>
      <c r="BF246" s="1405"/>
      <c r="BG246" s="204">
        <v>1.62</v>
      </c>
      <c r="BH246" s="204">
        <v>1.42</v>
      </c>
      <c r="BI246" s="204">
        <v>1.04</v>
      </c>
      <c r="BJ246" s="1246"/>
      <c r="BK246" s="1246"/>
      <c r="BL246" s="1246"/>
      <c r="BM246" s="1246"/>
      <c r="BN246" s="1246"/>
      <c r="BO246" s="1246"/>
      <c r="BP246" s="1246"/>
      <c r="BQ246" s="1246"/>
    </row>
    <row r="247" spans="2:69" x14ac:dyDescent="0.25">
      <c r="B247" s="36"/>
      <c r="C247" s="36"/>
      <c r="N247" s="1407">
        <v>2000</v>
      </c>
      <c r="O247" s="1408">
        <v>1.58</v>
      </c>
      <c r="P247" s="1408">
        <v>1.43</v>
      </c>
      <c r="Q247" s="1408">
        <v>1.25</v>
      </c>
      <c r="R247" s="1408">
        <v>1.1000000000000001</v>
      </c>
      <c r="S247" s="1408">
        <f>S248</f>
        <v>1.1399999999999999</v>
      </c>
      <c r="T247" s="1265"/>
      <c r="U247" s="1265"/>
      <c r="V247" s="1265"/>
      <c r="W247" s="1265"/>
      <c r="X247" s="1265"/>
      <c r="Y247" s="1265"/>
      <c r="Z247" s="1265"/>
      <c r="AA247" s="1265"/>
      <c r="AB247" s="1381">
        <v>1000</v>
      </c>
      <c r="AC247" s="1381">
        <v>1.75</v>
      </c>
      <c r="AD247" s="1381">
        <v>1.58</v>
      </c>
      <c r="AE247" s="1381">
        <v>1.38</v>
      </c>
      <c r="AF247" s="1381">
        <v>1.21</v>
      </c>
      <c r="AG247" s="1381">
        <v>0.89</v>
      </c>
      <c r="AH247" s="1280"/>
      <c r="AI247" s="1280"/>
      <c r="AJ247" s="1280"/>
      <c r="AK247" s="1280"/>
      <c r="AL247" s="1280"/>
      <c r="AM247" s="1280"/>
      <c r="AN247" s="1280"/>
      <c r="AO247" s="1280"/>
      <c r="AP247" s="1296">
        <v>500</v>
      </c>
      <c r="AQ247" s="1405"/>
      <c r="AR247" s="1405"/>
      <c r="AS247" s="1296">
        <v>1.62</v>
      </c>
      <c r="AT247" s="1296">
        <v>1.42</v>
      </c>
      <c r="AU247" s="1296">
        <v>1.04</v>
      </c>
      <c r="AV247" s="1290"/>
      <c r="AW247" s="1290"/>
      <c r="AX247" s="1290"/>
      <c r="AY247" s="1290"/>
      <c r="AZ247" s="1290"/>
      <c r="BA247" s="1290"/>
      <c r="BB247" s="1290"/>
      <c r="BC247" s="1290"/>
      <c r="BD247" s="204">
        <v>200</v>
      </c>
      <c r="BE247" s="1405"/>
      <c r="BF247" s="1405"/>
      <c r="BG247" s="204">
        <v>2.0099999999999998</v>
      </c>
      <c r="BH247" s="204">
        <v>1.67</v>
      </c>
      <c r="BI247" s="204">
        <v>1.23</v>
      </c>
      <c r="BJ247" s="1246"/>
      <c r="BK247" s="1246"/>
      <c r="BL247" s="1246"/>
      <c r="BM247" s="1246"/>
      <c r="BN247" s="1246"/>
      <c r="BO247" s="1246"/>
      <c r="BP247" s="1246"/>
      <c r="BQ247" s="1246"/>
    </row>
    <row r="248" spans="2:69" x14ac:dyDescent="0.25">
      <c r="B248" s="36"/>
      <c r="C248" s="36"/>
      <c r="N248" s="1407">
        <v>1000</v>
      </c>
      <c r="O248" s="1408">
        <v>1.87</v>
      </c>
      <c r="P248" s="1408">
        <v>1.69</v>
      </c>
      <c r="Q248" s="1408">
        <v>1.48</v>
      </c>
      <c r="R248" s="1408">
        <v>1.29</v>
      </c>
      <c r="S248" s="1408">
        <f>S249</f>
        <v>1.1399999999999999</v>
      </c>
      <c r="T248" s="1265"/>
      <c r="U248" s="1265"/>
      <c r="V248" s="1265"/>
      <c r="W248" s="1265"/>
      <c r="X248" s="1265"/>
      <c r="Y248" s="1265"/>
      <c r="Z248" s="1265"/>
      <c r="AA248" s="1265"/>
      <c r="AB248" s="1381">
        <v>500</v>
      </c>
      <c r="AC248" s="1381">
        <v>2.0699999999999998</v>
      </c>
      <c r="AD248" s="1381">
        <v>1.87</v>
      </c>
      <c r="AE248" s="1381">
        <v>1.62</v>
      </c>
      <c r="AF248" s="1381">
        <v>1.42</v>
      </c>
      <c r="AG248" s="1381">
        <v>1.04</v>
      </c>
      <c r="AH248" s="1280"/>
      <c r="AI248" s="1280"/>
      <c r="AJ248" s="1280"/>
      <c r="AK248" s="1280"/>
      <c r="AL248" s="1280"/>
      <c r="AM248" s="1280"/>
      <c r="AN248" s="1280"/>
      <c r="AO248" s="1280"/>
      <c r="AP248" s="1296">
        <v>200</v>
      </c>
      <c r="AQ248" s="1405"/>
      <c r="AR248" s="1405"/>
      <c r="AS248" s="1296">
        <v>2.0099999999999998</v>
      </c>
      <c r="AT248" s="1296">
        <v>1.67</v>
      </c>
      <c r="AU248" s="1296">
        <v>1.23</v>
      </c>
      <c r="AV248" s="1290"/>
      <c r="AW248" s="1290"/>
      <c r="AX248" s="1290"/>
      <c r="AY248" s="1290"/>
      <c r="AZ248" s="1290"/>
      <c r="BA248" s="1290"/>
      <c r="BB248" s="1290"/>
      <c r="BC248" s="1290"/>
      <c r="BD248" s="204">
        <v>100</v>
      </c>
      <c r="BE248" s="1405"/>
      <c r="BF248" s="1405"/>
      <c r="BG248" s="204">
        <v>2.19</v>
      </c>
      <c r="BH248" s="204">
        <v>1.96</v>
      </c>
      <c r="BI248" s="204">
        <v>1.44</v>
      </c>
      <c r="BJ248" s="1246"/>
      <c r="BK248" s="1246"/>
      <c r="BL248" s="1246"/>
      <c r="BM248" s="1246"/>
      <c r="BN248" s="1246"/>
      <c r="BO248" s="1246"/>
      <c r="BP248" s="1246"/>
      <c r="BQ248" s="1246"/>
    </row>
    <row r="249" spans="2:69" x14ac:dyDescent="0.25">
      <c r="B249" s="36"/>
      <c r="C249" s="36"/>
      <c r="N249" s="1407">
        <v>500</v>
      </c>
      <c r="O249" s="1408">
        <v>2.21</v>
      </c>
      <c r="P249" s="1408">
        <v>2</v>
      </c>
      <c r="Q249" s="1408">
        <v>1.73</v>
      </c>
      <c r="R249" s="1408">
        <v>1.52</v>
      </c>
      <c r="S249" s="1408">
        <v>1.1399999999999999</v>
      </c>
      <c r="T249" s="1265"/>
      <c r="U249" s="1265"/>
      <c r="V249" s="1265"/>
      <c r="W249" s="1265"/>
      <c r="X249" s="1265"/>
      <c r="Y249" s="1265"/>
      <c r="Z249" s="1265"/>
      <c r="AA249" s="1265"/>
      <c r="AB249" s="1381">
        <v>200</v>
      </c>
      <c r="AC249" s="1381">
        <v>2.4300000000000002</v>
      </c>
      <c r="AD249" s="1381">
        <v>2.21</v>
      </c>
      <c r="AE249" s="1381">
        <v>2.0099999999999998</v>
      </c>
      <c r="AF249" s="1381">
        <v>1.67</v>
      </c>
      <c r="AG249" s="1381">
        <v>1.23</v>
      </c>
      <c r="AH249" s="1280"/>
      <c r="AI249" s="1280"/>
      <c r="AJ249" s="1280"/>
      <c r="AK249" s="1280"/>
      <c r="AL249" s="1280"/>
      <c r="AM249" s="1280"/>
      <c r="AN249" s="1280"/>
      <c r="AO249" s="1280"/>
      <c r="AP249" s="1296">
        <v>100</v>
      </c>
      <c r="AQ249" s="1405"/>
      <c r="AR249" s="1405"/>
      <c r="AS249" s="1296">
        <v>2.19</v>
      </c>
      <c r="AT249" s="1296">
        <v>1.96</v>
      </c>
      <c r="AU249" s="1296">
        <v>1.44</v>
      </c>
      <c r="AV249" s="1290"/>
      <c r="AW249" s="1290"/>
      <c r="AX249" s="1290"/>
      <c r="AY249" s="1290"/>
      <c r="AZ249" s="1290"/>
      <c r="BA249" s="1290"/>
      <c r="BB249" s="1290"/>
      <c r="BC249" s="1290"/>
      <c r="BD249" s="204">
        <v>50</v>
      </c>
      <c r="BE249" s="1405"/>
      <c r="BF249" s="1405"/>
      <c r="BG249" s="204">
        <v>2.41</v>
      </c>
      <c r="BH249" s="204">
        <v>2.16</v>
      </c>
      <c r="BI249" s="204">
        <v>1.7</v>
      </c>
      <c r="BJ249" s="1246"/>
      <c r="BK249" s="1246"/>
      <c r="BL249" s="1246"/>
      <c r="BM249" s="1246"/>
      <c r="BN249" s="1246"/>
      <c r="BO249" s="1246"/>
      <c r="BP249" s="1246"/>
      <c r="BQ249" s="1246"/>
    </row>
    <row r="250" spans="2:69" x14ac:dyDescent="0.25">
      <c r="B250" s="36"/>
      <c r="C250" s="36"/>
      <c r="N250" s="1407">
        <v>200</v>
      </c>
      <c r="O250" s="1408">
        <v>2.6</v>
      </c>
      <c r="P250" s="1408">
        <v>2.36</v>
      </c>
      <c r="Q250" s="1408">
        <v>2.15</v>
      </c>
      <c r="R250" s="1408">
        <v>1.79</v>
      </c>
      <c r="S250" s="1408">
        <v>1.41</v>
      </c>
      <c r="T250" s="1265"/>
      <c r="U250" s="1265"/>
      <c r="V250" s="1265"/>
      <c r="W250" s="1265"/>
      <c r="X250" s="1265"/>
      <c r="Y250" s="1265"/>
      <c r="Z250" s="1265"/>
      <c r="AA250" s="1265"/>
      <c r="AB250" s="1381">
        <v>100</v>
      </c>
      <c r="AC250" s="1381">
        <v>2.66</v>
      </c>
      <c r="AD250" s="1381">
        <v>2.4</v>
      </c>
      <c r="AE250" s="1381">
        <v>2.19</v>
      </c>
      <c r="AF250" s="1381">
        <v>1.96</v>
      </c>
      <c r="AG250" s="1381">
        <v>1.44</v>
      </c>
      <c r="AH250" s="1280"/>
      <c r="AI250" s="1280"/>
      <c r="AJ250" s="1280"/>
      <c r="AK250" s="1280"/>
      <c r="AL250" s="1280"/>
      <c r="AM250" s="1280"/>
      <c r="AN250" s="1280"/>
      <c r="AO250" s="1280"/>
      <c r="AP250" s="1296">
        <v>50</v>
      </c>
      <c r="AQ250" s="1405"/>
      <c r="AR250" s="1405"/>
      <c r="AS250" s="1296">
        <v>2.41</v>
      </c>
      <c r="AT250" s="1296">
        <v>2.16</v>
      </c>
      <c r="AU250" s="1296">
        <v>1.7</v>
      </c>
      <c r="AV250" s="1290"/>
      <c r="AW250" s="1290"/>
      <c r="AX250" s="1290"/>
      <c r="AY250" s="1290"/>
      <c r="AZ250" s="1290"/>
      <c r="BA250" s="1290"/>
      <c r="BB250" s="1290"/>
      <c r="BC250" s="1290"/>
      <c r="BD250" s="204">
        <v>20</v>
      </c>
      <c r="BE250" s="1405"/>
      <c r="BF250" s="1405"/>
      <c r="BG250" s="204">
        <v>2.87</v>
      </c>
      <c r="BH250" s="204">
        <v>2.58</v>
      </c>
      <c r="BI250" s="204">
        <v>2.31</v>
      </c>
      <c r="BJ250" s="1246"/>
      <c r="BK250" s="1246"/>
      <c r="BL250" s="1246"/>
      <c r="BM250" s="1246"/>
      <c r="BN250" s="1246"/>
      <c r="BO250" s="1246"/>
      <c r="BP250" s="1246"/>
      <c r="BQ250" s="1246"/>
    </row>
    <row r="251" spans="2:69" x14ac:dyDescent="0.25">
      <c r="B251" s="36"/>
      <c r="C251" s="36"/>
      <c r="N251" s="1407">
        <v>100</v>
      </c>
      <c r="O251" s="1408">
        <v>2.85</v>
      </c>
      <c r="P251" s="1408">
        <v>2.57</v>
      </c>
      <c r="Q251" s="1408">
        <v>2.34</v>
      </c>
      <c r="R251" s="1408">
        <v>2.0699999999999998</v>
      </c>
      <c r="S251" s="1408">
        <v>1.61</v>
      </c>
      <c r="T251" s="1265"/>
      <c r="U251" s="1265"/>
      <c r="V251" s="1265"/>
      <c r="W251" s="1265"/>
      <c r="X251" s="1265"/>
      <c r="Y251" s="1265"/>
      <c r="Z251" s="1265"/>
      <c r="AA251" s="1265"/>
      <c r="AB251" s="1381">
        <v>50</v>
      </c>
      <c r="AC251" s="1381">
        <v>2.96</v>
      </c>
      <c r="AD251" s="1381">
        <v>2.68</v>
      </c>
      <c r="AE251" s="1381">
        <v>2.41</v>
      </c>
      <c r="AF251" s="1381">
        <v>2.16</v>
      </c>
      <c r="AG251" s="1381">
        <v>1.7</v>
      </c>
      <c r="AH251" s="1280"/>
      <c r="AI251" s="1280"/>
      <c r="AJ251" s="1280"/>
      <c r="AK251" s="1280"/>
      <c r="AL251" s="1280"/>
      <c r="AM251" s="1280"/>
      <c r="AN251" s="1280"/>
      <c r="AO251" s="1280"/>
      <c r="AP251" s="1296">
        <v>20</v>
      </c>
      <c r="AQ251" s="1405"/>
      <c r="AR251" s="1405"/>
      <c r="AS251" s="1296">
        <v>2.87</v>
      </c>
      <c r="AT251" s="1296">
        <v>2.58</v>
      </c>
      <c r="AU251" s="1296">
        <v>2.31</v>
      </c>
      <c r="AV251" s="1290"/>
      <c r="AW251" s="1290"/>
      <c r="AX251" s="1290"/>
      <c r="AY251" s="1290"/>
      <c r="AZ251" s="1290"/>
      <c r="BA251" s="1290"/>
      <c r="BB251" s="1290"/>
      <c r="BC251" s="1290"/>
      <c r="BD251" s="204">
        <v>10</v>
      </c>
      <c r="BE251" s="1405"/>
      <c r="BF251" s="1405"/>
      <c r="BG251" s="204">
        <v>3.29</v>
      </c>
      <c r="BH251" s="204">
        <v>2.98</v>
      </c>
      <c r="BI251" s="204">
        <v>2.63</v>
      </c>
      <c r="BJ251" s="1246"/>
      <c r="BK251" s="1246"/>
      <c r="BL251" s="1246"/>
      <c r="BM251" s="1246"/>
      <c r="BN251" s="1246"/>
      <c r="BO251" s="1246"/>
      <c r="BP251" s="1246"/>
      <c r="BQ251" s="1246"/>
    </row>
    <row r="252" spans="2:69" x14ac:dyDescent="0.25">
      <c r="B252" s="36"/>
      <c r="C252" s="36"/>
      <c r="N252" s="1407">
        <v>50</v>
      </c>
      <c r="O252" s="1408">
        <v>3.17</v>
      </c>
      <c r="P252" s="1408">
        <v>2.87</v>
      </c>
      <c r="Q252" s="1408">
        <v>2.62</v>
      </c>
      <c r="R252" s="1408">
        <v>2.31</v>
      </c>
      <c r="S252" s="1408">
        <v>1.82</v>
      </c>
      <c r="T252" s="1265"/>
      <c r="U252" s="1265"/>
      <c r="V252" s="1265"/>
      <c r="W252" s="1265"/>
      <c r="X252" s="1265"/>
      <c r="Y252" s="1265"/>
      <c r="Z252" s="1265"/>
      <c r="AA252" s="1265"/>
      <c r="AB252" s="1381">
        <v>20</v>
      </c>
      <c r="AC252" s="1381">
        <v>3.48</v>
      </c>
      <c r="AD252" s="1381">
        <v>3.17</v>
      </c>
      <c r="AE252" s="1381">
        <v>2.87</v>
      </c>
      <c r="AF252" s="1381">
        <v>2.58</v>
      </c>
      <c r="AG252" s="1381">
        <v>2.31</v>
      </c>
      <c r="AH252" s="1280"/>
      <c r="AI252" s="1280"/>
      <c r="AJ252" s="1280"/>
      <c r="AK252" s="1280"/>
      <c r="AL252" s="1280"/>
      <c r="AM252" s="1280"/>
      <c r="AN252" s="1280"/>
      <c r="AO252" s="1280"/>
      <c r="AP252" s="1296">
        <v>10</v>
      </c>
      <c r="AQ252" s="1405"/>
      <c r="AR252" s="1405"/>
      <c r="AS252" s="1296">
        <v>3.29</v>
      </c>
      <c r="AT252" s="1296">
        <v>2.98</v>
      </c>
      <c r="AU252" s="1296">
        <v>2.63</v>
      </c>
      <c r="AV252" s="1290"/>
      <c r="AW252" s="1290"/>
      <c r="AX252" s="1290"/>
      <c r="AY252" s="1290"/>
      <c r="AZ252" s="1290"/>
      <c r="BA252" s="1290"/>
      <c r="BB252" s="1290"/>
      <c r="BC252" s="1290"/>
      <c r="BD252" s="204">
        <v>7</v>
      </c>
      <c r="BE252" s="1405"/>
      <c r="BF252" s="1405"/>
      <c r="BG252" s="204">
        <v>3.42</v>
      </c>
      <c r="BH252" s="204">
        <v>3.11</v>
      </c>
      <c r="BI252" s="204">
        <v>2.74</v>
      </c>
      <c r="BJ252" s="1246"/>
      <c r="BK252" s="1246"/>
      <c r="BL252" s="1246"/>
      <c r="BM252" s="1246"/>
      <c r="BN252" s="1246"/>
      <c r="BO252" s="1246"/>
      <c r="BP252" s="1246"/>
      <c r="BQ252" s="1246"/>
    </row>
    <row r="253" spans="2:69" x14ac:dyDescent="0.25">
      <c r="B253" s="36"/>
      <c r="C253" s="36"/>
      <c r="N253" s="1407">
        <v>20</v>
      </c>
      <c r="O253" s="1408">
        <v>3.75</v>
      </c>
      <c r="P253" s="1408">
        <v>3.4</v>
      </c>
      <c r="Q253" s="1408">
        <v>3.11</v>
      </c>
      <c r="R253" s="1408">
        <v>2.76</v>
      </c>
      <c r="S253" s="1408">
        <v>2.19</v>
      </c>
      <c r="T253" s="1265"/>
      <c r="U253" s="1265"/>
      <c r="V253" s="1265"/>
      <c r="W253" s="1265"/>
      <c r="X253" s="1265"/>
      <c r="Y253" s="1265"/>
      <c r="Z253" s="1265"/>
      <c r="AA253" s="1265"/>
      <c r="AB253" s="1381">
        <v>10</v>
      </c>
      <c r="AC253" s="1381">
        <v>4.01</v>
      </c>
      <c r="AD253" s="1381">
        <v>3.64</v>
      </c>
      <c r="AE253" s="1381">
        <v>3.29</v>
      </c>
      <c r="AF253" s="1381">
        <v>2.98</v>
      </c>
      <c r="AG253" s="1381">
        <v>2.63</v>
      </c>
      <c r="AH253" s="1280"/>
      <c r="AI253" s="1280"/>
      <c r="AJ253" s="1280"/>
      <c r="AK253" s="1280"/>
      <c r="AL253" s="1280"/>
      <c r="AM253" s="1280"/>
      <c r="AN253" s="1280"/>
      <c r="AO253" s="1280"/>
      <c r="AP253" s="1296">
        <v>7</v>
      </c>
      <c r="AQ253" s="1405"/>
      <c r="AR253" s="1405"/>
      <c r="AS253" s="1296">
        <v>3.42</v>
      </c>
      <c r="AT253" s="1296">
        <v>3.11</v>
      </c>
      <c r="AU253" s="1296">
        <v>2.74</v>
      </c>
      <c r="AV253" s="1290"/>
      <c r="AW253" s="1290"/>
      <c r="AX253" s="1290"/>
      <c r="AY253" s="1290"/>
      <c r="AZ253" s="1290"/>
      <c r="BA253" s="1290"/>
      <c r="BB253" s="1290"/>
      <c r="BC253" s="1290"/>
      <c r="BD253" s="204">
        <v>3</v>
      </c>
      <c r="BE253" s="1405"/>
      <c r="BF253" s="1405"/>
      <c r="BG253" s="204">
        <v>3.83</v>
      </c>
      <c r="BH253" s="204">
        <v>3.42</v>
      </c>
      <c r="BI253" s="204">
        <v>3.05</v>
      </c>
      <c r="BJ253" s="1246"/>
      <c r="BK253" s="1246"/>
      <c r="BL253" s="1246"/>
      <c r="BM253" s="1246"/>
      <c r="BN253" s="1246"/>
      <c r="BO253" s="1246"/>
      <c r="BP253" s="1246"/>
      <c r="BQ253" s="1246"/>
    </row>
    <row r="254" spans="2:69" ht="15.75" customHeight="1" x14ac:dyDescent="0.25">
      <c r="B254" s="36"/>
      <c r="C254" s="36"/>
      <c r="N254" s="1407">
        <v>10</v>
      </c>
      <c r="O254" s="1408">
        <v>4.29</v>
      </c>
      <c r="P254" s="1408">
        <v>3.89</v>
      </c>
      <c r="Q254" s="1408">
        <v>3.53</v>
      </c>
      <c r="R254" s="1408">
        <v>3.13</v>
      </c>
      <c r="S254" s="1408">
        <v>2.48</v>
      </c>
      <c r="T254" s="1265"/>
      <c r="U254" s="1265"/>
      <c r="V254" s="1265"/>
      <c r="W254" s="1265"/>
      <c r="X254" s="1265"/>
      <c r="Y254" s="1265"/>
      <c r="Z254" s="1265"/>
      <c r="AA254" s="1265"/>
      <c r="AB254" s="1381">
        <v>7</v>
      </c>
      <c r="AC254" s="1381" t="s">
        <v>172</v>
      </c>
      <c r="AD254" s="1381" t="s">
        <v>172</v>
      </c>
      <c r="AE254" s="1381">
        <v>3.42</v>
      </c>
      <c r="AF254" s="1381">
        <v>3.11</v>
      </c>
      <c r="AG254" s="1381">
        <v>2.74</v>
      </c>
      <c r="AH254" s="1280"/>
      <c r="AI254" s="1280"/>
      <c r="AJ254" s="1280"/>
      <c r="AK254" s="1280"/>
      <c r="AL254" s="1280"/>
      <c r="AM254" s="1280"/>
      <c r="AN254" s="1280"/>
      <c r="AO254" s="1280"/>
      <c r="AP254" s="1297"/>
      <c r="AQ254" s="1297"/>
      <c r="AR254" s="1297"/>
      <c r="AS254" s="1297"/>
      <c r="AT254" s="1297"/>
      <c r="AU254" s="1297"/>
      <c r="AV254" s="1290"/>
      <c r="AW254" s="1290"/>
      <c r="AX254" s="1290"/>
      <c r="AY254" s="1290"/>
      <c r="AZ254" s="1290"/>
      <c r="BA254" s="1290"/>
      <c r="BB254" s="1290"/>
      <c r="BC254" s="1290"/>
      <c r="BD254" s="201"/>
      <c r="BE254" s="201"/>
      <c r="BF254" s="201"/>
      <c r="BG254" s="201"/>
      <c r="BH254" s="201"/>
      <c r="BI254" s="201"/>
      <c r="BJ254" s="1246"/>
      <c r="BK254" s="1246"/>
      <c r="BL254" s="1246"/>
      <c r="BM254" s="1246"/>
      <c r="BN254" s="1246"/>
      <c r="BO254" s="1246"/>
      <c r="BP254" s="1246"/>
      <c r="BQ254" s="1246"/>
    </row>
    <row r="255" spans="2:69" x14ac:dyDescent="0.25">
      <c r="B255" s="36"/>
      <c r="C255" s="36"/>
      <c r="N255" s="1271" t="s">
        <v>191</v>
      </c>
      <c r="O255" s="1272"/>
      <c r="P255" s="1271"/>
      <c r="Q255" s="1271"/>
      <c r="R255" s="1272"/>
      <c r="S255" s="1272"/>
      <c r="T255" s="1265"/>
      <c r="U255" s="1265"/>
      <c r="V255" s="1265"/>
      <c r="W255" s="1265"/>
      <c r="X255" s="1265"/>
      <c r="Y255" s="1265"/>
      <c r="Z255" s="1265"/>
      <c r="AA255" s="1265"/>
      <c r="AB255" s="1284" t="s">
        <v>191</v>
      </c>
      <c r="AC255" s="1285"/>
      <c r="AD255" s="1284"/>
      <c r="AE255" s="1284"/>
      <c r="AF255" s="1285"/>
      <c r="AG255" s="1285"/>
      <c r="AH255" s="1280"/>
      <c r="AI255" s="1280"/>
      <c r="AJ255" s="1280"/>
      <c r="AK255" s="1280"/>
      <c r="AL255" s="1280"/>
      <c r="AM255" s="1280"/>
      <c r="AN255" s="1280"/>
      <c r="AO255" s="1280"/>
      <c r="AP255" s="1294" t="s">
        <v>191</v>
      </c>
      <c r="AQ255" s="1295"/>
      <c r="AR255" s="1294"/>
      <c r="AS255" s="1294"/>
      <c r="AT255" s="1295"/>
      <c r="AU255" s="1295"/>
      <c r="AV255" s="1290"/>
      <c r="AW255" s="1290"/>
      <c r="AX255" s="1290"/>
      <c r="AY255" s="1290"/>
      <c r="AZ255" s="1290"/>
      <c r="BA255" s="1290"/>
      <c r="BB255" s="1290"/>
      <c r="BC255" s="1290"/>
      <c r="BD255" s="1250" t="s">
        <v>192</v>
      </c>
      <c r="BE255" s="1251"/>
      <c r="BF255" s="1250"/>
      <c r="BG255" s="1250"/>
      <c r="BH255" s="1251"/>
      <c r="BI255" s="1251"/>
      <c r="BJ255" s="1246"/>
      <c r="BK255" s="1246"/>
      <c r="BL255" s="1246"/>
      <c r="BM255" s="1246"/>
      <c r="BN255" s="1246"/>
      <c r="BO255" s="1246"/>
      <c r="BP255" s="1246"/>
      <c r="BQ255" s="1246"/>
    </row>
    <row r="256" spans="2:69" x14ac:dyDescent="0.25">
      <c r="B256" s="36"/>
      <c r="C256" s="36"/>
      <c r="N256" s="1944" t="s">
        <v>162</v>
      </c>
      <c r="O256" s="1944" t="s">
        <v>117</v>
      </c>
      <c r="P256" s="1944"/>
      <c r="Q256" s="1944"/>
      <c r="R256" s="1944"/>
      <c r="S256" s="1944"/>
      <c r="T256" s="1265"/>
      <c r="U256" s="1265"/>
      <c r="V256" s="1265"/>
      <c r="W256" s="1265"/>
      <c r="X256" s="1265"/>
      <c r="Y256" s="1265"/>
      <c r="Z256" s="1265"/>
      <c r="AA256" s="1265"/>
      <c r="AB256" s="1962" t="s">
        <v>162</v>
      </c>
      <c r="AC256" s="1926" t="s">
        <v>117</v>
      </c>
      <c r="AD256" s="1926"/>
      <c r="AE256" s="1926"/>
      <c r="AF256" s="1926"/>
      <c r="AG256" s="1926"/>
      <c r="AH256" s="1280"/>
      <c r="AI256" s="1280"/>
      <c r="AJ256" s="1280"/>
      <c r="AK256" s="1280"/>
      <c r="AL256" s="1280"/>
      <c r="AM256" s="1280"/>
      <c r="AN256" s="1280"/>
      <c r="AO256" s="1280"/>
      <c r="AP256" s="1934" t="s">
        <v>162</v>
      </c>
      <c r="AQ256" s="1928" t="s">
        <v>117</v>
      </c>
      <c r="AR256" s="1928"/>
      <c r="AS256" s="1928"/>
      <c r="AT256" s="1928"/>
      <c r="AU256" s="1928"/>
      <c r="AV256" s="1290"/>
      <c r="AW256" s="1290"/>
      <c r="AX256" s="1290"/>
      <c r="AY256" s="1290"/>
      <c r="AZ256" s="1290"/>
      <c r="BA256" s="1290"/>
      <c r="BB256" s="1290"/>
      <c r="BC256" s="1290"/>
      <c r="BD256" s="1963" t="s">
        <v>162</v>
      </c>
      <c r="BE256" s="1930" t="s">
        <v>117</v>
      </c>
      <c r="BF256" s="1930"/>
      <c r="BG256" s="1930"/>
      <c r="BH256" s="1930"/>
      <c r="BI256" s="1930"/>
      <c r="BJ256" s="1246"/>
      <c r="BK256" s="1246"/>
      <c r="BL256" s="1246"/>
      <c r="BM256" s="1246"/>
      <c r="BN256" s="1246"/>
      <c r="BO256" s="1246"/>
      <c r="BP256" s="1246"/>
      <c r="BQ256" s="1246"/>
    </row>
    <row r="257" spans="2:69" x14ac:dyDescent="0.25">
      <c r="B257" s="37"/>
      <c r="C257" s="36"/>
      <c r="N257" s="1944"/>
      <c r="O257" s="1373" t="s">
        <v>118</v>
      </c>
      <c r="P257" s="1373" t="s">
        <v>163</v>
      </c>
      <c r="Q257" s="1373" t="s">
        <v>164</v>
      </c>
      <c r="R257" s="1373" t="s">
        <v>165</v>
      </c>
      <c r="S257" s="1373" t="s">
        <v>166</v>
      </c>
      <c r="T257" s="1265"/>
      <c r="U257" s="1265"/>
      <c r="V257" s="1265"/>
      <c r="W257" s="1265"/>
      <c r="X257" s="1265"/>
      <c r="Y257" s="1265"/>
      <c r="Z257" s="1265"/>
      <c r="AA257" s="1265"/>
      <c r="AB257" s="1962"/>
      <c r="AC257" s="1381" t="s">
        <v>118</v>
      </c>
      <c r="AD257" s="1381" t="s">
        <v>163</v>
      </c>
      <c r="AE257" s="1381" t="s">
        <v>164</v>
      </c>
      <c r="AF257" s="1381" t="s">
        <v>165</v>
      </c>
      <c r="AG257" s="1381" t="s">
        <v>166</v>
      </c>
      <c r="AH257" s="1280"/>
      <c r="AI257" s="1280"/>
      <c r="AJ257" s="1280"/>
      <c r="AK257" s="1280"/>
      <c r="AL257" s="1280"/>
      <c r="AM257" s="1280"/>
      <c r="AN257" s="1280"/>
      <c r="AO257" s="1280"/>
      <c r="AP257" s="1934"/>
      <c r="AQ257" s="1296" t="s">
        <v>118</v>
      </c>
      <c r="AR257" s="1296" t="s">
        <v>163</v>
      </c>
      <c r="AS257" s="1296" t="s">
        <v>164</v>
      </c>
      <c r="AT257" s="1296" t="s">
        <v>165</v>
      </c>
      <c r="AU257" s="1296" t="s">
        <v>166</v>
      </c>
      <c r="AV257" s="1290"/>
      <c r="AW257" s="1290"/>
      <c r="AX257" s="1290"/>
      <c r="AY257" s="1290"/>
      <c r="AZ257" s="1290"/>
      <c r="BA257" s="1290"/>
      <c r="BB257" s="1290"/>
      <c r="BC257" s="1290"/>
      <c r="BD257" s="1963"/>
      <c r="BE257" s="204" t="s">
        <v>118</v>
      </c>
      <c r="BF257" s="204" t="s">
        <v>163</v>
      </c>
      <c r="BG257" s="204" t="s">
        <v>164</v>
      </c>
      <c r="BH257" s="204" t="s">
        <v>165</v>
      </c>
      <c r="BI257" s="204" t="s">
        <v>166</v>
      </c>
      <c r="BJ257" s="1246"/>
      <c r="BK257" s="1246"/>
      <c r="BL257" s="1246"/>
      <c r="BM257" s="1246"/>
      <c r="BN257" s="1246"/>
      <c r="BO257" s="1246"/>
      <c r="BP257" s="1246"/>
      <c r="BQ257" s="1246"/>
    </row>
    <row r="258" spans="2:69" x14ac:dyDescent="0.25">
      <c r="N258" s="1373"/>
      <c r="O258" s="1373">
        <v>0</v>
      </c>
      <c r="P258" s="1373">
        <v>1</v>
      </c>
      <c r="Q258" s="1373">
        <v>2</v>
      </c>
      <c r="R258" s="1373">
        <v>3</v>
      </c>
      <c r="S258" s="1373">
        <v>4</v>
      </c>
      <c r="T258" s="1265"/>
      <c r="U258" s="1265"/>
      <c r="V258" s="1265"/>
      <c r="W258" s="1265"/>
      <c r="X258" s="1265"/>
      <c r="Y258" s="1265"/>
      <c r="Z258" s="1265"/>
      <c r="AA258" s="1265"/>
      <c r="AB258" s="1381"/>
      <c r="AC258" s="1381">
        <v>0</v>
      </c>
      <c r="AD258" s="1381">
        <v>1</v>
      </c>
      <c r="AE258" s="1381">
        <v>2</v>
      </c>
      <c r="AF258" s="1381">
        <v>3</v>
      </c>
      <c r="AG258" s="1381">
        <v>4</v>
      </c>
      <c r="AH258" s="1280"/>
      <c r="AI258" s="1280"/>
      <c r="AJ258" s="1280"/>
      <c r="AK258" s="1280"/>
      <c r="AL258" s="1280"/>
      <c r="AM258" s="1280"/>
      <c r="AN258" s="1280"/>
      <c r="AO258" s="1280"/>
      <c r="AP258" s="1296"/>
      <c r="AQ258" s="1296">
        <v>0</v>
      </c>
      <c r="AR258" s="1296">
        <v>1</v>
      </c>
      <c r="AS258" s="1296">
        <v>2</v>
      </c>
      <c r="AT258" s="1296">
        <v>3</v>
      </c>
      <c r="AU258" s="1296">
        <v>4</v>
      </c>
      <c r="AV258" s="1290"/>
      <c r="AW258" s="1290"/>
      <c r="AX258" s="1290"/>
      <c r="AY258" s="1290"/>
      <c r="AZ258" s="1290"/>
      <c r="BA258" s="1290"/>
      <c r="BB258" s="1290"/>
      <c r="BC258" s="1290"/>
      <c r="BD258" s="204"/>
      <c r="BE258" s="204">
        <v>0</v>
      </c>
      <c r="BF258" s="204">
        <v>1</v>
      </c>
      <c r="BG258" s="204">
        <v>2</v>
      </c>
      <c r="BH258" s="204">
        <v>3</v>
      </c>
      <c r="BI258" s="204">
        <v>4</v>
      </c>
      <c r="BJ258" s="1246"/>
      <c r="BK258" s="1246"/>
      <c r="BL258" s="1246"/>
      <c r="BM258" s="1246"/>
      <c r="BN258" s="1246"/>
      <c r="BO258" s="1246"/>
      <c r="BP258" s="1246"/>
      <c r="BQ258" s="1246"/>
    </row>
    <row r="259" spans="2:69" x14ac:dyDescent="0.25">
      <c r="N259" s="1407">
        <v>10000</v>
      </c>
      <c r="O259" s="1408">
        <v>0.43</v>
      </c>
      <c r="P259" s="1408">
        <v>0.33</v>
      </c>
      <c r="Q259" s="1408">
        <v>0.28999999999999998</v>
      </c>
      <c r="R259" s="1408">
        <v>0.25</v>
      </c>
      <c r="S259" s="1408">
        <f>S260</f>
        <v>0.57999999999999996</v>
      </c>
      <c r="T259" s="1265"/>
      <c r="U259" s="1265"/>
      <c r="V259" s="1265"/>
      <c r="W259" s="1265"/>
      <c r="X259" s="1265"/>
      <c r="Y259" s="1265"/>
      <c r="Z259" s="1265"/>
      <c r="AA259" s="1265"/>
      <c r="AB259" s="1381">
        <v>8000</v>
      </c>
      <c r="AC259" s="1381">
        <v>0.42</v>
      </c>
      <c r="AD259" s="1381">
        <v>0.31</v>
      </c>
      <c r="AE259" s="1381">
        <v>0.28999999999999998</v>
      </c>
      <c r="AF259" s="1381">
        <v>0.27</v>
      </c>
      <c r="AG259" s="1381">
        <f>AG260</f>
        <v>0.32</v>
      </c>
      <c r="AH259" s="1280"/>
      <c r="AI259" s="1280"/>
      <c r="AJ259" s="1280"/>
      <c r="AK259" s="1280"/>
      <c r="AL259" s="1280"/>
      <c r="AM259" s="1280"/>
      <c r="AN259" s="1280"/>
      <c r="AO259" s="1280"/>
      <c r="AP259" s="1347">
        <v>5000</v>
      </c>
      <c r="AQ259" s="1296">
        <v>0.55000000000000004</v>
      </c>
      <c r="AR259" s="1296">
        <v>0.47</v>
      </c>
      <c r="AS259" s="1296">
        <v>0.44</v>
      </c>
      <c r="AT259" s="1296"/>
      <c r="AU259" s="1296"/>
      <c r="AV259" s="1290"/>
      <c r="AW259" s="1290"/>
      <c r="AX259" s="1290"/>
      <c r="AY259" s="1290"/>
      <c r="AZ259" s="1290"/>
      <c r="BA259" s="1290"/>
      <c r="BB259" s="1290"/>
      <c r="BC259" s="1290"/>
      <c r="BD259" s="204">
        <v>2000</v>
      </c>
      <c r="BE259" s="204">
        <v>0.72</v>
      </c>
      <c r="BF259" s="204">
        <v>0.61</v>
      </c>
      <c r="BG259" s="204">
        <v>0.56999999999999995</v>
      </c>
      <c r="BH259" s="204"/>
      <c r="BI259" s="204"/>
      <c r="BJ259" s="1246"/>
      <c r="BK259" s="1246"/>
      <c r="BL259" s="1246"/>
      <c r="BM259" s="1246"/>
      <c r="BN259" s="1246"/>
      <c r="BO259" s="1246"/>
      <c r="BP259" s="1246"/>
      <c r="BQ259" s="1246"/>
    </row>
    <row r="260" spans="2:69" x14ac:dyDescent="0.25">
      <c r="N260" s="1407">
        <v>8000</v>
      </c>
      <c r="O260" s="1408">
        <v>0.48</v>
      </c>
      <c r="P260" s="1408">
        <v>0.39</v>
      </c>
      <c r="Q260" s="1408">
        <v>0.34</v>
      </c>
      <c r="R260" s="1408">
        <v>0.28999999999999998</v>
      </c>
      <c r="S260" s="1408">
        <f>S261</f>
        <v>0.57999999999999996</v>
      </c>
      <c r="T260" s="1265"/>
      <c r="U260" s="1265"/>
      <c r="V260" s="1265"/>
      <c r="W260" s="1265"/>
      <c r="X260" s="1265"/>
      <c r="Y260" s="1265"/>
      <c r="Z260" s="1265"/>
      <c r="AA260" s="1265"/>
      <c r="AB260" s="1381">
        <v>5000</v>
      </c>
      <c r="AC260" s="1381">
        <v>0.55000000000000004</v>
      </c>
      <c r="AD260" s="1381">
        <v>0.47</v>
      </c>
      <c r="AE260" s="1381">
        <v>0.44</v>
      </c>
      <c r="AF260" s="1381">
        <v>0.42</v>
      </c>
      <c r="AG260" s="1381">
        <v>0.32</v>
      </c>
      <c r="AH260" s="1280"/>
      <c r="AI260" s="1280"/>
      <c r="AJ260" s="1280"/>
      <c r="AK260" s="1280"/>
      <c r="AL260" s="1280"/>
      <c r="AM260" s="1280"/>
      <c r="AN260" s="1280"/>
      <c r="AO260" s="1280"/>
      <c r="AP260" s="1347">
        <v>2000</v>
      </c>
      <c r="AQ260" s="1296">
        <v>0.72</v>
      </c>
      <c r="AR260" s="1296">
        <v>0.61</v>
      </c>
      <c r="AS260" s="1296">
        <v>0.56999999999999995</v>
      </c>
      <c r="AT260" s="1296"/>
      <c r="AU260" s="1296"/>
      <c r="AV260" s="1290"/>
      <c r="AW260" s="1290"/>
      <c r="AX260" s="1290"/>
      <c r="AY260" s="1290"/>
      <c r="AZ260" s="1290"/>
      <c r="BA260" s="1290"/>
      <c r="BB260" s="1290"/>
      <c r="BC260" s="1290"/>
      <c r="BD260" s="204">
        <v>1000</v>
      </c>
      <c r="BE260" s="204">
        <v>0.84</v>
      </c>
      <c r="BF260" s="204">
        <v>0.72</v>
      </c>
      <c r="BG260" s="204">
        <v>0.67</v>
      </c>
      <c r="BH260" s="204"/>
      <c r="BI260" s="204"/>
      <c r="BJ260" s="1246"/>
      <c r="BK260" s="1246"/>
      <c r="BL260" s="1246"/>
      <c r="BM260" s="1246"/>
      <c r="BN260" s="1246"/>
      <c r="BO260" s="1246"/>
      <c r="BP260" s="1246"/>
      <c r="BQ260" s="1246"/>
    </row>
    <row r="261" spans="2:69" x14ac:dyDescent="0.25">
      <c r="N261" s="1407">
        <v>5000</v>
      </c>
      <c r="O261" s="1408">
        <v>0.61</v>
      </c>
      <c r="P261" s="1408">
        <v>0.53</v>
      </c>
      <c r="Q261" s="1408">
        <v>0.47</v>
      </c>
      <c r="R261" s="1408">
        <v>0.41</v>
      </c>
      <c r="S261" s="1408">
        <f>S262</f>
        <v>0.57999999999999996</v>
      </c>
      <c r="T261" s="1265"/>
      <c r="U261" s="1265"/>
      <c r="V261" s="1265"/>
      <c r="W261" s="1265"/>
      <c r="X261" s="1265"/>
      <c r="Y261" s="1265"/>
      <c r="Z261" s="1265"/>
      <c r="AA261" s="1265"/>
      <c r="AB261" s="1381">
        <v>2000</v>
      </c>
      <c r="AC261" s="1381">
        <v>0.72</v>
      </c>
      <c r="AD261" s="1381">
        <v>0.61</v>
      </c>
      <c r="AE261" s="1381">
        <v>0.56999999999999995</v>
      </c>
      <c r="AF261" s="1381">
        <v>0.55000000000000004</v>
      </c>
      <c r="AG261" s="1381">
        <v>0.42</v>
      </c>
      <c r="AH261" s="1280"/>
      <c r="AI261" s="1280"/>
      <c r="AJ261" s="1280"/>
      <c r="AK261" s="1280"/>
      <c r="AL261" s="1280"/>
      <c r="AM261" s="1280"/>
      <c r="AN261" s="1280"/>
      <c r="AO261" s="1280"/>
      <c r="AP261" s="1347">
        <v>1000</v>
      </c>
      <c r="AQ261" s="1296">
        <v>0.84</v>
      </c>
      <c r="AR261" s="1296">
        <v>0.72</v>
      </c>
      <c r="AS261" s="1296">
        <v>0.67</v>
      </c>
      <c r="AT261" s="1296"/>
      <c r="AU261" s="1296"/>
      <c r="AV261" s="1290"/>
      <c r="AW261" s="1290"/>
      <c r="AX261" s="1290"/>
      <c r="AY261" s="1290"/>
      <c r="AZ261" s="1290"/>
      <c r="BA261" s="1290"/>
      <c r="BB261" s="1290"/>
      <c r="BC261" s="1290"/>
      <c r="BD261" s="204">
        <v>500</v>
      </c>
      <c r="BE261" s="204">
        <v>0.99</v>
      </c>
      <c r="BF261" s="204">
        <v>0.85</v>
      </c>
      <c r="BG261" s="204">
        <v>0.78</v>
      </c>
      <c r="BH261" s="204"/>
      <c r="BI261" s="204"/>
      <c r="BJ261" s="1246"/>
      <c r="BK261" s="1246"/>
      <c r="BL261" s="1246"/>
      <c r="BM261" s="1246"/>
      <c r="BN261" s="1246"/>
      <c r="BO261" s="1246"/>
      <c r="BP261" s="1246"/>
      <c r="BQ261" s="1246"/>
    </row>
    <row r="262" spans="2:69" x14ac:dyDescent="0.25">
      <c r="N262" s="1407">
        <v>2000</v>
      </c>
      <c r="O262" s="1408">
        <v>0.83</v>
      </c>
      <c r="P262" s="1408">
        <v>0.75</v>
      </c>
      <c r="Q262" s="1408">
        <v>0.66</v>
      </c>
      <c r="R262" s="1408">
        <v>0.56000000000000005</v>
      </c>
      <c r="S262" s="1408">
        <f>S263</f>
        <v>0.57999999999999996</v>
      </c>
      <c r="T262" s="1265"/>
      <c r="U262" s="1265"/>
      <c r="V262" s="1265"/>
      <c r="W262" s="1265"/>
      <c r="X262" s="1265"/>
      <c r="Y262" s="1265"/>
      <c r="Z262" s="1265"/>
      <c r="AA262" s="1265"/>
      <c r="AB262" s="1381">
        <v>1000</v>
      </c>
      <c r="AC262" s="1381">
        <v>0.84</v>
      </c>
      <c r="AD262" s="1381">
        <v>0.72</v>
      </c>
      <c r="AE262" s="1381">
        <v>0.67</v>
      </c>
      <c r="AF262" s="1381">
        <v>0.64</v>
      </c>
      <c r="AG262" s="1381">
        <v>0.5</v>
      </c>
      <c r="AH262" s="1280"/>
      <c r="AI262" s="1280"/>
      <c r="AJ262" s="1280"/>
      <c r="AK262" s="1280"/>
      <c r="AL262" s="1280"/>
      <c r="AM262" s="1280"/>
      <c r="AN262" s="1280"/>
      <c r="AO262" s="1280"/>
      <c r="AP262" s="1347">
        <v>500</v>
      </c>
      <c r="AQ262" s="1296">
        <v>0.99</v>
      </c>
      <c r="AR262" s="1296">
        <v>0.85</v>
      </c>
      <c r="AS262" s="1296">
        <v>0.78</v>
      </c>
      <c r="AT262" s="1296"/>
      <c r="AU262" s="1296"/>
      <c r="AV262" s="1290"/>
      <c r="AW262" s="1290"/>
      <c r="AX262" s="1290"/>
      <c r="AY262" s="1290"/>
      <c r="AZ262" s="1290"/>
      <c r="BA262" s="1290"/>
      <c r="BB262" s="1290"/>
      <c r="BC262" s="1290"/>
      <c r="BD262" s="204">
        <v>200</v>
      </c>
      <c r="BE262" s="204">
        <v>1.18</v>
      </c>
      <c r="BF262" s="204">
        <v>1.07</v>
      </c>
      <c r="BG262" s="204">
        <v>0.98</v>
      </c>
      <c r="BH262" s="204"/>
      <c r="BI262" s="204"/>
      <c r="BJ262" s="1246"/>
      <c r="BK262" s="1246"/>
      <c r="BL262" s="1246"/>
      <c r="BM262" s="1246"/>
      <c r="BN262" s="1246"/>
      <c r="BO262" s="1246"/>
      <c r="BP262" s="1246"/>
      <c r="BQ262" s="1246"/>
    </row>
    <row r="263" spans="2:69" x14ac:dyDescent="0.25">
      <c r="N263" s="1407">
        <v>1000</v>
      </c>
      <c r="O263" s="1408">
        <v>0.97</v>
      </c>
      <c r="P263" s="1408">
        <v>0.9</v>
      </c>
      <c r="Q263" s="1408">
        <v>0.78</v>
      </c>
      <c r="R263" s="1408">
        <v>0.7</v>
      </c>
      <c r="S263" s="1408">
        <v>0.57999999999999996</v>
      </c>
      <c r="T263" s="1265"/>
      <c r="U263" s="1265"/>
      <c r="V263" s="1265"/>
      <c r="W263" s="1265"/>
      <c r="X263" s="1265"/>
      <c r="Y263" s="1265"/>
      <c r="Z263" s="1265"/>
      <c r="AA263" s="1265"/>
      <c r="AB263" s="1381">
        <v>500</v>
      </c>
      <c r="AC263" s="1381">
        <v>0.99</v>
      </c>
      <c r="AD263" s="1381">
        <v>0.85</v>
      </c>
      <c r="AE263" s="1381">
        <v>0.78</v>
      </c>
      <c r="AF263" s="1381">
        <v>0.76</v>
      </c>
      <c r="AG263" s="1381">
        <v>0.57999999999999996</v>
      </c>
      <c r="AH263" s="1280"/>
      <c r="AI263" s="1280"/>
      <c r="AJ263" s="1280"/>
      <c r="AK263" s="1280"/>
      <c r="AL263" s="1280"/>
      <c r="AM263" s="1280"/>
      <c r="AN263" s="1280"/>
      <c r="AO263" s="1280"/>
      <c r="AP263" s="1347">
        <v>200</v>
      </c>
      <c r="AQ263" s="1296">
        <v>1.18</v>
      </c>
      <c r="AR263" s="1296">
        <v>1.07</v>
      </c>
      <c r="AS263" s="1296">
        <v>0.98</v>
      </c>
      <c r="AT263" s="1296"/>
      <c r="AU263" s="1296"/>
      <c r="AV263" s="1290"/>
      <c r="AW263" s="1290"/>
      <c r="AX263" s="1290"/>
      <c r="AY263" s="1290"/>
      <c r="AZ263" s="1290"/>
      <c r="BA263" s="1290"/>
      <c r="BB263" s="1290"/>
      <c r="BC263" s="1290"/>
      <c r="BD263" s="204">
        <v>100</v>
      </c>
      <c r="BE263" s="204">
        <v>1.29</v>
      </c>
      <c r="BF263" s="204">
        <v>1.17</v>
      </c>
      <c r="BG263" s="204">
        <v>1.06</v>
      </c>
      <c r="BH263" s="204"/>
      <c r="BI263" s="204"/>
      <c r="BJ263" s="1246"/>
      <c r="BK263" s="1246"/>
      <c r="BL263" s="1246"/>
      <c r="BM263" s="1246"/>
      <c r="BN263" s="1246"/>
      <c r="BO263" s="1246"/>
      <c r="BP263" s="1246"/>
      <c r="BQ263" s="1246"/>
    </row>
    <row r="264" spans="2:69" x14ac:dyDescent="0.25">
      <c r="N264" s="1407">
        <v>500</v>
      </c>
      <c r="O264" s="1408">
        <v>1.1399999999999999</v>
      </c>
      <c r="P264" s="1408">
        <v>1.04</v>
      </c>
      <c r="Q264" s="1408">
        <v>0.91</v>
      </c>
      <c r="R264" s="1408">
        <v>0.8</v>
      </c>
      <c r="S264" s="1408">
        <v>0.7</v>
      </c>
      <c r="T264" s="1265"/>
      <c r="U264" s="1265"/>
      <c r="V264" s="1265"/>
      <c r="W264" s="1265"/>
      <c r="X264" s="1265"/>
      <c r="Y264" s="1265"/>
      <c r="Z264" s="1265"/>
      <c r="AA264" s="1265"/>
      <c r="AB264" s="1381">
        <v>200</v>
      </c>
      <c r="AC264" s="1381">
        <v>1.18</v>
      </c>
      <c r="AD264" s="1381">
        <v>1.07</v>
      </c>
      <c r="AE264" s="1381">
        <v>0.98</v>
      </c>
      <c r="AF264" s="1381">
        <v>0.84</v>
      </c>
      <c r="AG264" s="1381">
        <v>0.6</v>
      </c>
      <c r="AH264" s="1280"/>
      <c r="AI264" s="1280"/>
      <c r="AJ264" s="1280"/>
      <c r="AK264" s="1280"/>
      <c r="AL264" s="1280"/>
      <c r="AM264" s="1280"/>
      <c r="AN264" s="1280"/>
      <c r="AO264" s="1280"/>
      <c r="AP264" s="1347">
        <v>100</v>
      </c>
      <c r="AQ264" s="1296">
        <v>1.29</v>
      </c>
      <c r="AR264" s="1296">
        <v>1.17</v>
      </c>
      <c r="AS264" s="1296">
        <v>1.06</v>
      </c>
      <c r="AT264" s="1296"/>
      <c r="AU264" s="1296"/>
      <c r="AV264" s="1290"/>
      <c r="AW264" s="1290"/>
      <c r="AX264" s="1290"/>
      <c r="AY264" s="1290"/>
      <c r="AZ264" s="1290"/>
      <c r="BA264" s="1290"/>
      <c r="BB264" s="1290"/>
      <c r="BC264" s="1290"/>
      <c r="BD264" s="204">
        <v>50</v>
      </c>
      <c r="BE264" s="204">
        <v>1.42</v>
      </c>
      <c r="BF264" s="204">
        <v>1.31</v>
      </c>
      <c r="BG264" s="204">
        <v>1.18</v>
      </c>
      <c r="BH264" s="204"/>
      <c r="BI264" s="204"/>
      <c r="BJ264" s="1246"/>
      <c r="BK264" s="1246"/>
      <c r="BL264" s="1246"/>
      <c r="BM264" s="1246"/>
      <c r="BN264" s="1246"/>
      <c r="BO264" s="1246"/>
      <c r="BP264" s="1246"/>
      <c r="BQ264" s="1246"/>
    </row>
    <row r="265" spans="2:69" x14ac:dyDescent="0.25">
      <c r="N265" s="1407">
        <v>200</v>
      </c>
      <c r="O265" s="1408">
        <v>1.36</v>
      </c>
      <c r="P265" s="1408">
        <v>1.28</v>
      </c>
      <c r="Q265" s="1408">
        <v>1.1299999999999999</v>
      </c>
      <c r="R265" s="1408">
        <v>0.97</v>
      </c>
      <c r="S265" s="1408">
        <v>0.8</v>
      </c>
      <c r="T265" s="1265"/>
      <c r="U265" s="1265"/>
      <c r="V265" s="1265"/>
      <c r="W265" s="1265"/>
      <c r="X265" s="1265"/>
      <c r="Y265" s="1265"/>
      <c r="Z265" s="1265"/>
      <c r="AA265" s="1265"/>
      <c r="AB265" s="1381">
        <v>100</v>
      </c>
      <c r="AC265" s="1381">
        <v>1.29</v>
      </c>
      <c r="AD265" s="1381">
        <v>1.17</v>
      </c>
      <c r="AE265" s="1381">
        <v>1.06</v>
      </c>
      <c r="AF265" s="1381">
        <v>0.96</v>
      </c>
      <c r="AG265" s="1381">
        <v>0.8</v>
      </c>
      <c r="AH265" s="1280"/>
      <c r="AI265" s="1280"/>
      <c r="AJ265" s="1280"/>
      <c r="AK265" s="1280"/>
      <c r="AL265" s="1280"/>
      <c r="AM265" s="1280"/>
      <c r="AN265" s="1280"/>
      <c r="AO265" s="1280"/>
      <c r="AP265" s="1347">
        <v>50</v>
      </c>
      <c r="AQ265" s="1296">
        <v>1.42</v>
      </c>
      <c r="AR265" s="1296">
        <v>1.31</v>
      </c>
      <c r="AS265" s="1296">
        <v>1.18</v>
      </c>
      <c r="AT265" s="1296"/>
      <c r="AU265" s="1296"/>
      <c r="AV265" s="1290"/>
      <c r="AW265" s="1290"/>
      <c r="AX265" s="1290"/>
      <c r="AY265" s="1290"/>
      <c r="AZ265" s="1290"/>
      <c r="BA265" s="1290"/>
      <c r="BB265" s="1290"/>
      <c r="BC265" s="1290"/>
      <c r="BD265" s="204">
        <v>20</v>
      </c>
      <c r="BE265" s="204">
        <v>1.69</v>
      </c>
      <c r="BF265" s="204">
        <v>1.54</v>
      </c>
      <c r="BG265" s="204">
        <v>1.41</v>
      </c>
      <c r="BH265" s="204"/>
      <c r="BI265" s="204"/>
      <c r="BJ265" s="1246"/>
      <c r="BK265" s="1246"/>
      <c r="BL265" s="1246"/>
      <c r="BM265" s="1246"/>
      <c r="BN265" s="1246"/>
      <c r="BO265" s="1246"/>
      <c r="BP265" s="1246"/>
      <c r="BQ265" s="1246"/>
    </row>
    <row r="266" spans="2:69" x14ac:dyDescent="0.25">
      <c r="N266" s="1407">
        <v>100</v>
      </c>
      <c r="O266" s="1408">
        <v>1.48</v>
      </c>
      <c r="P266" s="1408">
        <v>1.38</v>
      </c>
      <c r="Q266" s="1408">
        <v>1.22</v>
      </c>
      <c r="R266" s="1408">
        <v>1.07</v>
      </c>
      <c r="S266" s="1408">
        <v>0.92</v>
      </c>
      <c r="T266" s="1265"/>
      <c r="U266" s="1265"/>
      <c r="V266" s="1265"/>
      <c r="W266" s="1265"/>
      <c r="X266" s="1265"/>
      <c r="Y266" s="1265"/>
      <c r="Z266" s="1265"/>
      <c r="AA266" s="1265"/>
      <c r="AB266" s="1381">
        <v>50</v>
      </c>
      <c r="AC266" s="1381">
        <v>1.42</v>
      </c>
      <c r="AD266" s="1381">
        <v>1.31</v>
      </c>
      <c r="AE266" s="1381">
        <v>1.18</v>
      </c>
      <c r="AF266" s="1381">
        <v>1.05</v>
      </c>
      <c r="AG266" s="1381">
        <v>0.88</v>
      </c>
      <c r="AH266" s="1280"/>
      <c r="AI266" s="1280"/>
      <c r="AJ266" s="1280"/>
      <c r="AK266" s="1280"/>
      <c r="AL266" s="1280"/>
      <c r="AM266" s="1280"/>
      <c r="AN266" s="1280"/>
      <c r="AO266" s="1280"/>
      <c r="AP266" s="1347">
        <v>20</v>
      </c>
      <c r="AQ266" s="1296">
        <v>1.69</v>
      </c>
      <c r="AR266" s="1296">
        <v>1.54</v>
      </c>
      <c r="AS266" s="1296">
        <v>1.41</v>
      </c>
      <c r="AT266" s="1296"/>
      <c r="AU266" s="1296"/>
      <c r="AV266" s="1290"/>
      <c r="AW266" s="1290"/>
      <c r="AX266" s="1290"/>
      <c r="AY266" s="1290"/>
      <c r="AZ266" s="1290"/>
      <c r="BA266" s="1290"/>
      <c r="BB266" s="1290"/>
      <c r="BC266" s="1290"/>
      <c r="BD266" s="204">
        <v>10</v>
      </c>
      <c r="BE266" s="204">
        <v>1.95</v>
      </c>
      <c r="BF266" s="204">
        <v>1.77</v>
      </c>
      <c r="BG266" s="204">
        <v>1.61</v>
      </c>
      <c r="BH266" s="204"/>
      <c r="BI266" s="204"/>
      <c r="BJ266" s="1246"/>
      <c r="BK266" s="1246"/>
      <c r="BL266" s="1246"/>
      <c r="BM266" s="1246"/>
      <c r="BN266" s="1246"/>
      <c r="BO266" s="1246"/>
      <c r="BP266" s="1246"/>
      <c r="BQ266" s="1246"/>
    </row>
    <row r="267" spans="2:69" x14ac:dyDescent="0.25">
      <c r="N267" s="1407">
        <v>50</v>
      </c>
      <c r="O267" s="1408">
        <v>1.63</v>
      </c>
      <c r="P267" s="1408">
        <v>1.53</v>
      </c>
      <c r="Q267" s="1408">
        <v>1.36</v>
      </c>
      <c r="R267" s="1408">
        <v>1.19</v>
      </c>
      <c r="S267" s="1408">
        <v>1.01</v>
      </c>
      <c r="T267" s="1265"/>
      <c r="U267" s="1265"/>
      <c r="V267" s="1265"/>
      <c r="W267" s="1265"/>
      <c r="X267" s="1265"/>
      <c r="Y267" s="1265"/>
      <c r="Z267" s="1265"/>
      <c r="AA267" s="1265"/>
      <c r="AB267" s="1381">
        <v>20</v>
      </c>
      <c r="AC267" s="1381">
        <v>1.69</v>
      </c>
      <c r="AD267" s="1381">
        <v>1.54</v>
      </c>
      <c r="AE267" s="1381">
        <v>1.41</v>
      </c>
      <c r="AF267" s="1381">
        <v>1.26</v>
      </c>
      <c r="AG267" s="1381">
        <v>1.1100000000000001</v>
      </c>
      <c r="AH267" s="1280"/>
      <c r="AI267" s="1280"/>
      <c r="AJ267" s="1280"/>
      <c r="AK267" s="1280"/>
      <c r="AL267" s="1280"/>
      <c r="AM267" s="1280"/>
      <c r="AN267" s="1280"/>
      <c r="AO267" s="1280"/>
      <c r="AP267" s="1347">
        <v>10</v>
      </c>
      <c r="AQ267" s="1296">
        <v>1.95</v>
      </c>
      <c r="AR267" s="1296">
        <v>1.77</v>
      </c>
      <c r="AS267" s="1296">
        <v>1.61</v>
      </c>
      <c r="AT267" s="1296"/>
      <c r="AU267" s="1296"/>
      <c r="AV267" s="1290"/>
      <c r="AW267" s="1290"/>
      <c r="AX267" s="1290"/>
      <c r="AY267" s="1290"/>
      <c r="AZ267" s="1290"/>
      <c r="BA267" s="1290"/>
      <c r="BB267" s="1290"/>
      <c r="BC267" s="1290"/>
      <c r="BD267" s="204">
        <v>7</v>
      </c>
      <c r="BE267" s="204">
        <v>0</v>
      </c>
      <c r="BF267" s="204">
        <v>0</v>
      </c>
      <c r="BG267" s="204">
        <v>1.68</v>
      </c>
      <c r="BH267" s="204"/>
      <c r="BI267" s="204"/>
      <c r="BJ267" s="1246"/>
      <c r="BK267" s="1246"/>
      <c r="BL267" s="1246"/>
      <c r="BM267" s="1246"/>
      <c r="BN267" s="1246"/>
      <c r="BO267" s="1246"/>
      <c r="BP267" s="1246"/>
      <c r="BQ267" s="1246"/>
    </row>
    <row r="268" spans="2:69" x14ac:dyDescent="0.25">
      <c r="N268" s="1407">
        <v>20</v>
      </c>
      <c r="O268" s="1408">
        <v>1.94</v>
      </c>
      <c r="P268" s="1408">
        <v>1.83</v>
      </c>
      <c r="Q268" s="1408">
        <v>1.62</v>
      </c>
      <c r="R268" s="1408">
        <v>1.39</v>
      </c>
      <c r="S268" s="1408">
        <v>1.23</v>
      </c>
      <c r="T268" s="1265"/>
      <c r="U268" s="1265"/>
      <c r="V268" s="1265"/>
      <c r="W268" s="1265"/>
      <c r="X268" s="1265"/>
      <c r="Y268" s="1265"/>
      <c r="Z268" s="1265"/>
      <c r="AA268" s="1265"/>
      <c r="AB268" s="1381">
        <v>10</v>
      </c>
      <c r="AC268" s="1381">
        <v>1.95</v>
      </c>
      <c r="AD268" s="1381">
        <v>1.77</v>
      </c>
      <c r="AE268" s="1381">
        <v>1.61</v>
      </c>
      <c r="AF268" s="1381">
        <v>1.44</v>
      </c>
      <c r="AG268" s="1381">
        <v>1.28</v>
      </c>
      <c r="AH268" s="1280"/>
      <c r="AI268" s="1280"/>
      <c r="AJ268" s="1280"/>
      <c r="AK268" s="1280"/>
      <c r="AL268" s="1280"/>
      <c r="AM268" s="1280"/>
      <c r="AN268" s="1280"/>
      <c r="AO268" s="1280"/>
      <c r="AP268" s="1347">
        <v>7</v>
      </c>
      <c r="AQ268" s="1296">
        <v>0</v>
      </c>
      <c r="AR268" s="1296">
        <v>0</v>
      </c>
      <c r="AS268" s="1296">
        <v>1.68</v>
      </c>
      <c r="AT268" s="1296"/>
      <c r="AU268" s="1296"/>
      <c r="AV268" s="1290"/>
      <c r="AW268" s="1290"/>
      <c r="AX268" s="1290"/>
      <c r="AY268" s="1290"/>
      <c r="AZ268" s="1290"/>
      <c r="BA268" s="1290"/>
      <c r="BB268" s="1290"/>
      <c r="BC268" s="1290"/>
      <c r="BD268" s="204">
        <v>3</v>
      </c>
      <c r="BE268" s="204">
        <v>0</v>
      </c>
      <c r="BF268" s="204">
        <v>0</v>
      </c>
      <c r="BG268" s="204">
        <v>1.86</v>
      </c>
      <c r="BH268" s="204"/>
      <c r="BI268" s="204"/>
      <c r="BJ268" s="1246"/>
      <c r="BK268" s="1246"/>
      <c r="BL268" s="1246"/>
      <c r="BM268" s="1246"/>
      <c r="BN268" s="1246"/>
      <c r="BO268" s="1246"/>
      <c r="BP268" s="1246"/>
      <c r="BQ268" s="1246"/>
    </row>
    <row r="269" spans="2:69" ht="15.75" customHeight="1" x14ac:dyDescent="0.25">
      <c r="N269" s="1407">
        <v>10</v>
      </c>
      <c r="O269" s="1408">
        <v>2.2200000000000002</v>
      </c>
      <c r="P269" s="1408">
        <v>2.09</v>
      </c>
      <c r="Q269" s="1408">
        <v>1.86</v>
      </c>
      <c r="R269" s="1408">
        <v>1.62</v>
      </c>
      <c r="S269" s="1408">
        <v>1.45</v>
      </c>
      <c r="T269" s="1265"/>
      <c r="U269" s="1265"/>
      <c r="V269" s="1265"/>
      <c r="W269" s="1265"/>
      <c r="X269" s="1265"/>
      <c r="Y269" s="1265"/>
      <c r="Z269" s="1265"/>
      <c r="AA269" s="1265"/>
      <c r="AB269" s="1381">
        <v>7</v>
      </c>
      <c r="AC269" s="1381">
        <v>0</v>
      </c>
      <c r="AD269" s="1381">
        <v>0</v>
      </c>
      <c r="AE269" s="1381">
        <v>1.68</v>
      </c>
      <c r="AF269" s="1381">
        <v>1.5</v>
      </c>
      <c r="AG269" s="1381">
        <v>1.34</v>
      </c>
      <c r="AH269" s="1280"/>
      <c r="AI269" s="1280"/>
      <c r="AJ269" s="1280"/>
      <c r="AK269" s="1280"/>
      <c r="AL269" s="1280"/>
      <c r="AM269" s="1280"/>
      <c r="AN269" s="1280"/>
      <c r="AO269" s="1280"/>
      <c r="AP269" s="1297"/>
      <c r="AQ269" s="1297"/>
      <c r="AR269" s="1297"/>
      <c r="AS269" s="1297"/>
      <c r="AT269" s="1297"/>
      <c r="AU269" s="1297"/>
      <c r="AV269" s="1290"/>
      <c r="AW269" s="1290"/>
      <c r="AX269" s="1290"/>
      <c r="AY269" s="1290"/>
      <c r="AZ269" s="1290"/>
      <c r="BA269" s="1290"/>
      <c r="BB269" s="1290"/>
      <c r="BC269" s="1290"/>
      <c r="BD269" s="201"/>
      <c r="BE269" s="201"/>
      <c r="BF269" s="201"/>
      <c r="BG269" s="201"/>
      <c r="BH269" s="201"/>
      <c r="BI269" s="201"/>
      <c r="BJ269" s="1246"/>
      <c r="BK269" s="1246"/>
      <c r="BL269" s="1246"/>
      <c r="BM269" s="1246"/>
      <c r="BN269" s="1246"/>
      <c r="BO269" s="1246"/>
      <c r="BP269" s="1246"/>
      <c r="BQ269" s="1246"/>
    </row>
    <row r="270" spans="2:69" x14ac:dyDescent="0.25">
      <c r="N270" s="1271" t="s">
        <v>193</v>
      </c>
      <c r="O270" s="1272"/>
      <c r="P270" s="1271"/>
      <c r="Q270" s="1271"/>
      <c r="R270" s="1272"/>
      <c r="S270" s="1272"/>
      <c r="T270" s="1265"/>
      <c r="U270" s="1265"/>
      <c r="V270" s="1265"/>
      <c r="W270" s="1265"/>
      <c r="X270" s="1265"/>
      <c r="Y270" s="1265"/>
      <c r="Z270" s="1265"/>
      <c r="AA270" s="1265"/>
      <c r="AB270" s="1284" t="s">
        <v>193</v>
      </c>
      <c r="AC270" s="1285"/>
      <c r="AD270" s="1284"/>
      <c r="AE270" s="1284"/>
      <c r="AF270" s="1285"/>
      <c r="AG270" s="1285"/>
      <c r="AH270" s="1280"/>
      <c r="AI270" s="1280"/>
      <c r="AJ270" s="1280"/>
      <c r="AK270" s="1280"/>
      <c r="AL270" s="1280"/>
      <c r="AM270" s="1280"/>
      <c r="AN270" s="1280"/>
      <c r="AO270" s="1280"/>
      <c r="AP270" s="1294" t="s">
        <v>193</v>
      </c>
      <c r="AQ270" s="1295"/>
      <c r="AR270" s="1294"/>
      <c r="AS270" s="1294"/>
      <c r="AT270" s="1295"/>
      <c r="AU270" s="1295"/>
      <c r="AV270" s="1290"/>
      <c r="AW270" s="1290"/>
      <c r="AX270" s="1290"/>
      <c r="AY270" s="1290"/>
      <c r="AZ270" s="1290"/>
      <c r="BA270" s="1290"/>
      <c r="BB270" s="1290"/>
      <c r="BC270" s="1290"/>
      <c r="BD270" s="1250" t="s">
        <v>194</v>
      </c>
      <c r="BE270" s="1251"/>
      <c r="BF270" s="1250"/>
      <c r="BG270" s="1250"/>
      <c r="BH270" s="1251"/>
      <c r="BI270" s="1251"/>
      <c r="BJ270" s="1246"/>
      <c r="BK270" s="1246"/>
      <c r="BL270" s="1246"/>
      <c r="BM270" s="1246"/>
      <c r="BN270" s="1246"/>
      <c r="BO270" s="1246"/>
      <c r="BP270" s="1246"/>
      <c r="BQ270" s="1246"/>
    </row>
    <row r="271" spans="2:69" x14ac:dyDescent="0.25">
      <c r="N271" s="1944" t="s">
        <v>162</v>
      </c>
      <c r="O271" s="1944" t="s">
        <v>117</v>
      </c>
      <c r="P271" s="1944"/>
      <c r="Q271" s="1944"/>
      <c r="R271" s="1944"/>
      <c r="S271" s="1944"/>
      <c r="T271" s="1265"/>
      <c r="U271" s="1265"/>
      <c r="V271" s="1265"/>
      <c r="W271" s="1265"/>
      <c r="X271" s="1265"/>
      <c r="Y271" s="1265"/>
      <c r="Z271" s="1265"/>
      <c r="AA271" s="1265"/>
      <c r="AB271" s="1962" t="s">
        <v>162</v>
      </c>
      <c r="AC271" s="1926" t="s">
        <v>117</v>
      </c>
      <c r="AD271" s="1926"/>
      <c r="AE271" s="1926"/>
      <c r="AF271" s="1926"/>
      <c r="AG271" s="1926"/>
      <c r="AH271" s="1280"/>
      <c r="AI271" s="1280"/>
      <c r="AJ271" s="1280"/>
      <c r="AK271" s="1280"/>
      <c r="AL271" s="1280"/>
      <c r="AM271" s="1280"/>
      <c r="AN271" s="1280"/>
      <c r="AO271" s="1280"/>
      <c r="AP271" s="1934" t="s">
        <v>162</v>
      </c>
      <c r="AQ271" s="1928" t="s">
        <v>117</v>
      </c>
      <c r="AR271" s="1928"/>
      <c r="AS271" s="1928"/>
      <c r="AT271" s="1928"/>
      <c r="AU271" s="1928"/>
      <c r="AV271" s="1290"/>
      <c r="AW271" s="1290"/>
      <c r="AX271" s="1290"/>
      <c r="AY271" s="1290"/>
      <c r="AZ271" s="1290"/>
      <c r="BA271" s="1290"/>
      <c r="BB271" s="1290"/>
      <c r="BC271" s="1290"/>
      <c r="BD271" s="1963" t="s">
        <v>162</v>
      </c>
      <c r="BE271" s="1930" t="s">
        <v>117</v>
      </c>
      <c r="BF271" s="1930"/>
      <c r="BG271" s="1930"/>
      <c r="BH271" s="1930"/>
      <c r="BI271" s="1930"/>
      <c r="BJ271" s="1246"/>
      <c r="BK271" s="1246"/>
      <c r="BL271" s="1246"/>
      <c r="BM271" s="1246"/>
      <c r="BN271" s="1246"/>
      <c r="BO271" s="1246"/>
      <c r="BP271" s="1246"/>
      <c r="BQ271" s="1246"/>
    </row>
    <row r="272" spans="2:69" x14ac:dyDescent="0.25">
      <c r="N272" s="1944"/>
      <c r="O272" s="1373" t="s">
        <v>118</v>
      </c>
      <c r="P272" s="1373" t="s">
        <v>163</v>
      </c>
      <c r="Q272" s="1373" t="s">
        <v>164</v>
      </c>
      <c r="R272" s="1373" t="s">
        <v>165</v>
      </c>
      <c r="S272" s="1373" t="s">
        <v>166</v>
      </c>
      <c r="T272" s="1265"/>
      <c r="U272" s="1265"/>
      <c r="V272" s="1265"/>
      <c r="W272" s="1265"/>
      <c r="X272" s="1265"/>
      <c r="Y272" s="1265"/>
      <c r="Z272" s="1265"/>
      <c r="AA272" s="1265"/>
      <c r="AB272" s="1962"/>
      <c r="AC272" s="1381" t="s">
        <v>118</v>
      </c>
      <c r="AD272" s="1381" t="s">
        <v>163</v>
      </c>
      <c r="AE272" s="1381" t="s">
        <v>164</v>
      </c>
      <c r="AF272" s="1381" t="s">
        <v>165</v>
      </c>
      <c r="AG272" s="1381" t="s">
        <v>166</v>
      </c>
      <c r="AH272" s="1280"/>
      <c r="AI272" s="1280"/>
      <c r="AJ272" s="1280"/>
      <c r="AK272" s="1280"/>
      <c r="AL272" s="1280"/>
      <c r="AM272" s="1280"/>
      <c r="AN272" s="1280"/>
      <c r="AO272" s="1280"/>
      <c r="AP272" s="1934"/>
      <c r="AQ272" s="1296" t="s">
        <v>118</v>
      </c>
      <c r="AR272" s="1296" t="s">
        <v>163</v>
      </c>
      <c r="AS272" s="1296" t="s">
        <v>164</v>
      </c>
      <c r="AT272" s="1296" t="s">
        <v>165</v>
      </c>
      <c r="AU272" s="1296" t="s">
        <v>166</v>
      </c>
      <c r="AV272" s="1290"/>
      <c r="AW272" s="1290"/>
      <c r="AX272" s="1290"/>
      <c r="AY272" s="1290"/>
      <c r="AZ272" s="1290"/>
      <c r="BA272" s="1290"/>
      <c r="BB272" s="1290"/>
      <c r="BC272" s="1290"/>
      <c r="BD272" s="1963"/>
      <c r="BE272" s="204" t="s">
        <v>118</v>
      </c>
      <c r="BF272" s="204" t="s">
        <v>163</v>
      </c>
      <c r="BG272" s="204" t="s">
        <v>164</v>
      </c>
      <c r="BH272" s="204" t="s">
        <v>165</v>
      </c>
      <c r="BI272" s="204" t="s">
        <v>166</v>
      </c>
      <c r="BK272" s="1246"/>
      <c r="BL272" s="1246"/>
      <c r="BM272" s="1246"/>
      <c r="BN272" s="1246"/>
      <c r="BO272" s="1246"/>
      <c r="BP272" s="1246"/>
      <c r="BQ272" s="1246"/>
    </row>
    <row r="273" spans="14:69" x14ac:dyDescent="0.25">
      <c r="N273" s="1373"/>
      <c r="O273" s="1373">
        <v>0</v>
      </c>
      <c r="P273" s="1373">
        <v>1</v>
      </c>
      <c r="Q273" s="1373">
        <v>2</v>
      </c>
      <c r="R273" s="1373">
        <v>3</v>
      </c>
      <c r="S273" s="1373">
        <v>4</v>
      </c>
      <c r="T273" s="1265"/>
      <c r="U273" s="1265"/>
      <c r="V273" s="1265"/>
      <c r="W273" s="1265"/>
      <c r="X273" s="1265"/>
      <c r="Y273" s="1265"/>
      <c r="Z273" s="1265"/>
      <c r="AA273" s="1265"/>
      <c r="AB273" s="1381"/>
      <c r="AC273" s="1381">
        <v>0</v>
      </c>
      <c r="AD273" s="1381">
        <v>1</v>
      </c>
      <c r="AE273" s="1381">
        <v>2</v>
      </c>
      <c r="AF273" s="1381">
        <v>3</v>
      </c>
      <c r="AG273" s="1381">
        <v>4</v>
      </c>
      <c r="AH273" s="1280"/>
      <c r="AI273" s="1280"/>
      <c r="AJ273" s="1280"/>
      <c r="AK273" s="1280"/>
      <c r="AL273" s="1280"/>
      <c r="AM273" s="1280"/>
      <c r="AN273" s="1280"/>
      <c r="AO273" s="1280"/>
      <c r="AP273" s="1296"/>
      <c r="AQ273" s="1296">
        <v>0</v>
      </c>
      <c r="AR273" s="1296">
        <v>1</v>
      </c>
      <c r="AS273" s="1296">
        <v>2</v>
      </c>
      <c r="AT273" s="1296">
        <v>3</v>
      </c>
      <c r="AU273" s="1296">
        <v>4</v>
      </c>
      <c r="AV273" s="1290"/>
      <c r="AW273" s="1290"/>
      <c r="AX273" s="1290"/>
      <c r="AY273" s="1290"/>
      <c r="AZ273" s="1290"/>
      <c r="BA273" s="1290"/>
      <c r="BB273" s="1290"/>
      <c r="BC273" s="1290"/>
      <c r="BD273" s="204"/>
      <c r="BE273" s="204">
        <v>0</v>
      </c>
      <c r="BF273" s="204">
        <v>1</v>
      </c>
      <c r="BG273" s="204">
        <v>2</v>
      </c>
      <c r="BH273" s="204">
        <v>3</v>
      </c>
      <c r="BI273" s="204">
        <v>4</v>
      </c>
      <c r="BK273" s="1246"/>
      <c r="BL273" s="1246"/>
      <c r="BM273" s="1246"/>
      <c r="BN273" s="1246"/>
      <c r="BO273" s="1246"/>
      <c r="BP273" s="1246"/>
      <c r="BQ273" s="1246"/>
    </row>
    <row r="274" spans="14:69" x14ac:dyDescent="0.25">
      <c r="N274" s="1407">
        <v>10000</v>
      </c>
      <c r="O274" s="1373">
        <v>0.23699999999999999</v>
      </c>
      <c r="P274" s="1373">
        <v>0.182</v>
      </c>
      <c r="Q274" s="1373">
        <v>0.16</v>
      </c>
      <c r="R274" s="1373">
        <v>0.13800000000000001</v>
      </c>
      <c r="S274" s="1583">
        <f>S275</f>
        <v>0.31900000000000001</v>
      </c>
      <c r="T274" s="1265"/>
      <c r="U274" s="1265"/>
      <c r="V274" s="1265"/>
      <c r="W274" s="1265"/>
      <c r="X274" s="1265"/>
      <c r="Y274" s="1265"/>
      <c r="Z274" s="1265"/>
      <c r="AA274" s="1265"/>
      <c r="AB274" s="1381">
        <v>8000</v>
      </c>
      <c r="AC274" s="1381">
        <v>0.23100000000000001</v>
      </c>
      <c r="AD274" s="1381">
        <v>0.17100000000000001</v>
      </c>
      <c r="AE274" s="1381">
        <v>0.16</v>
      </c>
      <c r="AF274" s="1381">
        <v>0.14899999999999999</v>
      </c>
      <c r="AG274" s="1381">
        <f>AG275</f>
        <v>0.17599999999999999</v>
      </c>
      <c r="AH274" s="1280"/>
      <c r="AI274" s="1280"/>
      <c r="AJ274" s="1280"/>
      <c r="AK274" s="1280"/>
      <c r="AL274" s="1280"/>
      <c r="AM274" s="1280"/>
      <c r="AN274" s="1280"/>
      <c r="AO274" s="1280"/>
      <c r="AP274" s="1347">
        <v>5000</v>
      </c>
      <c r="AQ274" s="1296">
        <f t="shared" ref="AQ274:AS283" si="24">AQ259*0.55</f>
        <v>0.30250000000000005</v>
      </c>
      <c r="AR274" s="1296">
        <f t="shared" si="24"/>
        <v>0.25850000000000001</v>
      </c>
      <c r="AS274" s="1296">
        <f t="shared" si="24"/>
        <v>0.24200000000000002</v>
      </c>
      <c r="AT274" s="1296"/>
      <c r="AU274" s="1296"/>
      <c r="AV274" s="1290"/>
      <c r="AW274" s="1290"/>
      <c r="AX274" s="1290"/>
      <c r="AY274" s="1290"/>
      <c r="AZ274" s="1290"/>
      <c r="BA274" s="1290"/>
      <c r="BB274" s="1290"/>
      <c r="BC274" s="1290"/>
      <c r="BD274" s="204">
        <v>2000</v>
      </c>
      <c r="BE274" s="204">
        <f t="shared" ref="BE274:BG283" si="25">BE259*0.55</f>
        <v>0.39600000000000002</v>
      </c>
      <c r="BF274" s="204">
        <f t="shared" si="25"/>
        <v>0.33550000000000002</v>
      </c>
      <c r="BG274" s="204">
        <f t="shared" si="25"/>
        <v>0.3135</v>
      </c>
      <c r="BH274" s="204"/>
      <c r="BI274" s="204"/>
      <c r="BJ274" s="1246"/>
      <c r="BK274" s="1246"/>
      <c r="BL274" s="1246"/>
      <c r="BM274" s="1246"/>
      <c r="BN274" s="1246"/>
      <c r="BO274" s="1246"/>
      <c r="BP274" s="1246"/>
      <c r="BQ274" s="1246"/>
    </row>
    <row r="275" spans="14:69" x14ac:dyDescent="0.25">
      <c r="N275" s="1407">
        <v>8000</v>
      </c>
      <c r="O275" s="1373">
        <v>0.26400000000000001</v>
      </c>
      <c r="P275" s="1373">
        <v>0.215</v>
      </c>
      <c r="Q275" s="1373">
        <v>0.187</v>
      </c>
      <c r="R275" s="1373">
        <v>0.16</v>
      </c>
      <c r="S275" s="1583">
        <f>S276</f>
        <v>0.31900000000000001</v>
      </c>
      <c r="T275" s="1265"/>
      <c r="U275" s="1265"/>
      <c r="V275" s="1265"/>
      <c r="W275" s="1265"/>
      <c r="X275" s="1265"/>
      <c r="Y275" s="1265"/>
      <c r="Z275" s="1265"/>
      <c r="AA275" s="1265"/>
      <c r="AB275" s="1381">
        <v>5000</v>
      </c>
      <c r="AC275" s="1381">
        <v>0.30299999999999999</v>
      </c>
      <c r="AD275" s="1381">
        <v>0.25900000000000001</v>
      </c>
      <c r="AE275" s="1381">
        <v>0.24199999999999999</v>
      </c>
      <c r="AF275" s="1381">
        <v>0.23100000000000001</v>
      </c>
      <c r="AG275" s="1381">
        <v>0.17599999999999999</v>
      </c>
      <c r="AH275" s="1280"/>
      <c r="AI275" s="1280"/>
      <c r="AJ275" s="1280"/>
      <c r="AK275" s="1280"/>
      <c r="AL275" s="1280"/>
      <c r="AM275" s="1280"/>
      <c r="AN275" s="1280"/>
      <c r="AO275" s="1280"/>
      <c r="AP275" s="1347">
        <v>2000</v>
      </c>
      <c r="AQ275" s="1296">
        <f t="shared" si="24"/>
        <v>0.39600000000000002</v>
      </c>
      <c r="AR275" s="1296">
        <f t="shared" si="24"/>
        <v>0.33550000000000002</v>
      </c>
      <c r="AS275" s="1296">
        <f t="shared" si="24"/>
        <v>0.3135</v>
      </c>
      <c r="AT275" s="1296"/>
      <c r="AU275" s="1296"/>
      <c r="AV275" s="1290"/>
      <c r="AW275" s="1290"/>
      <c r="AX275" s="1290"/>
      <c r="AY275" s="1290"/>
      <c r="AZ275" s="1290"/>
      <c r="BA275" s="1290"/>
      <c r="BB275" s="1290"/>
      <c r="BC275" s="1290"/>
      <c r="BD275" s="204">
        <v>1000</v>
      </c>
      <c r="BE275" s="204">
        <f t="shared" si="25"/>
        <v>0.46200000000000002</v>
      </c>
      <c r="BF275" s="204">
        <f t="shared" si="25"/>
        <v>0.39600000000000002</v>
      </c>
      <c r="BG275" s="204">
        <f t="shared" si="25"/>
        <v>0.36850000000000005</v>
      </c>
      <c r="BH275" s="204"/>
      <c r="BI275" s="204"/>
      <c r="BJ275" s="1246"/>
      <c r="BK275" s="1246"/>
      <c r="BL275" s="1246"/>
      <c r="BM275" s="1246"/>
      <c r="BN275" s="1246"/>
      <c r="BO275" s="1246"/>
      <c r="BP275" s="1246"/>
      <c r="BQ275" s="1246"/>
    </row>
    <row r="276" spans="14:69" x14ac:dyDescent="0.25">
      <c r="N276" s="1407">
        <v>5000</v>
      </c>
      <c r="O276" s="1373">
        <v>0.33600000000000002</v>
      </c>
      <c r="P276" s="1373">
        <v>0.29199999999999998</v>
      </c>
      <c r="Q276" s="1373">
        <v>0.25900000000000001</v>
      </c>
      <c r="R276" s="1373">
        <v>0.22600000000000001</v>
      </c>
      <c r="S276" s="1583">
        <f>S277</f>
        <v>0.31900000000000001</v>
      </c>
      <c r="T276" s="1265"/>
      <c r="U276" s="1265"/>
      <c r="V276" s="1265"/>
      <c r="W276" s="1265"/>
      <c r="X276" s="1265"/>
      <c r="Y276" s="1265"/>
      <c r="Z276" s="1265"/>
      <c r="AA276" s="1265"/>
      <c r="AB276" s="1381">
        <v>2000</v>
      </c>
      <c r="AC276" s="1381">
        <v>0.39600000000000002</v>
      </c>
      <c r="AD276" s="1381">
        <v>0.33600000000000002</v>
      </c>
      <c r="AE276" s="1381">
        <v>0.314</v>
      </c>
      <c r="AF276" s="1381">
        <v>0.30299999999999999</v>
      </c>
      <c r="AG276" s="1381">
        <v>0.23100000000000001</v>
      </c>
      <c r="AH276" s="1280"/>
      <c r="AI276" s="1280"/>
      <c r="AJ276" s="1280"/>
      <c r="AK276" s="1280"/>
      <c r="AL276" s="1280"/>
      <c r="AM276" s="1280"/>
      <c r="AN276" s="1280"/>
      <c r="AO276" s="1280"/>
      <c r="AP276" s="1347">
        <v>1000</v>
      </c>
      <c r="AQ276" s="1296">
        <f t="shared" si="24"/>
        <v>0.46200000000000002</v>
      </c>
      <c r="AR276" s="1296">
        <f t="shared" si="24"/>
        <v>0.39600000000000002</v>
      </c>
      <c r="AS276" s="1296">
        <f t="shared" si="24"/>
        <v>0.36850000000000005</v>
      </c>
      <c r="AT276" s="1296"/>
      <c r="AU276" s="1296"/>
      <c r="AV276" s="1290"/>
      <c r="AW276" s="1290"/>
      <c r="AX276" s="1290"/>
      <c r="AY276" s="1290"/>
      <c r="AZ276" s="1290"/>
      <c r="BA276" s="1290"/>
      <c r="BB276" s="1290"/>
      <c r="BC276" s="1290"/>
      <c r="BD276" s="204">
        <v>500</v>
      </c>
      <c r="BE276" s="204">
        <f t="shared" si="25"/>
        <v>0.54449999999999998</v>
      </c>
      <c r="BF276" s="204">
        <f t="shared" si="25"/>
        <v>0.46750000000000003</v>
      </c>
      <c r="BG276" s="204">
        <f t="shared" si="25"/>
        <v>0.42900000000000005</v>
      </c>
      <c r="BH276" s="204"/>
      <c r="BI276" s="204"/>
      <c r="BJ276" s="1246"/>
      <c r="BK276" s="1246"/>
      <c r="BL276" s="1246"/>
      <c r="BM276" s="1246"/>
      <c r="BN276" s="1246"/>
      <c r="BO276" s="1246"/>
      <c r="BP276" s="1246"/>
      <c r="BQ276" s="1246"/>
    </row>
    <row r="277" spans="14:69" x14ac:dyDescent="0.25">
      <c r="N277" s="1407">
        <v>2000</v>
      </c>
      <c r="O277" s="1373">
        <v>0.45700000000000002</v>
      </c>
      <c r="P277" s="1373">
        <v>0.41299999999999998</v>
      </c>
      <c r="Q277" s="1373">
        <v>0.36299999999999999</v>
      </c>
      <c r="R277" s="1373">
        <v>0.308</v>
      </c>
      <c r="S277" s="1373">
        <f>S278</f>
        <v>0.31900000000000001</v>
      </c>
      <c r="T277" s="1265"/>
      <c r="U277" s="1265"/>
      <c r="V277" s="1265"/>
      <c r="W277" s="1265"/>
      <c r="X277" s="1265"/>
      <c r="Y277" s="1265"/>
      <c r="Z277" s="1265"/>
      <c r="AA277" s="1265"/>
      <c r="AB277" s="1381">
        <v>1000</v>
      </c>
      <c r="AC277" s="1381">
        <v>0.46200000000000002</v>
      </c>
      <c r="AD277" s="1381">
        <v>0.39600000000000002</v>
      </c>
      <c r="AE277" s="1381">
        <v>0.36899999999999999</v>
      </c>
      <c r="AF277" s="1381">
        <v>0.35199999999999998</v>
      </c>
      <c r="AG277" s="1381">
        <v>0.27500000000000002</v>
      </c>
      <c r="AH277" s="1280"/>
      <c r="AI277" s="1280"/>
      <c r="AJ277" s="1280"/>
      <c r="AK277" s="1280"/>
      <c r="AL277" s="1280"/>
      <c r="AM277" s="1280"/>
      <c r="AN277" s="1280"/>
      <c r="AO277" s="1280"/>
      <c r="AP277" s="1347">
        <v>500</v>
      </c>
      <c r="AQ277" s="1296">
        <f t="shared" si="24"/>
        <v>0.54449999999999998</v>
      </c>
      <c r="AR277" s="1296">
        <f t="shared" si="24"/>
        <v>0.46750000000000003</v>
      </c>
      <c r="AS277" s="1296">
        <f t="shared" si="24"/>
        <v>0.42900000000000005</v>
      </c>
      <c r="AT277" s="1296"/>
      <c r="AU277" s="1296"/>
      <c r="AV277" s="1290"/>
      <c r="AW277" s="1290"/>
      <c r="AX277" s="1290"/>
      <c r="AY277" s="1290"/>
      <c r="AZ277" s="1290"/>
      <c r="BA277" s="1290"/>
      <c r="BB277" s="1290"/>
      <c r="BC277" s="1290"/>
      <c r="BD277" s="204">
        <v>200</v>
      </c>
      <c r="BE277" s="204">
        <f t="shared" si="25"/>
        <v>0.64900000000000002</v>
      </c>
      <c r="BF277" s="204">
        <f t="shared" si="25"/>
        <v>0.58850000000000013</v>
      </c>
      <c r="BG277" s="204">
        <f t="shared" si="25"/>
        <v>0.53900000000000003</v>
      </c>
      <c r="BH277" s="204"/>
      <c r="BI277" s="204"/>
      <c r="BJ277" s="1246"/>
      <c r="BK277" s="1246"/>
      <c r="BL277" s="1246"/>
      <c r="BM277" s="1246"/>
      <c r="BN277" s="1246"/>
      <c r="BO277" s="1246"/>
      <c r="BP277" s="1246"/>
      <c r="BQ277" s="1246"/>
    </row>
    <row r="278" spans="14:69" x14ac:dyDescent="0.25">
      <c r="N278" s="1407">
        <v>1000</v>
      </c>
      <c r="O278" s="1373">
        <v>0.53400000000000003</v>
      </c>
      <c r="P278" s="1373">
        <v>0.495</v>
      </c>
      <c r="Q278" s="1373">
        <v>0.42899999999999999</v>
      </c>
      <c r="R278" s="1373">
        <v>0.38500000000000001</v>
      </c>
      <c r="S278" s="1373">
        <v>0.31900000000000001</v>
      </c>
      <c r="T278" s="1265"/>
      <c r="U278" s="1265"/>
      <c r="V278" s="1265"/>
      <c r="W278" s="1265"/>
      <c r="X278" s="1265"/>
      <c r="Y278" s="1265"/>
      <c r="Z278" s="1265"/>
      <c r="AA278" s="1265"/>
      <c r="AB278" s="1381">
        <v>500</v>
      </c>
      <c r="AC278" s="1381">
        <v>0.54500000000000004</v>
      </c>
      <c r="AD278" s="1381">
        <v>0.46800000000000003</v>
      </c>
      <c r="AE278" s="1381">
        <v>0.42899999999999999</v>
      </c>
      <c r="AF278" s="1381">
        <v>0.41799999999999998</v>
      </c>
      <c r="AG278" s="1381">
        <v>0.31900000000000001</v>
      </c>
      <c r="AH278" s="1280"/>
      <c r="AI278" s="1280"/>
      <c r="AJ278" s="1280"/>
      <c r="AK278" s="1280"/>
      <c r="AL278" s="1280"/>
      <c r="AM278" s="1280"/>
      <c r="AN278" s="1280"/>
      <c r="AO278" s="1280"/>
      <c r="AP278" s="1347">
        <v>200</v>
      </c>
      <c r="AQ278" s="1296">
        <f t="shared" si="24"/>
        <v>0.64900000000000002</v>
      </c>
      <c r="AR278" s="1296">
        <f t="shared" si="24"/>
        <v>0.58850000000000013</v>
      </c>
      <c r="AS278" s="1296">
        <f t="shared" si="24"/>
        <v>0.53900000000000003</v>
      </c>
      <c r="AT278" s="1296"/>
      <c r="AU278" s="1296"/>
      <c r="AV278" s="1290"/>
      <c r="AW278" s="1290"/>
      <c r="AX278" s="1290"/>
      <c r="AY278" s="1290"/>
      <c r="AZ278" s="1290"/>
      <c r="BA278" s="1290"/>
      <c r="BB278" s="1290"/>
      <c r="BC278" s="1290"/>
      <c r="BD278" s="204">
        <v>100</v>
      </c>
      <c r="BE278" s="204">
        <f t="shared" si="25"/>
        <v>0.70950000000000013</v>
      </c>
      <c r="BF278" s="204">
        <f t="shared" si="25"/>
        <v>0.64349999999999996</v>
      </c>
      <c r="BG278" s="204">
        <f t="shared" si="25"/>
        <v>0.58300000000000007</v>
      </c>
      <c r="BH278" s="204"/>
      <c r="BI278" s="204"/>
      <c r="BJ278" s="1246"/>
      <c r="BK278" s="1246"/>
      <c r="BL278" s="1246"/>
      <c r="BM278" s="1246"/>
      <c r="BN278" s="1246"/>
      <c r="BO278" s="1246"/>
      <c r="BP278" s="1246"/>
      <c r="BQ278" s="1246"/>
    </row>
    <row r="279" spans="14:69" x14ac:dyDescent="0.25">
      <c r="N279" s="1407">
        <v>500</v>
      </c>
      <c r="O279" s="1373">
        <v>0.627</v>
      </c>
      <c r="P279" s="1373">
        <v>0.57199999999999995</v>
      </c>
      <c r="Q279" s="1373">
        <v>0.501</v>
      </c>
      <c r="R279" s="1373">
        <v>0.44</v>
      </c>
      <c r="S279" s="1373">
        <v>0.38500000000000001</v>
      </c>
      <c r="T279" s="1265"/>
      <c r="U279" s="1265"/>
      <c r="V279" s="1265"/>
      <c r="W279" s="1265"/>
      <c r="X279" s="1265"/>
      <c r="Y279" s="1265"/>
      <c r="Z279" s="1265"/>
      <c r="AA279" s="1265"/>
      <c r="AB279" s="1381">
        <v>200</v>
      </c>
      <c r="AC279" s="1381">
        <v>0.64900000000000002</v>
      </c>
      <c r="AD279" s="1381">
        <v>0.58899999999999997</v>
      </c>
      <c r="AE279" s="1381">
        <v>0.53900000000000003</v>
      </c>
      <c r="AF279" s="1381">
        <v>0.46200000000000002</v>
      </c>
      <c r="AG279" s="1381">
        <v>0.33</v>
      </c>
      <c r="AH279" s="1280"/>
      <c r="AI279" s="1280"/>
      <c r="AJ279" s="1280"/>
      <c r="AK279" s="1280"/>
      <c r="AL279" s="1280"/>
      <c r="AM279" s="1280"/>
      <c r="AN279" s="1280"/>
      <c r="AO279" s="1280"/>
      <c r="AP279" s="1347">
        <v>100</v>
      </c>
      <c r="AQ279" s="1296">
        <f t="shared" si="24"/>
        <v>0.70950000000000013</v>
      </c>
      <c r="AR279" s="1296">
        <f t="shared" si="24"/>
        <v>0.64349999999999996</v>
      </c>
      <c r="AS279" s="1296">
        <f t="shared" si="24"/>
        <v>0.58300000000000007</v>
      </c>
      <c r="AT279" s="1296"/>
      <c r="AU279" s="1296"/>
      <c r="AV279" s="1290"/>
      <c r="AW279" s="1290"/>
      <c r="AX279" s="1290"/>
      <c r="AY279" s="1290"/>
      <c r="AZ279" s="1290"/>
      <c r="BA279" s="1290"/>
      <c r="BB279" s="1290"/>
      <c r="BC279" s="1290"/>
      <c r="BD279" s="204">
        <v>50</v>
      </c>
      <c r="BE279" s="204">
        <f t="shared" si="25"/>
        <v>0.78100000000000003</v>
      </c>
      <c r="BF279" s="204">
        <f t="shared" si="25"/>
        <v>0.72050000000000014</v>
      </c>
      <c r="BG279" s="204">
        <f t="shared" si="25"/>
        <v>0.64900000000000002</v>
      </c>
      <c r="BH279" s="204"/>
      <c r="BI279" s="204"/>
      <c r="BJ279" s="1246"/>
      <c r="BK279" s="1246"/>
      <c r="BL279" s="1246"/>
      <c r="BM279" s="1246"/>
      <c r="BN279" s="1246"/>
      <c r="BO279" s="1246"/>
      <c r="BP279" s="1246"/>
      <c r="BQ279" s="1246"/>
    </row>
    <row r="280" spans="14:69" x14ac:dyDescent="0.25">
      <c r="N280" s="1407">
        <v>200</v>
      </c>
      <c r="O280" s="1373">
        <v>0.748</v>
      </c>
      <c r="P280" s="1373">
        <v>0.70399999999999996</v>
      </c>
      <c r="Q280" s="1373">
        <v>0.622</v>
      </c>
      <c r="R280" s="1373">
        <v>0.53400000000000003</v>
      </c>
      <c r="S280" s="1373">
        <v>0.44</v>
      </c>
      <c r="T280" s="1265"/>
      <c r="U280" s="1265"/>
      <c r="V280" s="1265"/>
      <c r="W280" s="1265"/>
      <c r="X280" s="1265"/>
      <c r="Y280" s="1265"/>
      <c r="Z280" s="1265"/>
      <c r="AA280" s="1265"/>
      <c r="AB280" s="1381">
        <v>100</v>
      </c>
      <c r="AC280" s="1381">
        <v>0.71</v>
      </c>
      <c r="AD280" s="1381">
        <v>0.64400000000000002</v>
      </c>
      <c r="AE280" s="1381">
        <v>0.58299999999999996</v>
      </c>
      <c r="AF280" s="1381">
        <v>0.52800000000000002</v>
      </c>
      <c r="AG280" s="1381">
        <v>0.44</v>
      </c>
      <c r="AH280" s="1280"/>
      <c r="AI280" s="1280"/>
      <c r="AJ280" s="1280"/>
      <c r="AK280" s="1280"/>
      <c r="AL280" s="1280"/>
      <c r="AM280" s="1280"/>
      <c r="AN280" s="1280"/>
      <c r="AO280" s="1280"/>
      <c r="AP280" s="1347">
        <v>50</v>
      </c>
      <c r="AQ280" s="1296">
        <f t="shared" si="24"/>
        <v>0.78100000000000003</v>
      </c>
      <c r="AR280" s="1296">
        <f t="shared" si="24"/>
        <v>0.72050000000000014</v>
      </c>
      <c r="AS280" s="1296">
        <f t="shared" si="24"/>
        <v>0.64900000000000002</v>
      </c>
      <c r="AT280" s="1296"/>
      <c r="AU280" s="1296"/>
      <c r="AV280" s="1290"/>
      <c r="AW280" s="1290"/>
      <c r="AX280" s="1290"/>
      <c r="AY280" s="1290"/>
      <c r="AZ280" s="1290"/>
      <c r="BA280" s="1290"/>
      <c r="BB280" s="1290"/>
      <c r="BC280" s="1290"/>
      <c r="BD280" s="204">
        <v>20</v>
      </c>
      <c r="BE280" s="204">
        <f t="shared" si="25"/>
        <v>0.92949999999999999</v>
      </c>
      <c r="BF280" s="204">
        <f t="shared" si="25"/>
        <v>0.84700000000000009</v>
      </c>
      <c r="BG280" s="204">
        <f t="shared" si="25"/>
        <v>0.77549999999999997</v>
      </c>
      <c r="BH280" s="204"/>
      <c r="BI280" s="204"/>
      <c r="BJ280" s="1246"/>
      <c r="BK280" s="1246"/>
      <c r="BL280" s="1246"/>
      <c r="BM280" s="1246"/>
      <c r="BN280" s="1246"/>
      <c r="BO280" s="1246"/>
      <c r="BP280" s="1246"/>
      <c r="BQ280" s="1246"/>
    </row>
    <row r="281" spans="14:69" x14ac:dyDescent="0.25">
      <c r="N281" s="1407">
        <v>100</v>
      </c>
      <c r="O281" s="1373">
        <v>0.81399999999999995</v>
      </c>
      <c r="P281" s="1373">
        <v>0.75900000000000001</v>
      </c>
      <c r="Q281" s="1373">
        <v>0.67100000000000004</v>
      </c>
      <c r="R281" s="1373">
        <v>0.58899999999999997</v>
      </c>
      <c r="S281" s="1373">
        <v>0.50600000000000001</v>
      </c>
      <c r="T281" s="1265"/>
      <c r="U281" s="1265"/>
      <c r="V281" s="1265"/>
      <c r="W281" s="1265"/>
      <c r="X281" s="1265"/>
      <c r="Y281" s="1265"/>
      <c r="Z281" s="1265"/>
      <c r="AA281" s="1265"/>
      <c r="AB281" s="1381">
        <v>50</v>
      </c>
      <c r="AC281" s="1381">
        <v>0.78100000000000003</v>
      </c>
      <c r="AD281" s="1381">
        <v>0.72099999999999997</v>
      </c>
      <c r="AE281" s="1381">
        <v>0.64900000000000002</v>
      </c>
      <c r="AF281" s="1381">
        <v>0.57799999999999996</v>
      </c>
      <c r="AG281" s="1381">
        <v>0.48399999999999999</v>
      </c>
      <c r="AH281" s="1280"/>
      <c r="AI281" s="1280"/>
      <c r="AJ281" s="1280"/>
      <c r="AK281" s="1280"/>
      <c r="AL281" s="1280"/>
      <c r="AM281" s="1280"/>
      <c r="AN281" s="1280"/>
      <c r="AO281" s="1280"/>
      <c r="AP281" s="1347">
        <v>20</v>
      </c>
      <c r="AQ281" s="1296">
        <f t="shared" si="24"/>
        <v>0.92949999999999999</v>
      </c>
      <c r="AR281" s="1296">
        <f t="shared" si="24"/>
        <v>0.84700000000000009</v>
      </c>
      <c r="AS281" s="1296">
        <f t="shared" si="24"/>
        <v>0.77549999999999997</v>
      </c>
      <c r="AT281" s="1296"/>
      <c r="AU281" s="1296"/>
      <c r="AV281" s="1290"/>
      <c r="AW281" s="1290"/>
      <c r="AX281" s="1290"/>
      <c r="AY281" s="1290"/>
      <c r="AZ281" s="1290"/>
      <c r="BA281" s="1290"/>
      <c r="BB281" s="1290"/>
      <c r="BC281" s="1290"/>
      <c r="BD281" s="204">
        <v>10</v>
      </c>
      <c r="BE281" s="204">
        <f t="shared" si="25"/>
        <v>1.0725</v>
      </c>
      <c r="BF281" s="204">
        <f t="shared" si="25"/>
        <v>0.97350000000000014</v>
      </c>
      <c r="BG281" s="204">
        <f t="shared" si="25"/>
        <v>0.88550000000000018</v>
      </c>
      <c r="BH281" s="204"/>
      <c r="BI281" s="204"/>
      <c r="BJ281" s="1246"/>
      <c r="BK281" s="1246"/>
      <c r="BL281" s="1246"/>
      <c r="BM281" s="1246"/>
      <c r="BN281" s="1246"/>
      <c r="BO281" s="1246"/>
      <c r="BP281" s="1246"/>
      <c r="BQ281" s="1246"/>
    </row>
    <row r="282" spans="14:69" x14ac:dyDescent="0.25">
      <c r="N282" s="1407">
        <v>50</v>
      </c>
      <c r="O282" s="1373">
        <v>0.89700000000000002</v>
      </c>
      <c r="P282" s="1373">
        <v>0.84199999999999997</v>
      </c>
      <c r="Q282" s="1373">
        <v>0.748</v>
      </c>
      <c r="R282" s="1373">
        <v>0.65500000000000003</v>
      </c>
      <c r="S282" s="1373">
        <v>0.55600000000000005</v>
      </c>
      <c r="T282" s="1265"/>
      <c r="U282" s="1265"/>
      <c r="V282" s="1265"/>
      <c r="W282" s="1265"/>
      <c r="X282" s="1265"/>
      <c r="Y282" s="1265"/>
      <c r="Z282" s="1265"/>
      <c r="AA282" s="1265"/>
      <c r="AB282" s="1381">
        <v>20</v>
      </c>
      <c r="AC282" s="1381">
        <v>0.93</v>
      </c>
      <c r="AD282" s="1381">
        <v>0.84699999999999998</v>
      </c>
      <c r="AE282" s="1381">
        <v>0.77600000000000002</v>
      </c>
      <c r="AF282" s="1381">
        <v>0.69299999999999995</v>
      </c>
      <c r="AG282" s="1381">
        <v>0.61099999999999999</v>
      </c>
      <c r="AH282" s="1280"/>
      <c r="AI282" s="1280"/>
      <c r="AJ282" s="1280"/>
      <c r="AK282" s="1280"/>
      <c r="AL282" s="1280"/>
      <c r="AM282" s="1280"/>
      <c r="AN282" s="1280"/>
      <c r="AO282" s="1280"/>
      <c r="AP282" s="1347">
        <v>10</v>
      </c>
      <c r="AQ282" s="1296">
        <f t="shared" si="24"/>
        <v>1.0725</v>
      </c>
      <c r="AR282" s="1296">
        <f t="shared" si="24"/>
        <v>0.97350000000000014</v>
      </c>
      <c r="AS282" s="1296">
        <f t="shared" si="24"/>
        <v>0.88550000000000018</v>
      </c>
      <c r="AT282" s="1296"/>
      <c r="AU282" s="1296"/>
      <c r="AV282" s="1290"/>
      <c r="AW282" s="1290"/>
      <c r="AX282" s="1290"/>
      <c r="AY282" s="1290"/>
      <c r="AZ282" s="1290"/>
      <c r="BA282" s="1290"/>
      <c r="BB282" s="1290"/>
      <c r="BC282" s="1290"/>
      <c r="BD282" s="204">
        <v>7</v>
      </c>
      <c r="BE282" s="204">
        <f t="shared" si="25"/>
        <v>0</v>
      </c>
      <c r="BF282" s="204">
        <f t="shared" si="25"/>
        <v>0</v>
      </c>
      <c r="BG282" s="204">
        <f t="shared" si="25"/>
        <v>0.92400000000000004</v>
      </c>
      <c r="BH282" s="204"/>
      <c r="BI282" s="204"/>
      <c r="BJ282" s="1246"/>
      <c r="BK282" s="1246"/>
      <c r="BL282" s="1246"/>
      <c r="BM282" s="1246"/>
      <c r="BN282" s="1246"/>
      <c r="BO282" s="1246"/>
      <c r="BP282" s="1246"/>
      <c r="BQ282" s="1246"/>
    </row>
    <row r="283" spans="14:69" x14ac:dyDescent="0.25">
      <c r="N283" s="1407">
        <v>20</v>
      </c>
      <c r="O283" s="1373">
        <v>1.0669999999999999</v>
      </c>
      <c r="P283" s="1373">
        <v>1.0069999999999999</v>
      </c>
      <c r="Q283" s="1373">
        <v>0.89100000000000001</v>
      </c>
      <c r="R283" s="1373">
        <v>0.76500000000000001</v>
      </c>
      <c r="S283" s="1373">
        <v>0.67700000000000005</v>
      </c>
      <c r="T283" s="1265"/>
      <c r="U283" s="1265"/>
      <c r="V283" s="1265"/>
      <c r="W283" s="1265"/>
      <c r="X283" s="1265"/>
      <c r="Y283" s="1265"/>
      <c r="Z283" s="1265"/>
      <c r="AA283" s="1265"/>
      <c r="AB283" s="1381">
        <v>10</v>
      </c>
      <c r="AC283" s="1381">
        <v>1.073</v>
      </c>
      <c r="AD283" s="1381">
        <v>0.97399999999999998</v>
      </c>
      <c r="AE283" s="1381">
        <v>0.88600000000000001</v>
      </c>
      <c r="AF283" s="1381">
        <v>0.79200000000000004</v>
      </c>
      <c r="AG283" s="1381">
        <v>0.70399999999999996</v>
      </c>
      <c r="AH283" s="1280"/>
      <c r="AI283" s="1280"/>
      <c r="AJ283" s="1280"/>
      <c r="AK283" s="1280"/>
      <c r="AL283" s="1280"/>
      <c r="AM283" s="1280"/>
      <c r="AN283" s="1280"/>
      <c r="AO283" s="1280"/>
      <c r="AP283" s="1347">
        <v>7</v>
      </c>
      <c r="AQ283" s="1296">
        <f t="shared" si="24"/>
        <v>0</v>
      </c>
      <c r="AR283" s="1296">
        <f t="shared" si="24"/>
        <v>0</v>
      </c>
      <c r="AS283" s="1296">
        <f t="shared" si="24"/>
        <v>0.92400000000000004</v>
      </c>
      <c r="AT283" s="1296"/>
      <c r="AU283" s="1296"/>
      <c r="AV283" s="1290"/>
      <c r="AW283" s="1290"/>
      <c r="AX283" s="1290"/>
      <c r="AY283" s="1290"/>
      <c r="AZ283" s="1290"/>
      <c r="BA283" s="1290"/>
      <c r="BB283" s="1290"/>
      <c r="BC283" s="1290"/>
      <c r="BD283" s="204">
        <v>3</v>
      </c>
      <c r="BE283" s="204">
        <f t="shared" si="25"/>
        <v>0</v>
      </c>
      <c r="BF283" s="204">
        <f t="shared" si="25"/>
        <v>0</v>
      </c>
      <c r="BG283" s="204">
        <f t="shared" si="25"/>
        <v>1.0230000000000001</v>
      </c>
      <c r="BH283" s="204"/>
      <c r="BI283" s="204"/>
      <c r="BJ283" s="1246"/>
      <c r="BK283" s="1246"/>
      <c r="BL283" s="1246"/>
      <c r="BM283" s="1246"/>
      <c r="BN283" s="1246"/>
      <c r="BO283" s="1246"/>
      <c r="BP283" s="1246"/>
      <c r="BQ283" s="1246"/>
    </row>
    <row r="284" spans="14:69" ht="15.75" customHeight="1" x14ac:dyDescent="0.25">
      <c r="N284" s="1407">
        <v>10</v>
      </c>
      <c r="O284" s="1373">
        <v>1.2210000000000001</v>
      </c>
      <c r="P284" s="1373">
        <v>1.1499999999999999</v>
      </c>
      <c r="Q284" s="1373">
        <v>1.0229999999999999</v>
      </c>
      <c r="R284" s="1373">
        <v>0.89100000000000001</v>
      </c>
      <c r="S284" s="1373">
        <v>0.79800000000000004</v>
      </c>
      <c r="T284" s="1265"/>
      <c r="U284" s="1265"/>
      <c r="V284" s="1265"/>
      <c r="W284" s="1265"/>
      <c r="X284" s="1265"/>
      <c r="Y284" s="1265"/>
      <c r="Z284" s="1265"/>
      <c r="AA284" s="1265"/>
      <c r="AB284" s="1381">
        <v>7</v>
      </c>
      <c r="AC284" s="1381">
        <v>0</v>
      </c>
      <c r="AD284" s="1381">
        <v>0</v>
      </c>
      <c r="AE284" s="1381">
        <v>0.92400000000000004</v>
      </c>
      <c r="AF284" s="1381">
        <v>0.82499999999999996</v>
      </c>
      <c r="AG284" s="1381">
        <v>0.73699999999999999</v>
      </c>
      <c r="AH284" s="1280"/>
      <c r="AI284" s="1280"/>
      <c r="AJ284" s="1280"/>
      <c r="AK284" s="1280"/>
      <c r="AL284" s="1280"/>
      <c r="AM284" s="1280"/>
      <c r="AN284" s="1280"/>
      <c r="AO284" s="1280"/>
      <c r="AP284" s="1297"/>
      <c r="AQ284" s="1297"/>
      <c r="AR284" s="1297"/>
      <c r="AS284" s="1297"/>
      <c r="AT284" s="1297"/>
      <c r="AU284" s="1297"/>
      <c r="AV284" s="1290"/>
      <c r="AW284" s="1290"/>
      <c r="AX284" s="1290"/>
      <c r="AY284" s="1290"/>
      <c r="AZ284" s="1290"/>
      <c r="BA284" s="1290"/>
      <c r="BB284" s="1290"/>
      <c r="BC284" s="1290"/>
      <c r="BD284" s="201"/>
      <c r="BE284" s="201"/>
      <c r="BF284" s="201"/>
      <c r="BG284" s="201"/>
      <c r="BH284" s="201"/>
      <c r="BI284" s="201"/>
      <c r="BJ284" s="1246"/>
      <c r="BK284" s="1246"/>
      <c r="BL284" s="1246"/>
      <c r="BM284" s="1246"/>
      <c r="BN284" s="1246"/>
      <c r="BO284" s="1246"/>
      <c r="BP284" s="1246"/>
      <c r="BQ284" s="1246"/>
    </row>
    <row r="285" spans="14:69" x14ac:dyDescent="0.25">
      <c r="N285" s="1271" t="s">
        <v>195</v>
      </c>
      <c r="O285" s="1272"/>
      <c r="P285" s="1271"/>
      <c r="Q285" s="1271"/>
      <c r="R285" s="1272"/>
      <c r="S285" s="1272"/>
      <c r="T285" s="1265"/>
      <c r="U285" s="1265"/>
      <c r="V285" s="1265"/>
      <c r="W285" s="1265"/>
      <c r="X285" s="1265"/>
      <c r="Y285" s="1265"/>
      <c r="Z285" s="1265"/>
      <c r="AA285" s="1265"/>
      <c r="AB285" s="1284" t="s">
        <v>195</v>
      </c>
      <c r="AC285" s="1285"/>
      <c r="AD285" s="1284"/>
      <c r="AE285" s="1284"/>
      <c r="AF285" s="1285"/>
      <c r="AG285" s="1285"/>
      <c r="AH285" s="1280"/>
      <c r="AI285" s="1280"/>
      <c r="AJ285" s="1280"/>
      <c r="AK285" s="1280"/>
      <c r="AL285" s="1280"/>
      <c r="AM285" s="1280"/>
      <c r="AN285" s="1280"/>
      <c r="AO285" s="1280"/>
      <c r="AP285" s="1299" t="s">
        <v>195</v>
      </c>
      <c r="AQ285" s="1300"/>
      <c r="AR285" s="1299"/>
      <c r="AS285" s="1299"/>
      <c r="AT285" s="1300"/>
      <c r="AU285" s="1300"/>
      <c r="AV285" s="1300"/>
      <c r="AW285" s="1300"/>
      <c r="AX285" s="1300"/>
      <c r="AY285" s="1300"/>
      <c r="AZ285" s="1290"/>
      <c r="BA285" s="1290"/>
      <c r="BB285" s="1290"/>
      <c r="BC285" s="1290"/>
      <c r="BD285" s="1250" t="s">
        <v>196</v>
      </c>
      <c r="BE285" s="1251"/>
      <c r="BF285" s="1250"/>
      <c r="BG285" s="1250"/>
      <c r="BH285" s="1251"/>
      <c r="BI285" s="1251"/>
      <c r="BJ285" s="1246"/>
      <c r="BK285" s="1246"/>
      <c r="BL285" s="1246"/>
      <c r="BM285" s="1246"/>
      <c r="BN285" s="1246"/>
      <c r="BO285" s="1246"/>
      <c r="BP285" s="1246"/>
      <c r="BQ285" s="1246"/>
    </row>
    <row r="286" spans="14:69" x14ac:dyDescent="0.25">
      <c r="N286" s="1944" t="s">
        <v>162</v>
      </c>
      <c r="O286" s="1944" t="s">
        <v>117</v>
      </c>
      <c r="P286" s="1944"/>
      <c r="Q286" s="1944"/>
      <c r="R286" s="1944"/>
      <c r="S286" s="1944"/>
      <c r="T286" s="1265"/>
      <c r="U286" s="1265"/>
      <c r="V286" s="1265"/>
      <c r="W286" s="1265"/>
      <c r="X286" s="1265"/>
      <c r="Y286" s="1265"/>
      <c r="Z286" s="1265"/>
      <c r="AA286" s="1265"/>
      <c r="AB286" s="1962" t="s">
        <v>162</v>
      </c>
      <c r="AC286" s="1957" t="s">
        <v>117</v>
      </c>
      <c r="AD286" s="1958"/>
      <c r="AE286" s="1958"/>
      <c r="AF286" s="1958"/>
      <c r="AG286" s="1959"/>
      <c r="AH286" s="1280"/>
      <c r="AI286" s="1280"/>
      <c r="AJ286" s="1280"/>
      <c r="AK286" s="1280"/>
      <c r="AL286" s="1280"/>
      <c r="AM286" s="1280"/>
      <c r="AN286" s="1280"/>
      <c r="AO286" s="1280"/>
      <c r="AP286" s="1934" t="s">
        <v>162</v>
      </c>
      <c r="AQ286" s="1931" t="s">
        <v>117</v>
      </c>
      <c r="AR286" s="1932"/>
      <c r="AS286" s="1932"/>
      <c r="AT286" s="1932"/>
      <c r="AU286" s="1933"/>
      <c r="AV286" s="1290"/>
      <c r="AW286" s="1290"/>
      <c r="AX286" s="1290"/>
      <c r="AY286" s="1290"/>
      <c r="AZ286" s="1290"/>
      <c r="BA286" s="1290"/>
      <c r="BB286" s="1290"/>
      <c r="BC286" s="1290"/>
      <c r="BD286" s="1963" t="s">
        <v>162</v>
      </c>
      <c r="BE286" s="1998" t="s">
        <v>117</v>
      </c>
      <c r="BF286" s="1999"/>
      <c r="BG286" s="1999"/>
      <c r="BH286" s="1999"/>
      <c r="BI286" s="2000"/>
      <c r="BJ286" s="1246"/>
      <c r="BK286" s="1246"/>
      <c r="BL286" s="1246"/>
      <c r="BM286" s="1246"/>
      <c r="BN286" s="1246"/>
      <c r="BO286" s="1246"/>
      <c r="BP286" s="1246"/>
      <c r="BQ286" s="1246"/>
    </row>
    <row r="287" spans="14:69" x14ac:dyDescent="0.25">
      <c r="N287" s="1944"/>
      <c r="O287" s="1373" t="s">
        <v>118</v>
      </c>
      <c r="P287" s="1373" t="s">
        <v>163</v>
      </c>
      <c r="Q287" s="1373" t="s">
        <v>164</v>
      </c>
      <c r="R287" s="1373" t="s">
        <v>165</v>
      </c>
      <c r="S287" s="1373" t="s">
        <v>166</v>
      </c>
      <c r="T287" s="1265"/>
      <c r="U287" s="1265"/>
      <c r="V287" s="1265"/>
      <c r="W287" s="1265"/>
      <c r="X287" s="1265"/>
      <c r="Y287" s="1265"/>
      <c r="Z287" s="1265"/>
      <c r="AA287" s="1265"/>
      <c r="AB287" s="1962"/>
      <c r="AC287" s="1381" t="s">
        <v>118</v>
      </c>
      <c r="AD287" s="1381" t="s">
        <v>163</v>
      </c>
      <c r="AE287" s="1381" t="s">
        <v>164</v>
      </c>
      <c r="AF287" s="1381" t="s">
        <v>165</v>
      </c>
      <c r="AG287" s="1381" t="s">
        <v>166</v>
      </c>
      <c r="AH287" s="1280"/>
      <c r="AI287" s="1280"/>
      <c r="AJ287" s="1280"/>
      <c r="AK287" s="1280"/>
      <c r="AL287" s="1280"/>
      <c r="AM287" s="1280"/>
      <c r="AN287" s="1280"/>
      <c r="AO287" s="1280"/>
      <c r="AP287" s="1934"/>
      <c r="AQ287" s="1405" t="s">
        <v>118</v>
      </c>
      <c r="AR287" s="1405" t="s">
        <v>163</v>
      </c>
      <c r="AS287" s="1296" t="s">
        <v>164</v>
      </c>
      <c r="AT287" s="1296" t="s">
        <v>165</v>
      </c>
      <c r="AU287" s="1296" t="s">
        <v>166</v>
      </c>
      <c r="AV287" s="1290"/>
      <c r="AW287" s="1290"/>
      <c r="AX287" s="1290"/>
      <c r="AY287" s="1290"/>
      <c r="AZ287" s="1290"/>
      <c r="BA287" s="1290"/>
      <c r="BB287" s="1290"/>
      <c r="BC287" s="1290"/>
      <c r="BD287" s="1963"/>
      <c r="BE287" s="1405" t="s">
        <v>118</v>
      </c>
      <c r="BF287" s="1405" t="s">
        <v>163</v>
      </c>
      <c r="BG287" s="204" t="s">
        <v>164</v>
      </c>
      <c r="BH287" s="204" t="s">
        <v>165</v>
      </c>
      <c r="BI287" s="204" t="s">
        <v>166</v>
      </c>
      <c r="BJ287" s="1246"/>
      <c r="BK287" s="1246"/>
      <c r="BL287" s="1246"/>
      <c r="BM287" s="1246"/>
      <c r="BN287" s="1246"/>
      <c r="BO287" s="1246"/>
      <c r="BP287" s="1246"/>
      <c r="BQ287" s="1246"/>
    </row>
    <row r="288" spans="14:69" x14ac:dyDescent="0.25">
      <c r="N288" s="1373"/>
      <c r="O288" s="1373">
        <v>0</v>
      </c>
      <c r="P288" s="1373">
        <v>1</v>
      </c>
      <c r="Q288" s="1373">
        <v>2</v>
      </c>
      <c r="R288" s="1373">
        <v>3</v>
      </c>
      <c r="S288" s="1373">
        <v>4</v>
      </c>
      <c r="T288" s="1265"/>
      <c r="U288" s="1265"/>
      <c r="V288" s="1265"/>
      <c r="W288" s="1265"/>
      <c r="X288" s="1265"/>
      <c r="Y288" s="1265"/>
      <c r="Z288" s="1265"/>
      <c r="AA288" s="1265"/>
      <c r="AB288" s="1381"/>
      <c r="AC288" s="1381">
        <v>0</v>
      </c>
      <c r="AD288" s="1381">
        <v>1</v>
      </c>
      <c r="AE288" s="1381">
        <v>2</v>
      </c>
      <c r="AF288" s="1381">
        <v>3</v>
      </c>
      <c r="AG288" s="1381">
        <v>4</v>
      </c>
      <c r="AH288" s="1280"/>
      <c r="AI288" s="1280"/>
      <c r="AJ288" s="1280"/>
      <c r="AK288" s="1280"/>
      <c r="AL288" s="1280"/>
      <c r="AM288" s="1280"/>
      <c r="AN288" s="1280"/>
      <c r="AO288" s="1280"/>
      <c r="AP288" s="1296"/>
      <c r="AQ288" s="1405">
        <v>0</v>
      </c>
      <c r="AR288" s="1405">
        <v>1</v>
      </c>
      <c r="AS288" s="1296">
        <v>2</v>
      </c>
      <c r="AT288" s="1296">
        <v>3</v>
      </c>
      <c r="AU288" s="1296">
        <v>4</v>
      </c>
      <c r="AV288" s="1290"/>
      <c r="AW288" s="1290"/>
      <c r="AX288" s="1290"/>
      <c r="AY288" s="1290"/>
      <c r="AZ288" s="1290"/>
      <c r="BA288" s="1290"/>
      <c r="BB288" s="1290"/>
      <c r="BC288" s="1290"/>
      <c r="BD288" s="204"/>
      <c r="BE288" s="1406"/>
      <c r="BF288" s="1406">
        <v>1</v>
      </c>
      <c r="BG288" s="204">
        <v>2</v>
      </c>
      <c r="BH288" s="204">
        <v>3</v>
      </c>
      <c r="BI288" s="204">
        <v>4</v>
      </c>
      <c r="BJ288" s="1246"/>
      <c r="BK288" s="1246"/>
      <c r="BL288" s="1246"/>
      <c r="BM288" s="1246"/>
      <c r="BN288" s="1246"/>
      <c r="BO288" s="1246"/>
      <c r="BP288" s="1246"/>
      <c r="BQ288" s="1246"/>
    </row>
    <row r="289" spans="14:69" x14ac:dyDescent="0.25">
      <c r="N289" s="1407">
        <v>10000</v>
      </c>
      <c r="O289" s="1408">
        <v>0.63</v>
      </c>
      <c r="P289" s="1408">
        <v>0.49</v>
      </c>
      <c r="Q289" s="1408">
        <v>0.43</v>
      </c>
      <c r="R289" s="1408">
        <v>0.36</v>
      </c>
      <c r="S289" s="1408">
        <f>S290</f>
        <v>0.98</v>
      </c>
      <c r="T289" s="1265"/>
      <c r="U289" s="1265"/>
      <c r="V289" s="1265"/>
      <c r="W289" s="1265"/>
      <c r="X289" s="1265"/>
      <c r="Y289" s="1265"/>
      <c r="Z289" s="1265"/>
      <c r="AA289" s="1265"/>
      <c r="AB289" s="1381">
        <v>8000</v>
      </c>
      <c r="AC289" s="1381">
        <v>0.65</v>
      </c>
      <c r="AD289" s="1381">
        <v>0.56000000000000005</v>
      </c>
      <c r="AE289" s="1381">
        <v>0.51</v>
      </c>
      <c r="AF289" s="1381">
        <v>0.41</v>
      </c>
      <c r="AG289" s="1381">
        <f>AG290</f>
        <v>0.49</v>
      </c>
      <c r="AH289" s="1280"/>
      <c r="AI289" s="1280"/>
      <c r="AJ289" s="1280"/>
      <c r="AK289" s="1280"/>
      <c r="AL289" s="1280"/>
      <c r="AM289" s="1280"/>
      <c r="AN289" s="1280"/>
      <c r="AO289" s="1280"/>
      <c r="AP289" s="1347">
        <v>5000</v>
      </c>
      <c r="AQ289" s="1405">
        <v>0</v>
      </c>
      <c r="AR289" s="1405">
        <v>0</v>
      </c>
      <c r="AS289" s="1296">
        <v>0.67</v>
      </c>
      <c r="AT289" s="1296">
        <v>0.64</v>
      </c>
      <c r="AU289" s="1296">
        <v>0.49</v>
      </c>
      <c r="AV289" s="1290"/>
      <c r="AW289" s="1290"/>
      <c r="AX289" s="1290"/>
      <c r="AY289" s="1290"/>
      <c r="AZ289" s="1290"/>
      <c r="BA289" s="1290"/>
      <c r="BB289" s="1290"/>
      <c r="BC289" s="1290"/>
      <c r="BD289" s="204">
        <v>2000</v>
      </c>
      <c r="BE289" s="1406"/>
      <c r="BF289" s="1406"/>
      <c r="BG289" s="204">
        <v>0.87</v>
      </c>
      <c r="BH289" s="204">
        <v>0.84</v>
      </c>
      <c r="BI289" s="204">
        <v>0.64</v>
      </c>
      <c r="BJ289" s="1246"/>
      <c r="BK289" s="1246"/>
      <c r="BL289" s="1246"/>
      <c r="BM289" s="1246"/>
      <c r="BN289" s="1246"/>
      <c r="BO289" s="1246"/>
      <c r="BP289" s="1246"/>
      <c r="BQ289" s="1246"/>
    </row>
    <row r="290" spans="14:69" x14ac:dyDescent="0.25">
      <c r="N290" s="1407">
        <v>8000</v>
      </c>
      <c r="O290" s="1408">
        <v>0.7</v>
      </c>
      <c r="P290" s="1408">
        <v>0.57999999999999996</v>
      </c>
      <c r="Q290" s="1408">
        <v>0.51</v>
      </c>
      <c r="R290" s="1408">
        <v>0.44</v>
      </c>
      <c r="S290" s="1408">
        <f>S291</f>
        <v>0.98</v>
      </c>
      <c r="T290" s="1265"/>
      <c r="U290" s="1265"/>
      <c r="V290" s="1265"/>
      <c r="W290" s="1265"/>
      <c r="X290" s="1265"/>
      <c r="Y290" s="1265"/>
      <c r="Z290" s="1265"/>
      <c r="AA290" s="1265"/>
      <c r="AB290" s="1381">
        <v>5000</v>
      </c>
      <c r="AC290" s="1381">
        <v>0.85</v>
      </c>
      <c r="AD290" s="1381">
        <v>0.72</v>
      </c>
      <c r="AE290" s="1381">
        <v>0.67</v>
      </c>
      <c r="AF290" s="1381">
        <v>0.64</v>
      </c>
      <c r="AG290" s="1381">
        <v>0.49</v>
      </c>
      <c r="AH290" s="1280"/>
      <c r="AI290" s="1280"/>
      <c r="AJ290" s="1280"/>
      <c r="AK290" s="1280"/>
      <c r="AL290" s="1280"/>
      <c r="AM290" s="1280"/>
      <c r="AN290" s="1280"/>
      <c r="AO290" s="1280"/>
      <c r="AP290" s="1347">
        <v>2000</v>
      </c>
      <c r="AQ290" s="1405">
        <v>0</v>
      </c>
      <c r="AR290" s="1405">
        <v>0</v>
      </c>
      <c r="AS290" s="1296">
        <v>0.87</v>
      </c>
      <c r="AT290" s="1296">
        <v>0.84</v>
      </c>
      <c r="AU290" s="1296">
        <v>0.64</v>
      </c>
      <c r="AV290" s="1290"/>
      <c r="AW290" s="1290"/>
      <c r="AX290" s="1290"/>
      <c r="AY290" s="1290"/>
      <c r="AZ290" s="1290"/>
      <c r="BA290" s="1290"/>
      <c r="BB290" s="1290"/>
      <c r="BC290" s="1290"/>
      <c r="BD290" s="204">
        <v>1000</v>
      </c>
      <c r="BE290" s="1406"/>
      <c r="BF290" s="1406"/>
      <c r="BG290" s="204">
        <v>1.02</v>
      </c>
      <c r="BH290" s="204">
        <v>0.99</v>
      </c>
      <c r="BI290" s="204">
        <v>0.76</v>
      </c>
      <c r="BJ290" s="1246"/>
      <c r="BK290" s="1246"/>
      <c r="BL290" s="1246"/>
      <c r="BM290" s="1246"/>
      <c r="BN290" s="1246"/>
      <c r="BO290" s="1246"/>
      <c r="BP290" s="1246"/>
      <c r="BQ290" s="1246"/>
    </row>
    <row r="291" spans="14:69" x14ac:dyDescent="0.25">
      <c r="N291" s="1407">
        <v>5000</v>
      </c>
      <c r="O291" s="1408">
        <v>0.9</v>
      </c>
      <c r="P291" s="1408">
        <v>0.79</v>
      </c>
      <c r="Q291" s="1408">
        <v>0.7</v>
      </c>
      <c r="R291" s="1408">
        <v>0.61</v>
      </c>
      <c r="S291" s="1408">
        <f>S292</f>
        <v>0.98</v>
      </c>
      <c r="T291" s="1265"/>
      <c r="U291" s="1265"/>
      <c r="V291" s="1265"/>
      <c r="W291" s="1265"/>
      <c r="X291" s="1265"/>
      <c r="Y291" s="1265"/>
      <c r="Z291" s="1265"/>
      <c r="AA291" s="1265"/>
      <c r="AB291" s="1381">
        <v>2000</v>
      </c>
      <c r="AC291" s="1381">
        <v>1.1100000000000001</v>
      </c>
      <c r="AD291" s="1381">
        <v>0.94</v>
      </c>
      <c r="AE291" s="1381">
        <v>0.87</v>
      </c>
      <c r="AF291" s="1381">
        <v>0.84</v>
      </c>
      <c r="AG291" s="1381">
        <v>0.64</v>
      </c>
      <c r="AH291" s="1280"/>
      <c r="AI291" s="1280"/>
      <c r="AJ291" s="1280"/>
      <c r="AK291" s="1280"/>
      <c r="AL291" s="1280"/>
      <c r="AM291" s="1280"/>
      <c r="AN291" s="1280"/>
      <c r="AO291" s="1280"/>
      <c r="AP291" s="1347">
        <v>1000</v>
      </c>
      <c r="AQ291" s="1405">
        <v>0</v>
      </c>
      <c r="AR291" s="1405">
        <v>0</v>
      </c>
      <c r="AS291" s="1296">
        <v>1.02</v>
      </c>
      <c r="AT291" s="1296">
        <v>0.99</v>
      </c>
      <c r="AU291" s="1296">
        <v>0.76</v>
      </c>
      <c r="AV291" s="1290"/>
      <c r="AW291" s="1290"/>
      <c r="AX291" s="1290"/>
      <c r="AY291" s="1290"/>
      <c r="AZ291" s="1290"/>
      <c r="BA291" s="1290"/>
      <c r="BB291" s="1290"/>
      <c r="BC291" s="1290"/>
      <c r="BD291" s="204">
        <v>500</v>
      </c>
      <c r="BE291" s="1406"/>
      <c r="BF291" s="1406"/>
      <c r="BG291" s="204">
        <v>1.21</v>
      </c>
      <c r="BH291" s="204">
        <v>1.17</v>
      </c>
      <c r="BI291" s="204">
        <v>0.89</v>
      </c>
      <c r="BJ291" s="1246"/>
      <c r="BK291" s="1246"/>
      <c r="BL291" s="1246"/>
      <c r="BM291" s="1246"/>
      <c r="BN291" s="1246"/>
      <c r="BO291" s="1246"/>
      <c r="BP291" s="1246"/>
      <c r="BQ291" s="1246"/>
    </row>
    <row r="292" spans="14:69" x14ac:dyDescent="0.25">
      <c r="N292" s="1407">
        <v>2000</v>
      </c>
      <c r="O292" s="1408">
        <v>1.19</v>
      </c>
      <c r="P292" s="1408">
        <v>1.07</v>
      </c>
      <c r="Q292" s="1408">
        <v>0.92</v>
      </c>
      <c r="R292" s="1408">
        <v>0.81</v>
      </c>
      <c r="S292" s="1408">
        <f>S293</f>
        <v>0.98</v>
      </c>
      <c r="T292" s="1265"/>
      <c r="U292" s="1265"/>
      <c r="V292" s="1265"/>
      <c r="W292" s="1265"/>
      <c r="X292" s="1265"/>
      <c r="Y292" s="1265"/>
      <c r="Z292" s="1265"/>
      <c r="AA292" s="1265"/>
      <c r="AB292" s="1381">
        <v>1000</v>
      </c>
      <c r="AC292" s="1381">
        <v>1.3</v>
      </c>
      <c r="AD292" s="1381">
        <v>1.1100000000000001</v>
      </c>
      <c r="AE292" s="1381">
        <v>1.02</v>
      </c>
      <c r="AF292" s="1381">
        <v>0.99</v>
      </c>
      <c r="AG292" s="1381">
        <v>0.76</v>
      </c>
      <c r="AH292" s="1280"/>
      <c r="AI292" s="1280"/>
      <c r="AJ292" s="1280"/>
      <c r="AK292" s="1280"/>
      <c r="AL292" s="1280"/>
      <c r="AM292" s="1280"/>
      <c r="AN292" s="1280"/>
      <c r="AO292" s="1280"/>
      <c r="AP292" s="1347">
        <v>500</v>
      </c>
      <c r="AQ292" s="1405">
        <v>0</v>
      </c>
      <c r="AR292" s="1405">
        <v>0</v>
      </c>
      <c r="AS292" s="1296">
        <v>1.21</v>
      </c>
      <c r="AT292" s="1296">
        <v>1.17</v>
      </c>
      <c r="AU292" s="1296">
        <v>0.89</v>
      </c>
      <c r="AV292" s="1290"/>
      <c r="AW292" s="1290"/>
      <c r="AX292" s="1290"/>
      <c r="AY292" s="1290"/>
      <c r="AZ292" s="1290"/>
      <c r="BA292" s="1290"/>
      <c r="BB292" s="1290"/>
      <c r="BC292" s="1290"/>
      <c r="BD292" s="204">
        <v>200</v>
      </c>
      <c r="BE292" s="1406"/>
      <c r="BF292" s="1406"/>
      <c r="BG292" s="204">
        <v>1.51</v>
      </c>
      <c r="BH292" s="204">
        <v>1.29</v>
      </c>
      <c r="BI292" s="204">
        <v>0.92</v>
      </c>
      <c r="BJ292" s="1246"/>
      <c r="BK292" s="1246"/>
      <c r="BL292" s="1246"/>
      <c r="BM292" s="1246"/>
      <c r="BN292" s="1246"/>
      <c r="BO292" s="1246"/>
      <c r="BP292" s="1246"/>
      <c r="BQ292" s="1246"/>
    </row>
    <row r="293" spans="14:69" x14ac:dyDescent="0.25">
      <c r="N293" s="1407">
        <v>1000</v>
      </c>
      <c r="O293" s="1408">
        <v>1.39</v>
      </c>
      <c r="P293" s="1408">
        <v>1.28</v>
      </c>
      <c r="Q293" s="1408">
        <v>1.1399999999999999</v>
      </c>
      <c r="R293" s="1408">
        <v>1.02</v>
      </c>
      <c r="S293" s="1408">
        <f>S294</f>
        <v>0.98</v>
      </c>
      <c r="T293" s="1265"/>
      <c r="U293" s="1265"/>
      <c r="V293" s="1265"/>
      <c r="W293" s="1265"/>
      <c r="X293" s="1265"/>
      <c r="Y293" s="1265"/>
      <c r="Z293" s="1265"/>
      <c r="AA293" s="1265"/>
      <c r="AB293" s="1381">
        <v>500</v>
      </c>
      <c r="AC293" s="1381">
        <v>1.53</v>
      </c>
      <c r="AD293" s="1381">
        <v>1.31</v>
      </c>
      <c r="AE293" s="1381">
        <v>1.21</v>
      </c>
      <c r="AF293" s="1381">
        <v>1.17</v>
      </c>
      <c r="AG293" s="1381">
        <v>0.89</v>
      </c>
      <c r="AH293" s="1280"/>
      <c r="AI293" s="1280"/>
      <c r="AJ293" s="1280"/>
      <c r="AK293" s="1280"/>
      <c r="AL293" s="1280"/>
      <c r="AM293" s="1280"/>
      <c r="AN293" s="1280"/>
      <c r="AO293" s="1280"/>
      <c r="AP293" s="1347">
        <v>200</v>
      </c>
      <c r="AQ293" s="1405">
        <v>0</v>
      </c>
      <c r="AR293" s="1405">
        <v>0</v>
      </c>
      <c r="AS293" s="1296">
        <v>1.51</v>
      </c>
      <c r="AT293" s="1296">
        <v>1.29</v>
      </c>
      <c r="AU293" s="1296">
        <v>0.92</v>
      </c>
      <c r="AV293" s="1290"/>
      <c r="AW293" s="1290"/>
      <c r="AX293" s="1290"/>
      <c r="AY293" s="1290"/>
      <c r="AZ293" s="1290"/>
      <c r="BA293" s="1290"/>
      <c r="BB293" s="1290"/>
      <c r="BC293" s="1290"/>
      <c r="BD293" s="204">
        <v>100</v>
      </c>
      <c r="BE293" s="1406"/>
      <c r="BF293" s="1406"/>
      <c r="BG293" s="204">
        <v>1.64</v>
      </c>
      <c r="BH293" s="204">
        <v>1.48</v>
      </c>
      <c r="BI293" s="204">
        <v>1.23</v>
      </c>
      <c r="BJ293" s="1246"/>
      <c r="BK293" s="1246"/>
      <c r="BL293" s="1246"/>
      <c r="BM293" s="1246"/>
      <c r="BN293" s="1246"/>
      <c r="BO293" s="1246"/>
      <c r="BP293" s="1246"/>
      <c r="BQ293" s="1246"/>
    </row>
    <row r="294" spans="14:69" x14ac:dyDescent="0.25">
      <c r="N294" s="1407">
        <v>500</v>
      </c>
      <c r="O294" s="1408">
        <v>1.64</v>
      </c>
      <c r="P294" s="1408">
        <v>1.49</v>
      </c>
      <c r="Q294" s="1408">
        <v>1.32</v>
      </c>
      <c r="R294" s="1408">
        <v>1.1599999999999999</v>
      </c>
      <c r="S294" s="1408">
        <v>0.98</v>
      </c>
      <c r="T294" s="1265"/>
      <c r="U294" s="1265"/>
      <c r="V294" s="1265"/>
      <c r="W294" s="1265"/>
      <c r="X294" s="1265"/>
      <c r="Y294" s="1265"/>
      <c r="Z294" s="1265"/>
      <c r="AA294" s="1265"/>
      <c r="AB294" s="1381">
        <v>200</v>
      </c>
      <c r="AC294" s="1381">
        <v>1.82</v>
      </c>
      <c r="AD294" s="1381">
        <v>1.65</v>
      </c>
      <c r="AE294" s="1381">
        <v>1.51</v>
      </c>
      <c r="AF294" s="1381">
        <v>1.29</v>
      </c>
      <c r="AG294" s="1381">
        <v>0.92</v>
      </c>
      <c r="AH294" s="1280"/>
      <c r="AI294" s="1280"/>
      <c r="AJ294" s="1280"/>
      <c r="AK294" s="1280"/>
      <c r="AL294" s="1280"/>
      <c r="AM294" s="1280"/>
      <c r="AN294" s="1280"/>
      <c r="AO294" s="1280"/>
      <c r="AP294" s="1347">
        <v>100</v>
      </c>
      <c r="AQ294" s="1405">
        <v>0</v>
      </c>
      <c r="AR294" s="1405">
        <v>0</v>
      </c>
      <c r="AS294" s="1296">
        <v>1.64</v>
      </c>
      <c r="AT294" s="1296">
        <v>1.48</v>
      </c>
      <c r="AU294" s="1296">
        <v>1.23</v>
      </c>
      <c r="AV294" s="1290"/>
      <c r="AW294" s="1290"/>
      <c r="AX294" s="1290"/>
      <c r="AY294" s="1290"/>
      <c r="AZ294" s="1290"/>
      <c r="BA294" s="1290"/>
      <c r="BB294" s="1290"/>
      <c r="BC294" s="1290"/>
      <c r="BD294" s="204">
        <v>50</v>
      </c>
      <c r="BE294" s="1406"/>
      <c r="BF294" s="1406"/>
      <c r="BG294" s="204">
        <v>1.81</v>
      </c>
      <c r="BH294" s="204">
        <v>1.62</v>
      </c>
      <c r="BI294" s="204">
        <v>1.35</v>
      </c>
      <c r="BJ294" s="1246"/>
      <c r="BK294" s="1246"/>
      <c r="BL294" s="1246"/>
      <c r="BM294" s="1246"/>
      <c r="BN294" s="1246"/>
      <c r="BO294" s="1246"/>
      <c r="BP294" s="1246"/>
      <c r="BQ294" s="1246"/>
    </row>
    <row r="295" spans="14:69" x14ac:dyDescent="0.25">
      <c r="N295" s="1407">
        <v>200</v>
      </c>
      <c r="O295" s="1408">
        <v>1.95</v>
      </c>
      <c r="P295" s="1408">
        <v>1.82</v>
      </c>
      <c r="Q295" s="1408">
        <v>1.58</v>
      </c>
      <c r="R295" s="1408">
        <v>1.39</v>
      </c>
      <c r="S295" s="1408">
        <v>1.1499999999999999</v>
      </c>
      <c r="T295" s="1265"/>
      <c r="U295" s="1265"/>
      <c r="V295" s="1265"/>
      <c r="W295" s="1265"/>
      <c r="X295" s="1265"/>
      <c r="Y295" s="1265"/>
      <c r="Z295" s="1265"/>
      <c r="AA295" s="1265"/>
      <c r="AB295" s="1381">
        <v>100</v>
      </c>
      <c r="AC295" s="1381">
        <v>1.99</v>
      </c>
      <c r="AD295" s="1381">
        <v>1.81</v>
      </c>
      <c r="AE295" s="1381">
        <v>1.64</v>
      </c>
      <c r="AF295" s="1381">
        <v>1.48</v>
      </c>
      <c r="AG295" s="1381">
        <v>1.23</v>
      </c>
      <c r="AH295" s="1280"/>
      <c r="AI295" s="1280"/>
      <c r="AJ295" s="1280"/>
      <c r="AK295" s="1280"/>
      <c r="AL295" s="1280"/>
      <c r="AM295" s="1280"/>
      <c r="AN295" s="1280"/>
      <c r="AO295" s="1280"/>
      <c r="AP295" s="1347">
        <v>50</v>
      </c>
      <c r="AQ295" s="1405">
        <v>0</v>
      </c>
      <c r="AR295" s="1405">
        <v>0</v>
      </c>
      <c r="AS295" s="1296">
        <v>1.81</v>
      </c>
      <c r="AT295" s="1296">
        <v>1.62</v>
      </c>
      <c r="AU295" s="1296">
        <v>1.35</v>
      </c>
      <c r="AV295" s="1290"/>
      <c r="AW295" s="1290"/>
      <c r="AX295" s="1290"/>
      <c r="AY295" s="1290"/>
      <c r="AZ295" s="1290"/>
      <c r="BA295" s="1290"/>
      <c r="BB295" s="1290"/>
      <c r="BC295" s="1290"/>
      <c r="BD295" s="204">
        <v>20</v>
      </c>
      <c r="BE295" s="1406"/>
      <c r="BF295" s="1406"/>
      <c r="BG295" s="204">
        <v>2.15</v>
      </c>
      <c r="BH295" s="204">
        <v>1.94</v>
      </c>
      <c r="BI295" s="204">
        <v>1.72</v>
      </c>
      <c r="BJ295" s="1246"/>
      <c r="BK295" s="1246"/>
      <c r="BL295" s="1246"/>
      <c r="BM295" s="1246"/>
      <c r="BN295" s="1246"/>
      <c r="BO295" s="1246"/>
      <c r="BP295" s="1246"/>
      <c r="BQ295" s="1246"/>
    </row>
    <row r="296" spans="14:69" x14ac:dyDescent="0.25">
      <c r="N296" s="1407">
        <v>100</v>
      </c>
      <c r="O296" s="1408">
        <v>2.13</v>
      </c>
      <c r="P296" s="1408">
        <v>1.99</v>
      </c>
      <c r="Q296" s="1408">
        <v>1.77</v>
      </c>
      <c r="R296" s="1408">
        <v>1.55</v>
      </c>
      <c r="S296" s="1408">
        <v>1.35</v>
      </c>
      <c r="T296" s="1265"/>
      <c r="U296" s="1265"/>
      <c r="V296" s="1265"/>
      <c r="W296" s="1265"/>
      <c r="X296" s="1265"/>
      <c r="Y296" s="1265"/>
      <c r="Z296" s="1265"/>
      <c r="AA296" s="1265"/>
      <c r="AB296" s="1381">
        <v>50</v>
      </c>
      <c r="AC296" s="1381">
        <v>2.2000000000000002</v>
      </c>
      <c r="AD296" s="1381">
        <v>2.0299999999999998</v>
      </c>
      <c r="AE296" s="1381">
        <v>1.81</v>
      </c>
      <c r="AF296" s="1381">
        <v>1.62</v>
      </c>
      <c r="AG296" s="1381">
        <v>1.35</v>
      </c>
      <c r="AH296" s="1280"/>
      <c r="AI296" s="1280"/>
      <c r="AJ296" s="1280"/>
      <c r="AK296" s="1280"/>
      <c r="AL296" s="1280"/>
      <c r="AM296" s="1280"/>
      <c r="AN296" s="1280"/>
      <c r="AO296" s="1280"/>
      <c r="AP296" s="1347">
        <v>20</v>
      </c>
      <c r="AQ296" s="1405">
        <v>0</v>
      </c>
      <c r="AR296" s="1405">
        <v>0</v>
      </c>
      <c r="AS296" s="1296">
        <v>2.15</v>
      </c>
      <c r="AT296" s="1296">
        <v>1.94</v>
      </c>
      <c r="AU296" s="1296">
        <v>1.72</v>
      </c>
      <c r="AV296" s="1290"/>
      <c r="AW296" s="1290"/>
      <c r="AX296" s="1290"/>
      <c r="AY296" s="1290"/>
      <c r="AZ296" s="1290"/>
      <c r="BA296" s="1290"/>
      <c r="BB296" s="1290"/>
      <c r="BC296" s="1290"/>
      <c r="BD296" s="204">
        <v>10</v>
      </c>
      <c r="BE296" s="1406"/>
      <c r="BF296" s="1406"/>
      <c r="BG296" s="204">
        <v>2.48</v>
      </c>
      <c r="BH296" s="204">
        <v>2.23</v>
      </c>
      <c r="BI296" s="204">
        <v>1.98</v>
      </c>
      <c r="BJ296" s="1246"/>
      <c r="BK296" s="1246"/>
      <c r="BL296" s="1246"/>
      <c r="BM296" s="1246"/>
      <c r="BN296" s="1246"/>
      <c r="BO296" s="1246"/>
      <c r="BP296" s="1246"/>
      <c r="BQ296" s="1246"/>
    </row>
    <row r="297" spans="14:69" x14ac:dyDescent="0.25">
      <c r="N297" s="1407">
        <v>50</v>
      </c>
      <c r="O297" s="1408">
        <v>2.35</v>
      </c>
      <c r="P297" s="1408">
        <v>2.21</v>
      </c>
      <c r="Q297" s="1408">
        <v>1.97</v>
      </c>
      <c r="R297" s="1408">
        <v>1.72</v>
      </c>
      <c r="S297" s="1408">
        <v>1.49</v>
      </c>
      <c r="T297" s="1265"/>
      <c r="U297" s="1265"/>
      <c r="V297" s="1265"/>
      <c r="W297" s="1265"/>
      <c r="X297" s="1265"/>
      <c r="Y297" s="1265"/>
      <c r="Z297" s="1265"/>
      <c r="AA297" s="1265"/>
      <c r="AB297" s="1381">
        <v>20</v>
      </c>
      <c r="AC297" s="1381">
        <v>2.61</v>
      </c>
      <c r="AD297" s="1381">
        <v>2.38</v>
      </c>
      <c r="AE297" s="1381">
        <v>2.15</v>
      </c>
      <c r="AF297" s="1381">
        <v>1.94</v>
      </c>
      <c r="AG297" s="1381">
        <v>1.72</v>
      </c>
      <c r="AH297" s="1280"/>
      <c r="AI297" s="1280"/>
      <c r="AJ297" s="1280"/>
      <c r="AK297" s="1280"/>
      <c r="AL297" s="1280"/>
      <c r="AM297" s="1280"/>
      <c r="AN297" s="1280"/>
      <c r="AO297" s="1280"/>
      <c r="AP297" s="1347">
        <v>10</v>
      </c>
      <c r="AQ297" s="1405">
        <v>0</v>
      </c>
      <c r="AR297" s="1405">
        <v>0</v>
      </c>
      <c r="AS297" s="1296">
        <v>2.48</v>
      </c>
      <c r="AT297" s="1296">
        <v>2.23</v>
      </c>
      <c r="AU297" s="1296">
        <v>1.98</v>
      </c>
      <c r="AV297" s="1290"/>
      <c r="AW297" s="1290"/>
      <c r="AX297" s="1290"/>
      <c r="AY297" s="1290"/>
      <c r="AZ297" s="1290"/>
      <c r="BA297" s="1290"/>
      <c r="BB297" s="1290"/>
      <c r="BC297" s="1290"/>
      <c r="BD297" s="204">
        <v>7</v>
      </c>
      <c r="BE297" s="1406"/>
      <c r="BF297" s="1406"/>
      <c r="BG297" s="204">
        <v>2.58</v>
      </c>
      <c r="BH297" s="204">
        <v>2.3199999999999998</v>
      </c>
      <c r="BI297" s="204">
        <v>2.0699999999999998</v>
      </c>
      <c r="BJ297" s="1246"/>
      <c r="BK297" s="1246"/>
      <c r="BL297" s="1246"/>
      <c r="BM297" s="1246"/>
      <c r="BN297" s="1246"/>
      <c r="BO297" s="1246"/>
      <c r="BP297" s="1246"/>
      <c r="BQ297" s="1246"/>
    </row>
    <row r="298" spans="14:69" x14ac:dyDescent="0.25">
      <c r="N298" s="1407">
        <v>20</v>
      </c>
      <c r="O298" s="1408">
        <v>2.79</v>
      </c>
      <c r="P298" s="1408">
        <v>2.63</v>
      </c>
      <c r="Q298" s="1408">
        <v>2.33</v>
      </c>
      <c r="R298" s="1408">
        <v>2.0099999999999998</v>
      </c>
      <c r="S298" s="1408">
        <v>1.76</v>
      </c>
      <c r="T298" s="1265"/>
      <c r="U298" s="1265"/>
      <c r="V298" s="1265"/>
      <c r="W298" s="1265"/>
      <c r="X298" s="1265"/>
      <c r="Y298" s="1265"/>
      <c r="Z298" s="1265"/>
      <c r="AA298" s="1265"/>
      <c r="AB298" s="1381">
        <v>10</v>
      </c>
      <c r="AC298" s="1381">
        <v>3.02</v>
      </c>
      <c r="AD298" s="1381">
        <v>2.74</v>
      </c>
      <c r="AE298" s="1381">
        <v>2.48</v>
      </c>
      <c r="AF298" s="1381">
        <v>2.23</v>
      </c>
      <c r="AG298" s="1381">
        <v>1.98</v>
      </c>
      <c r="AH298" s="1280"/>
      <c r="AI298" s="1280"/>
      <c r="AJ298" s="1280"/>
      <c r="AK298" s="1280"/>
      <c r="AL298" s="1280"/>
      <c r="AM298" s="1280"/>
      <c r="AN298" s="1280"/>
      <c r="AO298" s="1280"/>
      <c r="AP298" s="1347">
        <v>7</v>
      </c>
      <c r="AQ298" s="1405">
        <v>0</v>
      </c>
      <c r="AR298" s="1405">
        <v>0</v>
      </c>
      <c r="AS298" s="1296">
        <v>2.58</v>
      </c>
      <c r="AT298" s="1296">
        <v>2.3199999999999998</v>
      </c>
      <c r="AU298" s="1296">
        <v>2.0699999999999998</v>
      </c>
      <c r="AV298" s="1290"/>
      <c r="AW298" s="1290"/>
      <c r="AX298" s="1290"/>
      <c r="AY298" s="1290"/>
      <c r="AZ298" s="1290"/>
      <c r="BA298" s="1290"/>
      <c r="BB298" s="1290"/>
      <c r="BC298" s="1290"/>
      <c r="BD298" s="204">
        <v>3</v>
      </c>
      <c r="BE298" s="1406"/>
      <c r="BF298" s="1406"/>
      <c r="BG298" s="204">
        <v>2.87</v>
      </c>
      <c r="BH298" s="204">
        <v>2.58</v>
      </c>
      <c r="BI298" s="204">
        <v>2.31</v>
      </c>
      <c r="BJ298" s="1246"/>
      <c r="BK298" s="1246"/>
      <c r="BL298" s="1246"/>
      <c r="BM298" s="1246"/>
      <c r="BN298" s="1246"/>
      <c r="BO298" s="1246"/>
      <c r="BP298" s="1246"/>
      <c r="BQ298" s="1246"/>
    </row>
    <row r="299" spans="14:69" ht="15.75" customHeight="1" x14ac:dyDescent="0.25">
      <c r="N299" s="1407">
        <v>10</v>
      </c>
      <c r="O299" s="1408">
        <v>3.23</v>
      </c>
      <c r="P299" s="1408">
        <v>3.01</v>
      </c>
      <c r="Q299" s="1408">
        <v>2.68</v>
      </c>
      <c r="R299" s="1408">
        <v>2.36</v>
      </c>
      <c r="S299" s="1408">
        <v>2.0699999999999998</v>
      </c>
      <c r="T299" s="1265"/>
      <c r="U299" s="1265"/>
      <c r="V299" s="1265"/>
      <c r="W299" s="1265"/>
      <c r="X299" s="1265"/>
      <c r="Y299" s="1265"/>
      <c r="Z299" s="1265"/>
      <c r="AA299" s="1265"/>
      <c r="AB299" s="1381">
        <v>7</v>
      </c>
      <c r="AC299" s="1381">
        <v>0</v>
      </c>
      <c r="AD299" s="1381">
        <v>0</v>
      </c>
      <c r="AE299" s="1381">
        <v>2.58</v>
      </c>
      <c r="AF299" s="1381">
        <v>2.3199999999999998</v>
      </c>
      <c r="AG299" s="1381">
        <v>2.0699999999999998</v>
      </c>
      <c r="AH299" s="1280"/>
      <c r="AI299" s="1280"/>
      <c r="AJ299" s="1280"/>
      <c r="AK299" s="1280"/>
      <c r="AL299" s="1280"/>
      <c r="AM299" s="1280"/>
      <c r="AN299" s="1280"/>
      <c r="AO299" s="1280"/>
      <c r="AP299" s="1297"/>
      <c r="AQ299" s="1297"/>
      <c r="AR299" s="1297"/>
      <c r="AS299" s="1297"/>
      <c r="AT299" s="1297"/>
      <c r="AU299" s="1297"/>
      <c r="AV299" s="1290"/>
      <c r="AW299" s="1290"/>
      <c r="AX299" s="1290"/>
      <c r="AY299" s="1290"/>
      <c r="AZ299" s="1290"/>
      <c r="BA299" s="1290"/>
      <c r="BB299" s="1290"/>
      <c r="BC299" s="1290"/>
      <c r="BD299" s="201"/>
      <c r="BE299" s="201"/>
      <c r="BF299" s="201"/>
      <c r="BG299" s="201"/>
      <c r="BH299" s="201"/>
      <c r="BI299" s="201"/>
      <c r="BJ299" s="1246"/>
      <c r="BK299" s="1246"/>
      <c r="BL299" s="1246"/>
      <c r="BM299" s="1246"/>
      <c r="BN299" s="1246"/>
      <c r="BO299" s="1246"/>
      <c r="BP299" s="1246"/>
      <c r="BQ299" s="1246"/>
    </row>
    <row r="300" spans="14:69" x14ac:dyDescent="0.25">
      <c r="N300" s="1953" t="s">
        <v>197</v>
      </c>
      <c r="O300" s="1953"/>
      <c r="P300" s="1953"/>
      <c r="Q300" s="1953"/>
      <c r="R300" s="1953"/>
      <c r="S300" s="1953"/>
      <c r="T300" s="1953"/>
      <c r="U300" s="1953"/>
      <c r="V300" s="1953"/>
      <c r="W300" s="1954"/>
      <c r="X300" s="1265"/>
      <c r="Y300" s="1265"/>
      <c r="Z300" s="1265"/>
      <c r="AA300" s="1265"/>
      <c r="AB300" s="1284" t="s">
        <v>197</v>
      </c>
      <c r="AC300" s="1284"/>
      <c r="AD300" s="1284"/>
      <c r="AE300" s="1284"/>
      <c r="AF300" s="1285"/>
      <c r="AG300" s="1285"/>
      <c r="AH300" s="1285"/>
      <c r="AI300" s="1285"/>
      <c r="AJ300" s="1285"/>
      <c r="AK300" s="1285"/>
      <c r="AL300" s="1280"/>
      <c r="AM300" s="1280"/>
      <c r="AN300" s="1280"/>
      <c r="AO300" s="1280"/>
      <c r="AP300" s="1294" t="s">
        <v>197</v>
      </c>
      <c r="AQ300" s="1294"/>
      <c r="AR300" s="1294"/>
      <c r="AS300" s="1294"/>
      <c r="AT300" s="1295"/>
      <c r="AU300" s="1295"/>
      <c r="AV300" s="1295"/>
      <c r="AW300" s="1295"/>
      <c r="AX300" s="1295"/>
      <c r="AY300" s="1295"/>
      <c r="AZ300" s="1290"/>
      <c r="BA300" s="1290"/>
      <c r="BB300" s="1290"/>
      <c r="BC300" s="1290"/>
      <c r="BD300" s="1250" t="s">
        <v>198</v>
      </c>
      <c r="BE300" s="1250"/>
      <c r="BF300" s="1250"/>
      <c r="BG300" s="1250"/>
      <c r="BH300" s="1251"/>
      <c r="BI300" s="1251"/>
      <c r="BJ300" s="1251"/>
      <c r="BK300" s="1251"/>
      <c r="BL300" s="1251"/>
      <c r="BM300" s="1251"/>
      <c r="BN300" s="1246"/>
      <c r="BO300" s="1246"/>
      <c r="BP300" s="1246"/>
      <c r="BQ300" s="1246"/>
    </row>
    <row r="301" spans="14:69" x14ac:dyDescent="0.25">
      <c r="N301" s="1955" t="s">
        <v>111</v>
      </c>
      <c r="O301" s="1276"/>
      <c r="P301" s="1388" t="s">
        <v>199</v>
      </c>
      <c r="Q301" s="1389"/>
      <c r="R301" s="1389"/>
      <c r="S301" s="1389"/>
      <c r="X301" s="1265"/>
      <c r="Y301" s="1265"/>
      <c r="Z301" s="1265"/>
      <c r="AA301" s="1265"/>
      <c r="AB301" s="1924" t="s">
        <v>111</v>
      </c>
      <c r="AC301" s="1366"/>
      <c r="AD301" s="1957" t="s">
        <v>199</v>
      </c>
      <c r="AE301" s="1958"/>
      <c r="AF301" s="1958"/>
      <c r="AG301" s="1958"/>
      <c r="AH301" s="1958"/>
      <c r="AI301" s="1958"/>
      <c r="AJ301" s="1958"/>
      <c r="AK301" s="1959"/>
      <c r="AL301" s="1280"/>
      <c r="AM301" s="1280"/>
      <c r="AN301" s="1280"/>
      <c r="AO301" s="1280"/>
      <c r="AP301" s="1927" t="s">
        <v>111</v>
      </c>
      <c r="AQ301" s="1367"/>
      <c r="AR301" s="1928" t="s">
        <v>199</v>
      </c>
      <c r="AS301" s="1928"/>
      <c r="AT301" s="1928"/>
      <c r="AU301" s="1928"/>
      <c r="AV301" s="1928"/>
      <c r="AW301" s="1928"/>
      <c r="AX301" s="1928"/>
      <c r="AY301" s="1928"/>
      <c r="AZ301" s="1290"/>
      <c r="BA301" s="1290"/>
      <c r="BB301" s="1290"/>
      <c r="BC301" s="1290"/>
      <c r="BD301" s="1929" t="s">
        <v>111</v>
      </c>
      <c r="BE301" s="1260"/>
      <c r="BF301" s="1930" t="s">
        <v>199</v>
      </c>
      <c r="BG301" s="1930"/>
      <c r="BH301" s="1930"/>
      <c r="BI301" s="1930"/>
      <c r="BJ301" s="1930"/>
      <c r="BK301" s="1930"/>
      <c r="BL301" s="1930"/>
      <c r="BM301" s="1930"/>
      <c r="BN301" s="1246"/>
      <c r="BO301" s="1246"/>
      <c r="BP301" s="1246"/>
      <c r="BQ301" s="1246"/>
    </row>
    <row r="302" spans="14:69" x14ac:dyDescent="0.25">
      <c r="N302" s="1956"/>
      <c r="O302" s="1276"/>
      <c r="P302" s="1373">
        <v>5</v>
      </c>
      <c r="Q302" s="1373">
        <v>10</v>
      </c>
      <c r="R302" s="1373">
        <v>15</v>
      </c>
      <c r="S302" s="1373">
        <v>25</v>
      </c>
      <c r="T302" s="1373">
        <v>50</v>
      </c>
      <c r="U302" s="1373">
        <v>100</v>
      </c>
      <c r="V302" s="1373">
        <v>200</v>
      </c>
      <c r="W302" s="1373">
        <v>500</v>
      </c>
      <c r="X302" s="1265"/>
      <c r="Y302" s="1265"/>
      <c r="Z302" s="1265"/>
      <c r="AA302" s="1265"/>
      <c r="AB302" s="1925"/>
      <c r="AC302" s="1366"/>
      <c r="AD302" s="1381">
        <v>5</v>
      </c>
      <c r="AE302" s="1381">
        <v>10</v>
      </c>
      <c r="AF302" s="1381">
        <v>15</v>
      </c>
      <c r="AG302" s="1381">
        <v>25</v>
      </c>
      <c r="AH302" s="1381">
        <v>50</v>
      </c>
      <c r="AI302" s="1381">
        <v>100</v>
      </c>
      <c r="AJ302" s="1381">
        <v>200</v>
      </c>
      <c r="AK302" s="1381">
        <v>500</v>
      </c>
      <c r="AL302" s="1280"/>
      <c r="AM302" s="1280"/>
      <c r="AN302" s="1280"/>
      <c r="AO302" s="1280"/>
      <c r="AP302" s="1927"/>
      <c r="AQ302" s="1367"/>
      <c r="AR302" s="1347">
        <v>5</v>
      </c>
      <c r="AS302" s="1347">
        <v>10</v>
      </c>
      <c r="AT302" s="1347">
        <v>15</v>
      </c>
      <c r="AU302" s="1347">
        <v>25</v>
      </c>
      <c r="AV302" s="1347">
        <v>50</v>
      </c>
      <c r="AW302" s="1347">
        <v>100</v>
      </c>
      <c r="AX302" s="1347">
        <v>200</v>
      </c>
      <c r="AY302" s="1347">
        <v>500</v>
      </c>
      <c r="AZ302" s="1290"/>
      <c r="BA302" s="1290"/>
      <c r="BB302" s="1290"/>
      <c r="BC302" s="1290"/>
      <c r="BD302" s="1929"/>
      <c r="BE302" s="1260"/>
      <c r="BF302" s="203">
        <v>5</v>
      </c>
      <c r="BG302" s="203">
        <v>10</v>
      </c>
      <c r="BH302" s="203">
        <v>15</v>
      </c>
      <c r="BI302" s="203">
        <v>25</v>
      </c>
      <c r="BJ302" s="203">
        <v>50</v>
      </c>
      <c r="BK302" s="203">
        <v>100</v>
      </c>
      <c r="BL302" s="203">
        <v>200</v>
      </c>
      <c r="BM302" s="203">
        <v>500</v>
      </c>
      <c r="BN302" s="1246"/>
      <c r="BO302" s="1246"/>
      <c r="BP302" s="1246"/>
      <c r="BQ302" s="1246"/>
    </row>
    <row r="303" spans="14:69" x14ac:dyDescent="0.25">
      <c r="N303" s="1276" t="s">
        <v>200</v>
      </c>
      <c r="O303" s="1276">
        <v>1</v>
      </c>
      <c r="P303" s="1373">
        <v>1.83</v>
      </c>
      <c r="Q303" s="1373">
        <v>1.4</v>
      </c>
      <c r="R303" s="1373">
        <v>1.3</v>
      </c>
      <c r="S303" s="1373">
        <v>1.1000000000000001</v>
      </c>
      <c r="T303" s="1373">
        <v>0.95</v>
      </c>
      <c r="U303" s="1373">
        <v>0.8</v>
      </c>
      <c r="V303" s="1373">
        <v>0.7</v>
      </c>
      <c r="W303" s="1373">
        <v>0.6</v>
      </c>
      <c r="X303" s="1265"/>
      <c r="Y303" s="1265"/>
      <c r="Z303" s="1265"/>
      <c r="AA303" s="1265"/>
      <c r="AB303" s="1366" t="s">
        <v>200</v>
      </c>
      <c r="AC303" s="1366">
        <v>1</v>
      </c>
      <c r="AD303" s="1381">
        <v>1.83</v>
      </c>
      <c r="AE303" s="1381">
        <v>1.4</v>
      </c>
      <c r="AF303" s="1381">
        <v>1.3</v>
      </c>
      <c r="AG303" s="1381">
        <v>1.1000000000000001</v>
      </c>
      <c r="AH303" s="1381">
        <v>0.95</v>
      </c>
      <c r="AI303" s="1381">
        <v>0.8</v>
      </c>
      <c r="AJ303" s="1381">
        <v>0.7</v>
      </c>
      <c r="AK303" s="1381">
        <v>0.6</v>
      </c>
      <c r="AL303" s="1280"/>
      <c r="AM303" s="1280"/>
      <c r="AN303" s="1280"/>
      <c r="AO303" s="1280"/>
      <c r="AP303" s="1367" t="s">
        <v>200</v>
      </c>
      <c r="AQ303" s="1367">
        <v>1</v>
      </c>
      <c r="AR303" s="1296">
        <v>1.83</v>
      </c>
      <c r="AS303" s="1296">
        <v>1.4</v>
      </c>
      <c r="AT303" s="1296">
        <v>1.3</v>
      </c>
      <c r="AU303" s="1296">
        <v>1.1000000000000001</v>
      </c>
      <c r="AV303" s="1296">
        <v>0.95</v>
      </c>
      <c r="AW303" s="1296">
        <v>0.8</v>
      </c>
      <c r="AX303" s="1296">
        <v>0.7</v>
      </c>
      <c r="AY303" s="1296">
        <v>0.6</v>
      </c>
      <c r="AZ303" s="1290"/>
      <c r="BA303" s="1290"/>
      <c r="BB303" s="1290"/>
      <c r="BC303" s="1290"/>
      <c r="BD303" s="1260" t="s">
        <v>200</v>
      </c>
      <c r="BE303" s="1260">
        <v>1</v>
      </c>
      <c r="BF303" s="204">
        <v>1.83</v>
      </c>
      <c r="BG303" s="204">
        <v>1.4</v>
      </c>
      <c r="BH303" s="204">
        <v>1.3</v>
      </c>
      <c r="BI303" s="204">
        <v>1.1000000000000001</v>
      </c>
      <c r="BJ303" s="204">
        <v>0.95</v>
      </c>
      <c r="BK303" s="204">
        <v>0.8</v>
      </c>
      <c r="BL303" s="204">
        <v>0.7</v>
      </c>
      <c r="BM303" s="204">
        <v>0.6</v>
      </c>
      <c r="BN303" s="1246"/>
      <c r="BO303" s="1246"/>
      <c r="BP303" s="1246"/>
      <c r="BQ303" s="1246"/>
    </row>
    <row r="304" spans="14:69" x14ac:dyDescent="0.25">
      <c r="N304" s="1276" t="s">
        <v>201</v>
      </c>
      <c r="O304" s="1276">
        <v>2</v>
      </c>
      <c r="P304" s="1373">
        <v>1.9</v>
      </c>
      <c r="Q304" s="1373">
        <v>1.5</v>
      </c>
      <c r="R304" s="1373">
        <v>1.4</v>
      </c>
      <c r="S304" s="1373">
        <v>1.3</v>
      </c>
      <c r="T304" s="1373">
        <v>1.1000000000000001</v>
      </c>
      <c r="U304" s="1373">
        <v>1</v>
      </c>
      <c r="V304" s="1373">
        <v>0.9</v>
      </c>
      <c r="W304" s="1373">
        <v>0.7</v>
      </c>
      <c r="X304" s="1265"/>
      <c r="Y304" s="1265"/>
      <c r="Z304" s="1265"/>
      <c r="AA304" s="1265"/>
      <c r="AB304" s="1366" t="s">
        <v>201</v>
      </c>
      <c r="AC304" s="1366">
        <v>2</v>
      </c>
      <c r="AD304" s="1381">
        <v>1.9</v>
      </c>
      <c r="AE304" s="1381">
        <v>1.5</v>
      </c>
      <c r="AF304" s="1381">
        <v>1.4</v>
      </c>
      <c r="AG304" s="1381">
        <v>1.3</v>
      </c>
      <c r="AH304" s="1381">
        <v>1.1000000000000001</v>
      </c>
      <c r="AI304" s="1381">
        <v>1</v>
      </c>
      <c r="AJ304" s="1381">
        <v>0.9</v>
      </c>
      <c r="AK304" s="1381">
        <v>0.7</v>
      </c>
      <c r="AL304" s="1280"/>
      <c r="AM304" s="1280"/>
      <c r="AN304" s="1280"/>
      <c r="AO304" s="1280"/>
      <c r="AP304" s="1367" t="s">
        <v>201</v>
      </c>
      <c r="AQ304" s="1367">
        <v>2</v>
      </c>
      <c r="AR304" s="1296">
        <v>1.9</v>
      </c>
      <c r="AS304" s="1296">
        <v>1.5</v>
      </c>
      <c r="AT304" s="1296">
        <v>1.4</v>
      </c>
      <c r="AU304" s="1296">
        <v>1.3</v>
      </c>
      <c r="AV304" s="1296">
        <v>1.1000000000000001</v>
      </c>
      <c r="AW304" s="1296">
        <v>1</v>
      </c>
      <c r="AX304" s="1296">
        <v>0.9</v>
      </c>
      <c r="AY304" s="1296">
        <v>0.7</v>
      </c>
      <c r="AZ304" s="1290"/>
      <c r="BA304" s="1290"/>
      <c r="BB304" s="1290"/>
      <c r="BC304" s="1290"/>
      <c r="BD304" s="1260" t="s">
        <v>201</v>
      </c>
      <c r="BE304" s="1260">
        <v>2</v>
      </c>
      <c r="BF304" s="204">
        <v>1.9</v>
      </c>
      <c r="BG304" s="204">
        <v>1.5</v>
      </c>
      <c r="BH304" s="204">
        <v>1.4</v>
      </c>
      <c r="BI304" s="204">
        <v>1.3</v>
      </c>
      <c r="BJ304" s="204">
        <v>1.1000000000000001</v>
      </c>
      <c r="BK304" s="204">
        <v>1</v>
      </c>
      <c r="BL304" s="204">
        <v>0.9</v>
      </c>
      <c r="BM304" s="204">
        <v>0.7</v>
      </c>
      <c r="BN304" s="1246"/>
      <c r="BO304" s="1246"/>
      <c r="BP304" s="1246"/>
      <c r="BQ304" s="1246"/>
    </row>
    <row r="305" spans="14:69" ht="15.75" customHeight="1" x14ac:dyDescent="0.25">
      <c r="N305" s="1276" t="s">
        <v>202</v>
      </c>
      <c r="O305" s="1276">
        <v>3</v>
      </c>
      <c r="P305" s="1373">
        <v>2.1</v>
      </c>
      <c r="Q305" s="1373">
        <v>1.6</v>
      </c>
      <c r="R305" s="1373">
        <v>1.5</v>
      </c>
      <c r="S305" s="1373">
        <v>1.35</v>
      </c>
      <c r="T305" s="1373">
        <v>1.1499999999999999</v>
      </c>
      <c r="U305" s="1373">
        <v>1.05</v>
      </c>
      <c r="V305" s="1373">
        <v>0.95</v>
      </c>
      <c r="W305" s="1373">
        <v>0.8</v>
      </c>
      <c r="X305" s="1265"/>
      <c r="Y305" s="1265"/>
      <c r="Z305" s="1265"/>
      <c r="AA305" s="1265"/>
      <c r="AB305" s="1366" t="s">
        <v>202</v>
      </c>
      <c r="AC305" s="1366">
        <v>3</v>
      </c>
      <c r="AD305" s="1381">
        <v>2.1</v>
      </c>
      <c r="AE305" s="1381">
        <v>1.6</v>
      </c>
      <c r="AF305" s="1381">
        <v>1.5</v>
      </c>
      <c r="AG305" s="1381">
        <v>1.35</v>
      </c>
      <c r="AH305" s="1381">
        <v>1.1499999999999999</v>
      </c>
      <c r="AI305" s="1381">
        <v>1.05</v>
      </c>
      <c r="AJ305" s="1381">
        <v>0.95</v>
      </c>
      <c r="AK305" s="1381">
        <v>0.8</v>
      </c>
      <c r="AL305" s="1280"/>
      <c r="AM305" s="1280"/>
      <c r="AN305" s="1280"/>
      <c r="AO305" s="1280"/>
      <c r="AP305" s="1367" t="s">
        <v>202</v>
      </c>
      <c r="AQ305" s="1367">
        <v>3</v>
      </c>
      <c r="AR305" s="1296">
        <v>2.1</v>
      </c>
      <c r="AS305" s="1296">
        <v>1.6</v>
      </c>
      <c r="AT305" s="1296">
        <v>1.5</v>
      </c>
      <c r="AU305" s="1296">
        <v>1.35</v>
      </c>
      <c r="AV305" s="1296">
        <v>1.1499999999999999</v>
      </c>
      <c r="AW305" s="1296">
        <v>1.05</v>
      </c>
      <c r="AX305" s="1296">
        <v>0.95</v>
      </c>
      <c r="AY305" s="1296">
        <v>0.8</v>
      </c>
      <c r="AZ305" s="1290"/>
      <c r="BA305" s="1290"/>
      <c r="BB305" s="1290"/>
      <c r="BC305" s="1290"/>
      <c r="BD305" s="1260" t="s">
        <v>202</v>
      </c>
      <c r="BE305" s="1260">
        <v>3</v>
      </c>
      <c r="BF305" s="204"/>
      <c r="BG305" s="204"/>
      <c r="BH305" s="204"/>
      <c r="BI305" s="204">
        <v>1.35</v>
      </c>
      <c r="BJ305" s="204">
        <v>1.1499999999999999</v>
      </c>
      <c r="BK305" s="204">
        <v>1.05</v>
      </c>
      <c r="BL305" s="204">
        <v>0.95</v>
      </c>
      <c r="BM305" s="204">
        <v>0.8</v>
      </c>
      <c r="BN305" s="1246"/>
      <c r="BO305" s="1246"/>
      <c r="BP305" s="1246"/>
      <c r="BQ305" s="1246"/>
    </row>
    <row r="306" spans="14:69" x14ac:dyDescent="0.25">
      <c r="N306" s="1953" t="s">
        <v>203</v>
      </c>
      <c r="O306" s="1953"/>
      <c r="P306" s="1953"/>
      <c r="Q306" s="1953"/>
      <c r="R306" s="1953"/>
      <c r="S306" s="1953"/>
      <c r="T306" s="1953"/>
      <c r="U306" s="1953"/>
      <c r="V306" s="1953"/>
      <c r="W306" s="1954"/>
      <c r="X306" s="1265"/>
      <c r="Y306" s="1265"/>
      <c r="Z306" s="1265"/>
      <c r="AA306" s="1265"/>
      <c r="AB306" s="1284" t="s">
        <v>203</v>
      </c>
      <c r="AC306" s="1284"/>
      <c r="AD306" s="1284"/>
      <c r="AE306" s="1284"/>
      <c r="AF306" s="1285"/>
      <c r="AG306" s="1285"/>
      <c r="AH306" s="1285"/>
      <c r="AI306" s="1285"/>
      <c r="AJ306" s="1285"/>
      <c r="AK306" s="1285"/>
      <c r="AL306" s="1280"/>
      <c r="AM306" s="1280"/>
      <c r="AN306" s="1280"/>
      <c r="AO306" s="1280"/>
      <c r="AP306" s="1294" t="s">
        <v>203</v>
      </c>
      <c r="AQ306" s="1294"/>
      <c r="AR306" s="1294"/>
      <c r="AS306" s="1294"/>
      <c r="AT306" s="1295"/>
      <c r="AU306" s="1295"/>
      <c r="AV306" s="1295"/>
      <c r="AW306" s="1295"/>
      <c r="AX306" s="1295"/>
      <c r="AY306" s="1295"/>
      <c r="AZ306" s="1290"/>
      <c r="BA306" s="1290"/>
      <c r="BB306" s="1290"/>
      <c r="BC306" s="1290"/>
      <c r="BD306" s="1250" t="s">
        <v>204</v>
      </c>
      <c r="BE306" s="1250"/>
      <c r="BF306" s="1250"/>
      <c r="BG306" s="1250"/>
      <c r="BH306" s="1251"/>
      <c r="BI306" s="1251"/>
      <c r="BJ306" s="1251"/>
      <c r="BK306" s="1251"/>
      <c r="BL306" s="1251"/>
      <c r="BM306" s="1251"/>
      <c r="BN306" s="1246"/>
      <c r="BO306" s="1246"/>
      <c r="BP306" s="1246"/>
      <c r="BQ306" s="1246"/>
    </row>
    <row r="307" spans="14:69" x14ac:dyDescent="0.25">
      <c r="N307" s="1276" t="s">
        <v>111</v>
      </c>
      <c r="O307" s="1276"/>
      <c r="P307" s="1944" t="s">
        <v>199</v>
      </c>
      <c r="Q307" s="1944"/>
      <c r="R307" s="1944"/>
      <c r="S307" s="1944"/>
      <c r="T307" s="1944"/>
      <c r="U307" s="1944"/>
      <c r="V307" s="1944"/>
      <c r="W307" s="1944"/>
      <c r="X307" s="1265"/>
      <c r="Y307" s="1265"/>
      <c r="Z307" s="1265"/>
      <c r="AA307" s="1265"/>
      <c r="AB307" s="1926" t="s">
        <v>111</v>
      </c>
      <c r="AC307" s="1366"/>
      <c r="AD307" s="1926" t="s">
        <v>199</v>
      </c>
      <c r="AE307" s="1926"/>
      <c r="AF307" s="1926"/>
      <c r="AG307" s="1926"/>
      <c r="AH307" s="1926"/>
      <c r="AI307" s="1926"/>
      <c r="AJ307" s="1926"/>
      <c r="AK307" s="1926"/>
      <c r="AL307" s="1280"/>
      <c r="AM307" s="1280"/>
      <c r="AN307" s="1280"/>
      <c r="AO307" s="1280"/>
      <c r="AP307" s="1927" t="s">
        <v>111</v>
      </c>
      <c r="AR307" s="1931" t="s">
        <v>199</v>
      </c>
      <c r="AS307" s="1932"/>
      <c r="AT307" s="1932"/>
      <c r="AU307" s="1932"/>
      <c r="AV307" s="1932"/>
      <c r="AW307" s="1932"/>
      <c r="AX307" s="1932"/>
      <c r="AY307" s="1933"/>
      <c r="AZ307" s="1290"/>
      <c r="BA307" s="1290"/>
      <c r="BB307" s="1290"/>
      <c r="BC307" s="1290"/>
      <c r="BD307" s="1929" t="s">
        <v>111</v>
      </c>
      <c r="BE307" s="1260"/>
      <c r="BF307" s="1930" t="s">
        <v>199</v>
      </c>
      <c r="BG307" s="1930"/>
      <c r="BH307" s="1930"/>
      <c r="BI307" s="1930"/>
      <c r="BJ307" s="1930"/>
      <c r="BK307" s="1930"/>
      <c r="BL307" s="1930"/>
      <c r="BM307" s="1930"/>
      <c r="BN307" s="1246"/>
      <c r="BO307" s="1246"/>
      <c r="BP307" s="1246"/>
      <c r="BQ307" s="1246"/>
    </row>
    <row r="308" spans="14:69" x14ac:dyDescent="0.25">
      <c r="N308" s="1276"/>
      <c r="O308" s="1276"/>
      <c r="P308" s="1373">
        <v>5</v>
      </c>
      <c r="Q308" s="1373">
        <v>10</v>
      </c>
      <c r="R308" s="1373">
        <v>15</v>
      </c>
      <c r="S308" s="1373">
        <v>25</v>
      </c>
      <c r="T308" s="1373">
        <v>50</v>
      </c>
      <c r="U308" s="1373">
        <v>100</v>
      </c>
      <c r="V308" s="1373">
        <v>200</v>
      </c>
      <c r="W308" s="1373">
        <v>500</v>
      </c>
      <c r="X308" s="1265"/>
      <c r="Y308" s="1265"/>
      <c r="Z308" s="1265"/>
      <c r="AA308" s="1265"/>
      <c r="AB308" s="1926"/>
      <c r="AC308" s="1366"/>
      <c r="AD308" s="1381">
        <v>5</v>
      </c>
      <c r="AE308" s="1381">
        <v>10</v>
      </c>
      <c r="AF308" s="1381">
        <v>15</v>
      </c>
      <c r="AG308" s="1381">
        <v>25</v>
      </c>
      <c r="AH308" s="1381">
        <v>50</v>
      </c>
      <c r="AI308" s="1381">
        <v>100</v>
      </c>
      <c r="AJ308" s="1381">
        <v>200</v>
      </c>
      <c r="AK308" s="1381">
        <v>500</v>
      </c>
      <c r="AL308" s="1280"/>
      <c r="AM308" s="1280"/>
      <c r="AN308" s="1280"/>
      <c r="AO308" s="1280"/>
      <c r="AP308" s="1927"/>
      <c r="AQ308" s="1367"/>
      <c r="AR308" s="1347">
        <v>5</v>
      </c>
      <c r="AS308" s="1347">
        <v>10</v>
      </c>
      <c r="AT308" s="1347">
        <v>15</v>
      </c>
      <c r="AU308" s="1347">
        <v>25</v>
      </c>
      <c r="AV308" s="1347">
        <v>50</v>
      </c>
      <c r="AW308" s="1347">
        <v>100</v>
      </c>
      <c r="AX308" s="1347">
        <v>200</v>
      </c>
      <c r="AY308" s="1347">
        <v>500</v>
      </c>
      <c r="AZ308" s="1290"/>
      <c r="BA308" s="1290"/>
      <c r="BB308" s="1290"/>
      <c r="BC308" s="1290"/>
      <c r="BD308" s="1929"/>
      <c r="BE308" s="1260"/>
      <c r="BF308" s="203">
        <v>5</v>
      </c>
      <c r="BG308" s="203">
        <v>10</v>
      </c>
      <c r="BH308" s="203">
        <v>15</v>
      </c>
      <c r="BI308" s="203">
        <v>25</v>
      </c>
      <c r="BJ308" s="203">
        <v>50</v>
      </c>
      <c r="BK308" s="203">
        <v>100</v>
      </c>
      <c r="BL308" s="203">
        <v>200</v>
      </c>
      <c r="BM308" s="203">
        <v>500</v>
      </c>
      <c r="BN308" s="1246"/>
      <c r="BO308" s="1246"/>
      <c r="BP308" s="1246"/>
      <c r="BQ308" s="1246"/>
    </row>
    <row r="309" spans="14:69" x14ac:dyDescent="0.25">
      <c r="N309" s="1276" t="s">
        <v>205</v>
      </c>
      <c r="O309" s="1276">
        <v>1</v>
      </c>
      <c r="P309" s="1373">
        <v>1</v>
      </c>
      <c r="Q309" s="1373">
        <v>0.75</v>
      </c>
      <c r="R309" s="1373">
        <v>0.6</v>
      </c>
      <c r="S309" s="1373">
        <v>0.5</v>
      </c>
      <c r="T309" s="1373">
        <v>0.45</v>
      </c>
      <c r="U309" s="1373">
        <v>0.35</v>
      </c>
      <c r="V309" s="1373">
        <v>0.25</v>
      </c>
      <c r="W309" s="1373">
        <v>0.15</v>
      </c>
      <c r="X309" s="1265"/>
      <c r="Y309" s="1265"/>
      <c r="Z309" s="1265"/>
      <c r="AA309" s="1265"/>
      <c r="AB309" s="1366" t="s">
        <v>205</v>
      </c>
      <c r="AC309" s="1366">
        <v>1</v>
      </c>
      <c r="AD309" s="1381">
        <v>1</v>
      </c>
      <c r="AE309" s="1381">
        <v>0.75</v>
      </c>
      <c r="AF309" s="1381">
        <v>0.6</v>
      </c>
      <c r="AG309" s="1381">
        <v>0.5</v>
      </c>
      <c r="AH309" s="1381">
        <v>0.45</v>
      </c>
      <c r="AI309" s="1381">
        <v>0.35</v>
      </c>
      <c r="AJ309" s="1381">
        <v>0.25</v>
      </c>
      <c r="AK309" s="1381">
        <v>0.15</v>
      </c>
      <c r="AL309" s="1280"/>
      <c r="AM309" s="1280"/>
      <c r="AN309" s="1280"/>
      <c r="AO309" s="1280"/>
      <c r="AP309" s="1367" t="s">
        <v>205</v>
      </c>
      <c r="AQ309" s="1367">
        <v>1</v>
      </c>
      <c r="AR309" s="1296">
        <v>1</v>
      </c>
      <c r="AS309" s="1296">
        <v>0.75</v>
      </c>
      <c r="AT309" s="1296">
        <v>0.6</v>
      </c>
      <c r="AU309" s="1296">
        <v>0.5</v>
      </c>
      <c r="AV309" s="1296">
        <v>0.45</v>
      </c>
      <c r="AW309" s="1296">
        <v>0.35</v>
      </c>
      <c r="AX309" s="1296">
        <v>0.25</v>
      </c>
      <c r="AY309" s="1296">
        <v>0.15</v>
      </c>
      <c r="AZ309" s="1290"/>
      <c r="BA309" s="1290"/>
      <c r="BB309" s="1290"/>
      <c r="BC309" s="1290"/>
      <c r="BD309" s="1260" t="s">
        <v>205</v>
      </c>
      <c r="BE309" s="1260">
        <v>1</v>
      </c>
      <c r="BF309" s="204">
        <v>1</v>
      </c>
      <c r="BG309" s="204">
        <v>0.75</v>
      </c>
      <c r="BH309" s="204">
        <v>0.6</v>
      </c>
      <c r="BI309" s="204">
        <v>0.5</v>
      </c>
      <c r="BJ309" s="204">
        <v>0.45</v>
      </c>
      <c r="BK309" s="204">
        <v>0.35</v>
      </c>
      <c r="BL309" s="204">
        <v>0.25</v>
      </c>
      <c r="BM309" s="204">
        <v>0.15</v>
      </c>
      <c r="BN309" s="1246"/>
      <c r="BO309" s="1246"/>
      <c r="BP309" s="1246"/>
      <c r="BQ309" s="1246"/>
    </row>
    <row r="310" spans="14:69" x14ac:dyDescent="0.25">
      <c r="N310" s="1276" t="s">
        <v>206</v>
      </c>
      <c r="O310" s="1276">
        <v>2</v>
      </c>
      <c r="P310" s="1373">
        <v>0.9</v>
      </c>
      <c r="Q310" s="1373">
        <v>0.7</v>
      </c>
      <c r="R310" s="1373">
        <v>0.55000000000000004</v>
      </c>
      <c r="S310" s="1373">
        <v>0.45</v>
      </c>
      <c r="T310" s="1373">
        <v>0.4</v>
      </c>
      <c r="U310" s="1373">
        <v>0.3</v>
      </c>
      <c r="V310" s="1373">
        <v>0.2</v>
      </c>
      <c r="W310" s="1373">
        <v>0.1</v>
      </c>
      <c r="X310" s="1265"/>
      <c r="Y310" s="1265"/>
      <c r="Z310" s="1265"/>
      <c r="AA310" s="1265"/>
      <c r="AB310" s="1366" t="s">
        <v>206</v>
      </c>
      <c r="AC310" s="1366">
        <v>2</v>
      </c>
      <c r="AD310" s="1381">
        <v>0.9</v>
      </c>
      <c r="AE310" s="1381">
        <v>0.7</v>
      </c>
      <c r="AF310" s="1381">
        <v>0.55000000000000004</v>
      </c>
      <c r="AG310" s="1381">
        <v>0.45</v>
      </c>
      <c r="AH310" s="1381">
        <v>0.4</v>
      </c>
      <c r="AI310" s="1381">
        <v>0.3</v>
      </c>
      <c r="AJ310" s="1381">
        <v>0.2</v>
      </c>
      <c r="AK310" s="1381">
        <v>0.1</v>
      </c>
      <c r="AL310" s="1280"/>
      <c r="AM310" s="1280"/>
      <c r="AN310" s="1280"/>
      <c r="AO310" s="1280"/>
      <c r="AP310" s="1367" t="s">
        <v>206</v>
      </c>
      <c r="AQ310" s="1367">
        <v>2</v>
      </c>
      <c r="AR310" s="1296">
        <v>0.9</v>
      </c>
      <c r="AS310" s="1296">
        <v>0.7</v>
      </c>
      <c r="AT310" s="1296">
        <v>0.55000000000000004</v>
      </c>
      <c r="AU310" s="1296">
        <v>0.45</v>
      </c>
      <c r="AV310" s="1296">
        <v>0.4</v>
      </c>
      <c r="AW310" s="1296">
        <v>0.3</v>
      </c>
      <c r="AX310" s="1296">
        <v>0.2</v>
      </c>
      <c r="AY310" s="1296">
        <v>0.1</v>
      </c>
      <c r="AZ310" s="1290"/>
      <c r="BA310" s="1290"/>
      <c r="BB310" s="1290"/>
      <c r="BC310" s="1290"/>
      <c r="BD310" s="1260" t="s">
        <v>206</v>
      </c>
      <c r="BE310" s="1260">
        <v>2</v>
      </c>
      <c r="BF310" s="204">
        <v>0.9</v>
      </c>
      <c r="BG310" s="204">
        <v>0.7</v>
      </c>
      <c r="BH310" s="204">
        <v>0.55000000000000004</v>
      </c>
      <c r="BI310" s="204">
        <v>0.45</v>
      </c>
      <c r="BJ310" s="204">
        <v>0.4</v>
      </c>
      <c r="BK310" s="204">
        <v>0.3</v>
      </c>
      <c r="BL310" s="204">
        <v>0.2</v>
      </c>
      <c r="BM310" s="204">
        <v>0.1</v>
      </c>
      <c r="BN310" s="1246"/>
      <c r="BO310" s="1246"/>
      <c r="BP310" s="1246"/>
      <c r="BQ310" s="1246"/>
    </row>
    <row r="311" spans="14:69" x14ac:dyDescent="0.25">
      <c r="N311" s="1276" t="s">
        <v>207</v>
      </c>
      <c r="O311" s="1276">
        <v>3</v>
      </c>
      <c r="P311" s="1373">
        <v>1.35</v>
      </c>
      <c r="Q311" s="1373">
        <v>0.8</v>
      </c>
      <c r="R311" s="1373">
        <v>0.6</v>
      </c>
      <c r="S311" s="1373">
        <v>0.5</v>
      </c>
      <c r="T311" s="1373">
        <v>0.4</v>
      </c>
      <c r="U311" s="1373">
        <v>0.3</v>
      </c>
      <c r="V311" s="1373">
        <v>0.2</v>
      </c>
      <c r="W311" s="1373">
        <v>0.1</v>
      </c>
      <c r="X311" s="1265"/>
      <c r="Y311" s="1265"/>
      <c r="Z311" s="1265"/>
      <c r="AA311" s="1265"/>
      <c r="AB311" s="1366" t="s">
        <v>207</v>
      </c>
      <c r="AC311" s="1366">
        <v>3</v>
      </c>
      <c r="AD311" s="1381">
        <v>1.35</v>
      </c>
      <c r="AE311" s="1381">
        <v>0.8</v>
      </c>
      <c r="AF311" s="1381">
        <v>0.6</v>
      </c>
      <c r="AG311" s="1381">
        <v>0.5</v>
      </c>
      <c r="AH311" s="1381">
        <v>0.4</v>
      </c>
      <c r="AI311" s="1381">
        <v>0.3</v>
      </c>
      <c r="AJ311" s="1381">
        <v>0.2</v>
      </c>
      <c r="AK311" s="1381">
        <v>0.1</v>
      </c>
      <c r="AL311" s="1280"/>
      <c r="AM311" s="1280"/>
      <c r="AN311" s="1280"/>
      <c r="AO311" s="1280"/>
      <c r="AP311" s="1367" t="s">
        <v>207</v>
      </c>
      <c r="AQ311" s="1367">
        <v>3</v>
      </c>
      <c r="AR311" s="1296">
        <v>1.35</v>
      </c>
      <c r="AS311" s="1296">
        <v>0.8</v>
      </c>
      <c r="AT311" s="1296">
        <v>0.6</v>
      </c>
      <c r="AU311" s="1296">
        <v>0.5</v>
      </c>
      <c r="AV311" s="1296">
        <v>0.4</v>
      </c>
      <c r="AW311" s="1296">
        <v>0.3</v>
      </c>
      <c r="AX311" s="1296">
        <v>0.2</v>
      </c>
      <c r="AY311" s="1296">
        <v>0.1</v>
      </c>
      <c r="AZ311" s="1290"/>
      <c r="BA311" s="1290"/>
      <c r="BB311" s="1290"/>
      <c r="BC311" s="1290"/>
      <c r="BD311" s="1260" t="s">
        <v>207</v>
      </c>
      <c r="BE311" s="1260">
        <v>3</v>
      </c>
      <c r="BF311" s="204">
        <v>1.35</v>
      </c>
      <c r="BG311" s="204">
        <v>0.8</v>
      </c>
      <c r="BH311" s="204">
        <v>0.6</v>
      </c>
      <c r="BI311" s="204">
        <v>0.5</v>
      </c>
      <c r="BJ311" s="204">
        <v>0.4</v>
      </c>
      <c r="BK311" s="204">
        <v>0.3</v>
      </c>
      <c r="BL311" s="204">
        <v>0.2</v>
      </c>
      <c r="BM311" s="204">
        <v>0.1</v>
      </c>
      <c r="BN311" s="1246"/>
      <c r="BO311" s="1246"/>
      <c r="BP311" s="1246"/>
      <c r="BQ311" s="1246"/>
    </row>
    <row r="312" spans="14:69" x14ac:dyDescent="0.25">
      <c r="N312" s="1276" t="s">
        <v>208</v>
      </c>
      <c r="O312" s="1276">
        <v>4</v>
      </c>
      <c r="P312" s="1373">
        <v>1.7</v>
      </c>
      <c r="Q312" s="1373">
        <v>1.4</v>
      </c>
      <c r="R312" s="1373">
        <v>1.3</v>
      </c>
      <c r="S312" s="1373">
        <v>0.8</v>
      </c>
      <c r="T312" s="1373">
        <v>0.6</v>
      </c>
      <c r="U312" s="1373">
        <v>0.45</v>
      </c>
      <c r="V312" s="1373">
        <v>0.3</v>
      </c>
      <c r="W312" s="1373">
        <v>0.15</v>
      </c>
      <c r="X312" s="1265"/>
      <c r="Y312" s="1265"/>
      <c r="Z312" s="1265"/>
      <c r="AA312" s="1265"/>
      <c r="AB312" s="1366" t="s">
        <v>208</v>
      </c>
      <c r="AC312" s="1366">
        <v>4</v>
      </c>
      <c r="AD312" s="1381">
        <v>1.7</v>
      </c>
      <c r="AE312" s="1381">
        <v>1.4</v>
      </c>
      <c r="AF312" s="1381">
        <v>1.3</v>
      </c>
      <c r="AG312" s="1381">
        <v>0.8</v>
      </c>
      <c r="AH312" s="1381">
        <v>0.6</v>
      </c>
      <c r="AI312" s="1381">
        <v>0.45</v>
      </c>
      <c r="AJ312" s="1381">
        <v>0.3</v>
      </c>
      <c r="AK312" s="1381">
        <v>0.15</v>
      </c>
      <c r="AL312" s="1280"/>
      <c r="AM312" s="1280"/>
      <c r="AN312" s="1280"/>
      <c r="AO312" s="1280"/>
      <c r="AP312" s="1367" t="s">
        <v>208</v>
      </c>
      <c r="AQ312" s="1367">
        <v>4</v>
      </c>
      <c r="AR312" s="1296">
        <v>1.7</v>
      </c>
      <c r="AS312" s="1296">
        <v>1.4</v>
      </c>
      <c r="AT312" s="1296">
        <v>1.3</v>
      </c>
      <c r="AU312" s="1296">
        <v>0.8</v>
      </c>
      <c r="AV312" s="1296">
        <v>0.6</v>
      </c>
      <c r="AW312" s="1296">
        <v>0.45</v>
      </c>
      <c r="AX312" s="1296">
        <v>0.3</v>
      </c>
      <c r="AY312" s="1296">
        <v>0.15</v>
      </c>
      <c r="AZ312" s="1290"/>
      <c r="BA312" s="1290"/>
      <c r="BB312" s="1290"/>
      <c r="BC312" s="1290"/>
      <c r="BD312" s="1260" t="s">
        <v>208</v>
      </c>
      <c r="BE312" s="1260">
        <v>4</v>
      </c>
      <c r="BF312" s="204">
        <v>1.7</v>
      </c>
      <c r="BG312" s="204">
        <v>1.4</v>
      </c>
      <c r="BH312" s="204">
        <v>1.3</v>
      </c>
      <c r="BI312" s="204">
        <v>0.8</v>
      </c>
      <c r="BJ312" s="204">
        <v>0.6</v>
      </c>
      <c r="BK312" s="204">
        <v>0.45</v>
      </c>
      <c r="BL312" s="204">
        <v>0.3</v>
      </c>
      <c r="BM312" s="204">
        <v>0.15</v>
      </c>
      <c r="BN312" s="1246"/>
      <c r="BO312" s="1246"/>
      <c r="BP312" s="1246"/>
      <c r="BQ312" s="1246"/>
    </row>
    <row r="313" spans="14:69" x14ac:dyDescent="0.25">
      <c r="N313" s="1276" t="s">
        <v>209</v>
      </c>
      <c r="O313" s="1276">
        <v>5</v>
      </c>
      <c r="P313" s="1373">
        <v>2.8</v>
      </c>
      <c r="Q313" s="1373">
        <v>1.75</v>
      </c>
      <c r="R313" s="1373">
        <v>1.4</v>
      </c>
      <c r="S313" s="1373">
        <v>0.9</v>
      </c>
      <c r="T313" s="1373">
        <v>0.65</v>
      </c>
      <c r="U313" s="1373">
        <v>0.5</v>
      </c>
      <c r="V313" s="1373">
        <v>0.35</v>
      </c>
      <c r="W313" s="1373">
        <v>0.2</v>
      </c>
      <c r="X313" s="1265"/>
      <c r="Y313" s="1265"/>
      <c r="Z313" s="1265"/>
      <c r="AA313" s="1265"/>
      <c r="AB313" s="1366" t="s">
        <v>209</v>
      </c>
      <c r="AC313" s="1366">
        <v>5</v>
      </c>
      <c r="AD313" s="1381">
        <v>2.8</v>
      </c>
      <c r="AE313" s="1381">
        <v>1.75</v>
      </c>
      <c r="AF313" s="1381">
        <v>1.4</v>
      </c>
      <c r="AG313" s="1381">
        <v>0.9</v>
      </c>
      <c r="AH313" s="1381">
        <v>0.65</v>
      </c>
      <c r="AI313" s="1381">
        <v>0.5</v>
      </c>
      <c r="AJ313" s="1381">
        <v>0.35</v>
      </c>
      <c r="AK313" s="1381">
        <v>0.2</v>
      </c>
      <c r="AL313" s="1280"/>
      <c r="AM313" s="1280"/>
      <c r="AN313" s="1280"/>
      <c r="AO313" s="1280"/>
      <c r="AP313" s="1367" t="s">
        <v>209</v>
      </c>
      <c r="AQ313" s="1367">
        <v>5</v>
      </c>
      <c r="AR313" s="1296">
        <v>2.8</v>
      </c>
      <c r="AS313" s="1296">
        <v>1.75</v>
      </c>
      <c r="AT313" s="1296">
        <v>1.4</v>
      </c>
      <c r="AU313" s="1296">
        <v>0.9</v>
      </c>
      <c r="AV313" s="1296">
        <v>0.65</v>
      </c>
      <c r="AW313" s="1296">
        <v>0.5</v>
      </c>
      <c r="AX313" s="1296">
        <v>0.35</v>
      </c>
      <c r="AY313" s="1296">
        <v>0.2</v>
      </c>
      <c r="AZ313" s="1290"/>
      <c r="BA313" s="1290"/>
      <c r="BB313" s="1290"/>
      <c r="BC313" s="1290"/>
      <c r="BD313" s="1260" t="s">
        <v>209</v>
      </c>
      <c r="BE313" s="1260">
        <v>5</v>
      </c>
      <c r="BF313" s="204">
        <v>2.8</v>
      </c>
      <c r="BG313" s="204">
        <v>1.75</v>
      </c>
      <c r="BH313" s="204">
        <v>1.4</v>
      </c>
      <c r="BI313" s="204">
        <v>0.9</v>
      </c>
      <c r="BJ313" s="204">
        <v>0.65</v>
      </c>
      <c r="BK313" s="204">
        <v>0.5</v>
      </c>
      <c r="BL313" s="204">
        <v>0.35</v>
      </c>
      <c r="BM313" s="204">
        <v>0.2</v>
      </c>
      <c r="BN313" s="1246"/>
      <c r="BO313" s="1246"/>
      <c r="BP313" s="1246"/>
      <c r="BQ313" s="1246"/>
    </row>
    <row r="314" spans="14:69" x14ac:dyDescent="0.25">
      <c r="N314" s="1276" t="s">
        <v>3667</v>
      </c>
      <c r="O314" s="1276">
        <v>6</v>
      </c>
      <c r="P314" s="1373">
        <v>1</v>
      </c>
      <c r="Q314" s="1373">
        <v>0.75</v>
      </c>
      <c r="R314" s="1373">
        <v>0.6</v>
      </c>
      <c r="S314" s="1373">
        <v>0.5</v>
      </c>
      <c r="T314" s="1373">
        <v>0.4</v>
      </c>
      <c r="U314" s="1373">
        <v>0.3</v>
      </c>
      <c r="V314" s="1373">
        <v>0.2</v>
      </c>
      <c r="W314" s="1373">
        <v>0.1</v>
      </c>
      <c r="X314" s="1265"/>
      <c r="Y314" s="1265"/>
      <c r="Z314" s="1265"/>
      <c r="AA314" s="1265"/>
      <c r="AB314" s="1366" t="s">
        <v>210</v>
      </c>
      <c r="AC314" s="1366">
        <v>6</v>
      </c>
      <c r="AD314" s="1381">
        <v>1</v>
      </c>
      <c r="AE314" s="1381">
        <v>0.75</v>
      </c>
      <c r="AF314" s="1381">
        <v>0.6</v>
      </c>
      <c r="AG314" s="1381">
        <v>0.5</v>
      </c>
      <c r="AH314" s="1381">
        <v>0.4</v>
      </c>
      <c r="AI314" s="1381">
        <v>0.3</v>
      </c>
      <c r="AJ314" s="1381">
        <v>0.2</v>
      </c>
      <c r="AK314" s="1381">
        <v>0.1</v>
      </c>
      <c r="AL314" s="1280"/>
      <c r="AM314" s="1280"/>
      <c r="AN314" s="1280"/>
      <c r="AO314" s="1280"/>
      <c r="AP314" s="1367" t="s">
        <v>210</v>
      </c>
      <c r="AQ314" s="1367">
        <v>6</v>
      </c>
      <c r="AR314" s="1296">
        <v>1</v>
      </c>
      <c r="AS314" s="1296">
        <v>0.75</v>
      </c>
      <c r="AT314" s="1296">
        <v>0.6</v>
      </c>
      <c r="AU314" s="1296">
        <v>0.5</v>
      </c>
      <c r="AV314" s="1296">
        <v>0.4</v>
      </c>
      <c r="AW314" s="1296">
        <v>0.3</v>
      </c>
      <c r="AX314" s="1296">
        <v>0.2</v>
      </c>
      <c r="AY314" s="1296">
        <v>0.1</v>
      </c>
      <c r="AZ314" s="1290"/>
      <c r="BA314" s="1290"/>
      <c r="BB314" s="1290"/>
      <c r="BC314" s="1290"/>
      <c r="BD314" s="1260" t="s">
        <v>210</v>
      </c>
      <c r="BE314" s="1260">
        <v>6</v>
      </c>
      <c r="BF314" s="204">
        <v>1</v>
      </c>
      <c r="BG314" s="204">
        <v>0.75</v>
      </c>
      <c r="BH314" s="204">
        <v>0.6</v>
      </c>
      <c r="BI314" s="204">
        <v>0.5</v>
      </c>
      <c r="BJ314" s="204">
        <v>0.4</v>
      </c>
      <c r="BK314" s="204">
        <v>0.3</v>
      </c>
      <c r="BL314" s="204">
        <v>0.2</v>
      </c>
      <c r="BM314" s="204">
        <v>0.1</v>
      </c>
      <c r="BN314" s="1246"/>
      <c r="BO314" s="1246"/>
      <c r="BP314" s="1246"/>
      <c r="BQ314" s="1246"/>
    </row>
    <row r="315" spans="14:69" x14ac:dyDescent="0.25">
      <c r="N315" s="1276" t="s">
        <v>211</v>
      </c>
      <c r="O315" s="1276">
        <v>7</v>
      </c>
      <c r="P315" s="1373">
        <v>2.15</v>
      </c>
      <c r="Q315" s="1373">
        <v>1.05</v>
      </c>
      <c r="R315" s="1373">
        <v>0.85</v>
      </c>
      <c r="S315" s="1373">
        <v>0.65</v>
      </c>
      <c r="T315" s="1373">
        <v>0.55000000000000004</v>
      </c>
      <c r="U315" s="1373">
        <v>0.35</v>
      </c>
      <c r="V315" s="1373">
        <v>0.25</v>
      </c>
      <c r="W315" s="1373">
        <v>0.2</v>
      </c>
      <c r="X315" s="1265"/>
      <c r="Y315" s="1265"/>
      <c r="Z315" s="1265"/>
      <c r="AA315" s="1265"/>
      <c r="AB315" s="1366" t="s">
        <v>211</v>
      </c>
      <c r="AC315" s="1366">
        <v>7</v>
      </c>
      <c r="AD315" s="1381">
        <v>2.15</v>
      </c>
      <c r="AE315" s="1381">
        <v>1.05</v>
      </c>
      <c r="AF315" s="1381">
        <v>0.85</v>
      </c>
      <c r="AG315" s="1381">
        <v>0.65</v>
      </c>
      <c r="AH315" s="1381">
        <v>0.55000000000000004</v>
      </c>
      <c r="AI315" s="1381">
        <v>0.35</v>
      </c>
      <c r="AJ315" s="1381">
        <v>0.25</v>
      </c>
      <c r="AK315" s="1381">
        <v>0.2</v>
      </c>
      <c r="AL315" s="1280"/>
      <c r="AM315" s="1280"/>
      <c r="AN315" s="1280"/>
      <c r="AO315" s="1280"/>
      <c r="AP315" s="1367" t="s">
        <v>211</v>
      </c>
      <c r="AQ315" s="1367">
        <v>7</v>
      </c>
      <c r="AR315" s="1296">
        <v>2.15</v>
      </c>
      <c r="AS315" s="1296">
        <v>1.05</v>
      </c>
      <c r="AT315" s="1296">
        <v>0.85</v>
      </c>
      <c r="AU315" s="1296">
        <v>0.65</v>
      </c>
      <c r="AV315" s="1296">
        <v>0.55000000000000004</v>
      </c>
      <c r="AW315" s="1296">
        <v>0.35</v>
      </c>
      <c r="AX315" s="1296">
        <v>0.25</v>
      </c>
      <c r="AY315" s="1296">
        <v>0.2</v>
      </c>
      <c r="AZ315" s="1290"/>
      <c r="BA315" s="1290"/>
      <c r="BB315" s="1290"/>
      <c r="BC315" s="1290"/>
      <c r="BD315" s="1260" t="s">
        <v>211</v>
      </c>
      <c r="BE315" s="1260">
        <v>7</v>
      </c>
      <c r="BF315" s="204">
        <v>2.15</v>
      </c>
      <c r="BG315" s="204">
        <v>1.05</v>
      </c>
      <c r="BH315" s="204">
        <v>0.85</v>
      </c>
      <c r="BI315" s="204">
        <v>0.65</v>
      </c>
      <c r="BJ315" s="204">
        <v>0.55000000000000004</v>
      </c>
      <c r="BK315" s="204">
        <v>0.35</v>
      </c>
      <c r="BL315" s="204">
        <v>0.25</v>
      </c>
      <c r="BM315" s="204">
        <v>0.2</v>
      </c>
      <c r="BN315" s="1246"/>
      <c r="BO315" s="1246"/>
      <c r="BP315" s="1246"/>
      <c r="BQ315" s="1246"/>
    </row>
    <row r="316" spans="14:69" x14ac:dyDescent="0.25">
      <c r="N316" s="1276" t="s">
        <v>212</v>
      </c>
      <c r="O316" s="1276">
        <v>8</v>
      </c>
      <c r="P316" s="1373">
        <v>1.8</v>
      </c>
      <c r="Q316" s="1373">
        <v>1.3</v>
      </c>
      <c r="R316" s="1373">
        <v>1.1000000000000001</v>
      </c>
      <c r="S316" s="1373">
        <v>0.9</v>
      </c>
      <c r="T316" s="1373">
        <v>0.7</v>
      </c>
      <c r="U316" s="1373">
        <v>0.5</v>
      </c>
      <c r="V316" s="1373">
        <v>0.35</v>
      </c>
      <c r="W316" s="1373">
        <v>0.2</v>
      </c>
      <c r="X316" s="1265"/>
      <c r="Y316" s="1265"/>
      <c r="Z316" s="1265"/>
      <c r="AA316" s="1265"/>
      <c r="AB316" s="1366" t="s">
        <v>212</v>
      </c>
      <c r="AC316" s="1366">
        <v>8</v>
      </c>
      <c r="AD316" s="1381">
        <v>1.8</v>
      </c>
      <c r="AE316" s="1381">
        <v>1.3</v>
      </c>
      <c r="AF316" s="1381">
        <v>1.1000000000000001</v>
      </c>
      <c r="AG316" s="1381">
        <v>0.9</v>
      </c>
      <c r="AH316" s="1381">
        <v>0.7</v>
      </c>
      <c r="AI316" s="1381">
        <v>0.5</v>
      </c>
      <c r="AJ316" s="1381">
        <v>0.35</v>
      </c>
      <c r="AK316" s="1381">
        <v>0.2</v>
      </c>
      <c r="AL316" s="1280"/>
      <c r="AM316" s="1280"/>
      <c r="AN316" s="1280"/>
      <c r="AO316" s="1280"/>
      <c r="AP316" s="1367" t="s">
        <v>212</v>
      </c>
      <c r="AQ316" s="1367">
        <v>8</v>
      </c>
      <c r="AR316" s="1296">
        <v>1.8</v>
      </c>
      <c r="AS316" s="1296">
        <v>1.3</v>
      </c>
      <c r="AT316" s="1296">
        <v>1.1000000000000001</v>
      </c>
      <c r="AU316" s="1296">
        <v>0.9</v>
      </c>
      <c r="AV316" s="1296">
        <v>0.7</v>
      </c>
      <c r="AW316" s="1296">
        <v>0.5</v>
      </c>
      <c r="AX316" s="1296">
        <v>0.35</v>
      </c>
      <c r="AY316" s="1296">
        <v>0.2</v>
      </c>
      <c r="AZ316" s="1290"/>
      <c r="BA316" s="1290"/>
      <c r="BB316" s="1290"/>
      <c r="BC316" s="1290"/>
      <c r="BD316" s="1260" t="s">
        <v>212</v>
      </c>
      <c r="BE316" s="1260">
        <v>8</v>
      </c>
      <c r="BF316" s="204">
        <v>1.8</v>
      </c>
      <c r="BG316" s="204">
        <v>1.3</v>
      </c>
      <c r="BH316" s="204">
        <v>1.1000000000000001</v>
      </c>
      <c r="BI316" s="204">
        <v>0.9</v>
      </c>
      <c r="BJ316" s="204">
        <v>0.7</v>
      </c>
      <c r="BK316" s="204">
        <v>0.5</v>
      </c>
      <c r="BL316" s="204">
        <v>0.35</v>
      </c>
      <c r="BM316" s="204">
        <v>0.2</v>
      </c>
      <c r="BN316" s="1246"/>
      <c r="BO316" s="1246"/>
      <c r="BP316" s="1246"/>
      <c r="BQ316" s="1246"/>
    </row>
    <row r="317" spans="14:69" ht="15.75" customHeight="1" x14ac:dyDescent="0.25">
      <c r="N317" s="1276" t="s">
        <v>3668</v>
      </c>
      <c r="O317" s="1276">
        <v>9</v>
      </c>
      <c r="P317" s="1373">
        <v>1.25</v>
      </c>
      <c r="Q317" s="1373">
        <v>0.7</v>
      </c>
      <c r="R317" s="1373">
        <v>0.5</v>
      </c>
      <c r="S317" s="1373">
        <v>0.35</v>
      </c>
      <c r="T317" s="1373">
        <v>0.3</v>
      </c>
      <c r="U317" s="1373">
        <v>0.25</v>
      </c>
      <c r="V317" s="1373">
        <v>0.2</v>
      </c>
      <c r="W317" s="1373">
        <v>0.1</v>
      </c>
      <c r="X317" s="1265"/>
      <c r="Y317" s="1265"/>
      <c r="Z317" s="1265"/>
      <c r="AA317" s="1265"/>
      <c r="AB317" s="1366" t="s">
        <v>213</v>
      </c>
      <c r="AC317" s="1366">
        <v>9</v>
      </c>
      <c r="AD317" s="1381">
        <v>1.25</v>
      </c>
      <c r="AE317" s="1381">
        <v>0.7</v>
      </c>
      <c r="AF317" s="1381">
        <v>0.5</v>
      </c>
      <c r="AG317" s="1381">
        <v>0.35</v>
      </c>
      <c r="AH317" s="1381">
        <v>0.3</v>
      </c>
      <c r="AI317" s="1381">
        <v>0.25</v>
      </c>
      <c r="AJ317" s="1381">
        <v>0.2</v>
      </c>
      <c r="AK317" s="1381">
        <v>0.1</v>
      </c>
      <c r="AL317" s="1280"/>
      <c r="AM317" s="1280"/>
      <c r="AN317" s="1280"/>
      <c r="AO317" s="1280"/>
      <c r="AP317" s="1367" t="s">
        <v>213</v>
      </c>
      <c r="AQ317" s="1367">
        <v>9</v>
      </c>
      <c r="AR317" s="1296">
        <v>1.25</v>
      </c>
      <c r="AS317" s="1296">
        <v>0.7</v>
      </c>
      <c r="AT317" s="1296">
        <v>0.5</v>
      </c>
      <c r="AU317" s="1296">
        <v>0.35</v>
      </c>
      <c r="AV317" s="1296">
        <v>0.3</v>
      </c>
      <c r="AW317" s="1296">
        <v>0.25</v>
      </c>
      <c r="AX317" s="1296">
        <v>0.2</v>
      </c>
      <c r="AY317" s="1296">
        <v>0.1</v>
      </c>
      <c r="AZ317" s="1290"/>
      <c r="BA317" s="1290"/>
      <c r="BB317" s="1290"/>
      <c r="BC317" s="1290"/>
      <c r="BD317" s="1260" t="s">
        <v>213</v>
      </c>
      <c r="BE317" s="1260">
        <v>9</v>
      </c>
      <c r="BF317" s="204">
        <v>1.25</v>
      </c>
      <c r="BG317" s="204">
        <v>0.7</v>
      </c>
      <c r="BH317" s="204">
        <v>0.5</v>
      </c>
      <c r="BI317" s="204">
        <v>0.35</v>
      </c>
      <c r="BJ317" s="204">
        <v>0.3</v>
      </c>
      <c r="BK317" s="204">
        <v>0.25</v>
      </c>
      <c r="BL317" s="204">
        <v>0.2</v>
      </c>
      <c r="BM317" s="204">
        <v>0.1</v>
      </c>
      <c r="BN317" s="1246"/>
      <c r="BO317" s="1246"/>
      <c r="BP317" s="1246"/>
      <c r="BQ317" s="1246"/>
    </row>
    <row r="318" spans="14:69" x14ac:dyDescent="0.25">
      <c r="N318" s="1271"/>
      <c r="O318" s="1271"/>
      <c r="P318" s="1271"/>
      <c r="Q318" s="1271"/>
      <c r="R318" s="1265"/>
      <c r="S318" s="1265"/>
      <c r="T318" s="1265"/>
      <c r="U318" s="1265"/>
      <c r="V318" s="1265"/>
      <c r="W318" s="1265"/>
      <c r="X318" s="1265"/>
      <c r="Y318" s="1265"/>
      <c r="Z318" s="1265"/>
      <c r="AA318" s="1265"/>
      <c r="AB318" s="1284" t="s">
        <v>214</v>
      </c>
      <c r="AC318" s="1284"/>
      <c r="AD318" s="1284"/>
      <c r="AE318" s="1284"/>
      <c r="AF318" s="1280"/>
      <c r="AG318" s="1280"/>
      <c r="AH318" s="1280"/>
      <c r="AI318" s="1280"/>
      <c r="AJ318" s="1280"/>
      <c r="AK318" s="1280"/>
      <c r="AL318" s="1280"/>
      <c r="AM318" s="1280"/>
      <c r="AN318" s="1286"/>
      <c r="AO318" s="1286"/>
      <c r="AP318" s="1294" t="s">
        <v>215</v>
      </c>
      <c r="AQ318" s="1294"/>
      <c r="AR318" s="1294"/>
      <c r="AS318" s="1294"/>
      <c r="AT318" s="1290"/>
      <c r="AU318" s="1290"/>
      <c r="AV318" s="1290"/>
      <c r="AW318" s="1290"/>
      <c r="AX318" s="1290"/>
      <c r="AY318" s="1290"/>
      <c r="AZ318" s="1290"/>
      <c r="BA318" s="1290"/>
      <c r="BB318" s="1290"/>
      <c r="BC318" s="1290"/>
      <c r="BD318" s="1250" t="s">
        <v>215</v>
      </c>
      <c r="BE318" s="1250"/>
      <c r="BF318" s="1250"/>
      <c r="BG318" s="1250"/>
      <c r="BH318" s="1246"/>
      <c r="BI318" s="1246"/>
      <c r="BJ318" s="1246"/>
      <c r="BK318" s="1246"/>
      <c r="BL318" s="1246"/>
      <c r="BM318" s="1246"/>
      <c r="BN318" s="1246"/>
      <c r="BO318" s="1246"/>
      <c r="BP318" s="1253"/>
      <c r="BQ318" s="1253"/>
    </row>
    <row r="319" spans="14:69" x14ac:dyDescent="0.25">
      <c r="N319" s="1955"/>
      <c r="O319" s="1276"/>
      <c r="P319" s="1945"/>
      <c r="Q319" s="1946"/>
      <c r="R319" s="1946"/>
      <c r="S319" s="1946"/>
      <c r="T319" s="1946"/>
      <c r="U319" s="1946"/>
      <c r="V319" s="1946"/>
      <c r="W319" s="1946"/>
      <c r="X319" s="1946"/>
      <c r="Y319" s="1946"/>
      <c r="Z319" s="1946"/>
      <c r="AA319" s="1947"/>
      <c r="AB319" s="1926" t="s">
        <v>111</v>
      </c>
      <c r="AC319" s="1366"/>
      <c r="AD319" s="1926" t="s">
        <v>216</v>
      </c>
      <c r="AE319" s="1926"/>
      <c r="AF319" s="1926"/>
      <c r="AG319" s="1926"/>
      <c r="AH319" s="1926"/>
      <c r="AI319" s="1926"/>
      <c r="AJ319" s="1926"/>
      <c r="AK319" s="1926"/>
      <c r="AL319" s="1926"/>
      <c r="AM319" s="1926"/>
      <c r="AN319" s="1926"/>
      <c r="AO319" s="1926"/>
      <c r="AP319" s="1927" t="s">
        <v>111</v>
      </c>
      <c r="AQ319" s="1367"/>
      <c r="AR319" s="1928" t="s">
        <v>216</v>
      </c>
      <c r="AS319" s="1928"/>
      <c r="AT319" s="1928"/>
      <c r="AU319" s="1928"/>
      <c r="AV319" s="1928"/>
      <c r="AW319" s="1928"/>
      <c r="AX319" s="1928"/>
      <c r="AY319" s="1928"/>
      <c r="AZ319" s="1928"/>
      <c r="BA319" s="1928"/>
      <c r="BB319" s="1928"/>
      <c r="BC319" s="1928"/>
      <c r="BD319" s="1929" t="s">
        <v>111</v>
      </c>
      <c r="BE319" s="1260"/>
      <c r="BF319" s="1998" t="s">
        <v>216</v>
      </c>
      <c r="BG319" s="1999"/>
      <c r="BH319" s="1999"/>
      <c r="BI319" s="1999"/>
      <c r="BJ319" s="1999"/>
      <c r="BK319" s="1999"/>
      <c r="BL319" s="1999"/>
      <c r="BM319" s="1999"/>
      <c r="BN319" s="1999"/>
      <c r="BO319" s="1999"/>
      <c r="BP319" s="1999"/>
      <c r="BQ319" s="2000"/>
    </row>
    <row r="320" spans="14:69" x14ac:dyDescent="0.25">
      <c r="N320" s="1956"/>
      <c r="O320" s="1276"/>
      <c r="P320" s="1373"/>
      <c r="Q320" s="1373"/>
      <c r="R320" s="1373"/>
      <c r="S320" s="1373"/>
      <c r="T320" s="1373"/>
      <c r="U320" s="1373"/>
      <c r="V320" s="1373"/>
      <c r="W320" s="1373"/>
      <c r="X320" s="1373"/>
      <c r="Y320" s="1373"/>
      <c r="Z320" s="1373"/>
      <c r="AA320" s="1373"/>
      <c r="AB320" s="1926"/>
      <c r="AC320" s="1366"/>
      <c r="AD320" s="1381">
        <v>15</v>
      </c>
      <c r="AE320" s="1381">
        <v>20</v>
      </c>
      <c r="AF320" s="1381">
        <v>50</v>
      </c>
      <c r="AG320" s="1381">
        <v>100</v>
      </c>
      <c r="AH320" s="1381">
        <v>200</v>
      </c>
      <c r="AI320" s="1381">
        <v>500</v>
      </c>
      <c r="AJ320" s="1381">
        <v>1000</v>
      </c>
      <c r="AK320" s="1381">
        <v>2000</v>
      </c>
      <c r="AL320" s="1381">
        <v>5000</v>
      </c>
      <c r="AM320" s="1381">
        <v>10000</v>
      </c>
      <c r="AN320" s="1381">
        <v>20000</v>
      </c>
      <c r="AO320" s="1381">
        <v>30000</v>
      </c>
      <c r="AP320" s="1927"/>
      <c r="AQ320" s="1367"/>
      <c r="AR320" s="1296">
        <v>15</v>
      </c>
      <c r="AS320" s="1296">
        <v>20</v>
      </c>
      <c r="AT320" s="1296">
        <v>50</v>
      </c>
      <c r="AU320" s="1296">
        <v>100</v>
      </c>
      <c r="AV320" s="1296">
        <v>200</v>
      </c>
      <c r="AW320" s="1296">
        <v>500</v>
      </c>
      <c r="AX320" s="1296">
        <v>1000</v>
      </c>
      <c r="AY320" s="1296">
        <v>2000</v>
      </c>
      <c r="AZ320" s="1296">
        <v>5000</v>
      </c>
      <c r="BA320" s="1296">
        <v>10000</v>
      </c>
      <c r="BB320" s="1296">
        <v>20000</v>
      </c>
      <c r="BC320" s="1296">
        <v>30000</v>
      </c>
      <c r="BD320" s="1929"/>
      <c r="BE320" s="1260"/>
      <c r="BF320" s="204">
        <v>15</v>
      </c>
      <c r="BG320" s="204">
        <v>20</v>
      </c>
      <c r="BH320" s="204">
        <v>50</v>
      </c>
      <c r="BI320" s="204">
        <v>100</v>
      </c>
      <c r="BJ320" s="204">
        <v>200</v>
      </c>
      <c r="BK320" s="204">
        <v>500</v>
      </c>
      <c r="BL320" s="204">
        <v>1000</v>
      </c>
      <c r="BM320" s="204">
        <v>2000</v>
      </c>
      <c r="BN320" s="204">
        <v>5000</v>
      </c>
      <c r="BO320" s="204">
        <v>10000</v>
      </c>
      <c r="BP320" s="1255">
        <v>20000</v>
      </c>
      <c r="BQ320" s="1255">
        <v>30000</v>
      </c>
    </row>
    <row r="321" spans="14:69" x14ac:dyDescent="0.25">
      <c r="N321" s="1276"/>
      <c r="O321" s="1276"/>
      <c r="P321" s="1373"/>
      <c r="Q321" s="1373"/>
      <c r="R321" s="1373"/>
      <c r="S321" s="1373"/>
      <c r="T321" s="1373"/>
      <c r="U321" s="1373"/>
      <c r="V321" s="1373"/>
      <c r="W321" s="1373"/>
      <c r="X321" s="1373"/>
      <c r="Y321" s="1373"/>
      <c r="Z321" s="1373"/>
      <c r="AA321" s="1373"/>
      <c r="AB321" s="1366" t="s">
        <v>112</v>
      </c>
      <c r="AC321" s="1366">
        <v>1</v>
      </c>
      <c r="AD321" s="1381">
        <v>9.8000000000000004E-2</v>
      </c>
      <c r="AE321" s="1381">
        <v>8.1000000000000003E-2</v>
      </c>
      <c r="AF321" s="1381">
        <v>6.6000000000000003E-2</v>
      </c>
      <c r="AG321" s="1381">
        <v>4.7E-2</v>
      </c>
      <c r="AH321" s="1381">
        <v>3.5000000000000003E-2</v>
      </c>
      <c r="AI321" s="1381">
        <v>2.3E-2</v>
      </c>
      <c r="AJ321" s="1381">
        <v>0.02</v>
      </c>
      <c r="AK321" s="1381">
        <v>1.7000000000000001E-2</v>
      </c>
      <c r="AL321" s="1381">
        <v>1.4E-2</v>
      </c>
      <c r="AM321" s="1381">
        <v>0.01</v>
      </c>
      <c r="AN321" s="1381">
        <v>8.0000000000000002E-3</v>
      </c>
      <c r="AO321" s="1381">
        <v>6.0000000000000001E-3</v>
      </c>
      <c r="AP321" s="1367" t="s">
        <v>112</v>
      </c>
      <c r="AQ321" s="1367">
        <v>1</v>
      </c>
      <c r="AR321" s="1296">
        <v>9.8000000000000004E-2</v>
      </c>
      <c r="AS321" s="1296">
        <v>8.1000000000000003E-2</v>
      </c>
      <c r="AT321" s="1296">
        <v>6.6000000000000003E-2</v>
      </c>
      <c r="AU321" s="1296">
        <v>4.7E-2</v>
      </c>
      <c r="AV321" s="1296">
        <v>3.5000000000000003E-2</v>
      </c>
      <c r="AW321" s="1296">
        <v>2.3E-2</v>
      </c>
      <c r="AX321" s="1296">
        <v>0.02</v>
      </c>
      <c r="AY321" s="1296">
        <v>1.7000000000000001E-2</v>
      </c>
      <c r="AZ321" s="1296">
        <v>1.4E-2</v>
      </c>
      <c r="BA321" s="1296">
        <v>0.01</v>
      </c>
      <c r="BB321" s="1296">
        <v>8.0000000000000002E-3</v>
      </c>
      <c r="BC321" s="1296">
        <v>6.0000000000000001E-3</v>
      </c>
      <c r="BD321" s="1260" t="s">
        <v>112</v>
      </c>
      <c r="BE321" s="1260">
        <v>1</v>
      </c>
      <c r="BF321" s="204">
        <v>9.8000000000000004E-2</v>
      </c>
      <c r="BG321" s="204">
        <v>8.1000000000000003E-2</v>
      </c>
      <c r="BH321" s="204">
        <v>6.6000000000000003E-2</v>
      </c>
      <c r="BI321" s="204">
        <v>4.7E-2</v>
      </c>
      <c r="BJ321" s="204">
        <v>3.5000000000000003E-2</v>
      </c>
      <c r="BK321" s="204">
        <v>2.3E-2</v>
      </c>
      <c r="BL321" s="204">
        <v>0.02</v>
      </c>
      <c r="BM321" s="204">
        <v>1.7000000000000001E-2</v>
      </c>
      <c r="BN321" s="204">
        <v>1.4E-2</v>
      </c>
      <c r="BO321" s="204">
        <v>0.01</v>
      </c>
      <c r="BP321" s="1255">
        <v>8.0000000000000002E-3</v>
      </c>
      <c r="BQ321" s="1255">
        <v>6.0000000000000001E-3</v>
      </c>
    </row>
    <row r="322" spans="14:69" x14ac:dyDescent="0.25">
      <c r="N322" s="1276"/>
      <c r="O322" s="1276"/>
      <c r="P322" s="1373"/>
      <c r="Q322" s="1373"/>
      <c r="R322" s="1373"/>
      <c r="S322" s="1373"/>
      <c r="T322" s="1373"/>
      <c r="U322" s="1373"/>
      <c r="V322" s="1373"/>
      <c r="W322" s="1373"/>
      <c r="X322" s="1373"/>
      <c r="Y322" s="1373"/>
      <c r="Z322" s="1373"/>
      <c r="AA322" s="1373"/>
      <c r="AB322" s="1366" t="s">
        <v>113</v>
      </c>
      <c r="AC322" s="1366">
        <v>2</v>
      </c>
      <c r="AD322" s="1381">
        <v>0.14000000000000001</v>
      </c>
      <c r="AE322" s="1381">
        <v>0.11899999999999999</v>
      </c>
      <c r="AF322" s="1381">
        <v>9.5000000000000001E-2</v>
      </c>
      <c r="AG322" s="1381">
        <v>7.0000000000000007E-2</v>
      </c>
      <c r="AH322" s="1381">
        <v>5.5E-2</v>
      </c>
      <c r="AI322" s="1381">
        <v>4.1000000000000002E-2</v>
      </c>
      <c r="AJ322" s="1381">
        <v>3.5999999999999997E-2</v>
      </c>
      <c r="AK322" s="1381">
        <v>2.9000000000000001E-2</v>
      </c>
      <c r="AL322" s="1381">
        <v>2.5000000000000001E-2</v>
      </c>
      <c r="AM322" s="1381">
        <v>1.4999999999999999E-2</v>
      </c>
      <c r="AN322" s="1381">
        <v>0.01</v>
      </c>
      <c r="AO322" s="1381">
        <v>7.0000000000000001E-3</v>
      </c>
      <c r="AP322" s="1367" t="s">
        <v>113</v>
      </c>
      <c r="AQ322" s="1367">
        <v>2</v>
      </c>
      <c r="AR322" s="1296">
        <v>0.14000000000000001</v>
      </c>
      <c r="AS322" s="1296">
        <v>0.11899999999999999</v>
      </c>
      <c r="AT322" s="1296">
        <v>9.5000000000000001E-2</v>
      </c>
      <c r="AU322" s="1296">
        <v>7.0000000000000007E-2</v>
      </c>
      <c r="AV322" s="1296">
        <v>5.5E-2</v>
      </c>
      <c r="AW322" s="1296">
        <v>4.1000000000000002E-2</v>
      </c>
      <c r="AX322" s="1296">
        <v>3.5999999999999997E-2</v>
      </c>
      <c r="AY322" s="1296">
        <v>2.9000000000000001E-2</v>
      </c>
      <c r="AZ322" s="1296">
        <v>2.5000000000000001E-2</v>
      </c>
      <c r="BA322" s="1296">
        <v>1.4999999999999999E-2</v>
      </c>
      <c r="BB322" s="1296">
        <v>0.01</v>
      </c>
      <c r="BC322" s="1296">
        <v>7.0000000000000001E-3</v>
      </c>
      <c r="BD322" s="1260" t="s">
        <v>113</v>
      </c>
      <c r="BE322" s="1260">
        <v>2</v>
      </c>
      <c r="BF322" s="204">
        <v>0.14000000000000001</v>
      </c>
      <c r="BG322" s="204">
        <v>0.11899999999999999</v>
      </c>
      <c r="BH322" s="204">
        <v>9.5000000000000001E-2</v>
      </c>
      <c r="BI322" s="204">
        <v>7.0000000000000007E-2</v>
      </c>
      <c r="BJ322" s="204">
        <v>5.5E-2</v>
      </c>
      <c r="BK322" s="204">
        <v>4.1000000000000002E-2</v>
      </c>
      <c r="BL322" s="204">
        <v>3.5999999999999997E-2</v>
      </c>
      <c r="BM322" s="204">
        <v>2.9000000000000001E-2</v>
      </c>
      <c r="BN322" s="204">
        <v>2.5000000000000001E-2</v>
      </c>
      <c r="BO322" s="204">
        <v>1.4999999999999999E-2</v>
      </c>
      <c r="BP322" s="1255">
        <v>0.01</v>
      </c>
      <c r="BQ322" s="1255">
        <v>7.0000000000000001E-3</v>
      </c>
    </row>
    <row r="323" spans="14:69" x14ac:dyDescent="0.25">
      <c r="N323" s="1276"/>
      <c r="O323" s="1276"/>
      <c r="P323" s="1373"/>
      <c r="Q323" s="1373"/>
      <c r="R323" s="1373"/>
      <c r="S323" s="1373"/>
      <c r="T323" s="1373"/>
      <c r="U323" s="1373"/>
      <c r="V323" s="1373"/>
      <c r="W323" s="1373"/>
      <c r="X323" s="1373"/>
      <c r="Y323" s="1373"/>
      <c r="Z323" s="1373"/>
      <c r="AA323" s="1373"/>
      <c r="AB323" s="1366" t="s">
        <v>114</v>
      </c>
      <c r="AC323" s="1366">
        <v>3</v>
      </c>
      <c r="AD323" s="1381">
        <v>7.3999999999999996E-2</v>
      </c>
      <c r="AE323" s="1381">
        <v>6.7000000000000004E-2</v>
      </c>
      <c r="AF323" s="1381">
        <v>5.3999999999999999E-2</v>
      </c>
      <c r="AG323" s="1381">
        <v>4.2000000000000003E-2</v>
      </c>
      <c r="AH323" s="1381">
        <v>2.9000000000000001E-2</v>
      </c>
      <c r="AI323" s="1381">
        <v>1.7999999999999999E-2</v>
      </c>
      <c r="AJ323" s="1381">
        <v>1.6E-2</v>
      </c>
      <c r="AK323" s="1381">
        <v>1.2999999999999999E-2</v>
      </c>
      <c r="AL323" s="1381">
        <v>1.0999999999999999E-2</v>
      </c>
      <c r="AM323" s="1381">
        <v>7.0000000000000001E-3</v>
      </c>
      <c r="AN323" s="1381">
        <v>5.0000000000000001E-3</v>
      </c>
      <c r="AO323" s="1381">
        <v>4.0000000000000001E-3</v>
      </c>
      <c r="AP323" s="1367" t="s">
        <v>114</v>
      </c>
      <c r="AQ323" s="1367">
        <v>3</v>
      </c>
      <c r="AR323" s="1296">
        <v>7.3999999999999996E-2</v>
      </c>
      <c r="AS323" s="1296">
        <v>6.7000000000000004E-2</v>
      </c>
      <c r="AT323" s="1296">
        <v>5.3999999999999999E-2</v>
      </c>
      <c r="AU323" s="1296">
        <v>4.2000000000000003E-2</v>
      </c>
      <c r="AV323" s="1296">
        <v>2.9000000000000001E-2</v>
      </c>
      <c r="AW323" s="1296">
        <v>1.7999999999999999E-2</v>
      </c>
      <c r="AX323" s="1296">
        <v>1.6E-2</v>
      </c>
      <c r="AY323" s="1296">
        <v>1.2999999999999999E-2</v>
      </c>
      <c r="AZ323" s="1296">
        <v>1.0999999999999999E-2</v>
      </c>
      <c r="BA323" s="1296">
        <v>7.0000000000000001E-3</v>
      </c>
      <c r="BB323" s="1296">
        <v>5.0000000000000001E-3</v>
      </c>
      <c r="BC323" s="1296">
        <v>4.0000000000000001E-3</v>
      </c>
      <c r="BD323" s="1260" t="s">
        <v>114</v>
      </c>
      <c r="BE323" s="1260">
        <v>3</v>
      </c>
      <c r="BF323" s="204">
        <v>7.3999999999999996E-2</v>
      </c>
      <c r="BG323" s="204">
        <v>6.7000000000000004E-2</v>
      </c>
      <c r="BH323" s="204">
        <v>5.3999999999999999E-2</v>
      </c>
      <c r="BI323" s="204">
        <v>4.2000000000000003E-2</v>
      </c>
      <c r="BJ323" s="204">
        <v>2.9000000000000001E-2</v>
      </c>
      <c r="BK323" s="204">
        <v>1.7999999999999999E-2</v>
      </c>
      <c r="BL323" s="204">
        <v>1.6E-2</v>
      </c>
      <c r="BM323" s="204">
        <v>1.2999999999999999E-2</v>
      </c>
      <c r="BN323" s="204">
        <v>1.0999999999999999E-2</v>
      </c>
      <c r="BO323" s="204">
        <v>7.0000000000000001E-3</v>
      </c>
      <c r="BP323" s="1255">
        <v>5.0000000000000001E-3</v>
      </c>
      <c r="BQ323" s="1255">
        <v>4.0000000000000001E-3</v>
      </c>
    </row>
    <row r="324" spans="14:69" x14ac:dyDescent="0.25">
      <c r="N324" s="1276"/>
      <c r="O324" s="1276"/>
      <c r="P324" s="1373"/>
      <c r="Q324" s="1373"/>
      <c r="R324" s="1373"/>
      <c r="S324" s="1373"/>
      <c r="T324" s="1373"/>
      <c r="U324" s="1373"/>
      <c r="V324" s="1373"/>
      <c r="W324" s="1373"/>
      <c r="X324" s="1373"/>
      <c r="Y324" s="1373"/>
      <c r="Z324" s="1373"/>
      <c r="AA324" s="1373"/>
      <c r="AB324" s="1366" t="s">
        <v>115</v>
      </c>
      <c r="AC324" s="1366">
        <v>4</v>
      </c>
      <c r="AD324" s="1381">
        <v>8.7999999999999995E-2</v>
      </c>
      <c r="AE324" s="1381">
        <v>0.08</v>
      </c>
      <c r="AF324" s="1381">
        <v>6.4000000000000001E-2</v>
      </c>
      <c r="AG324" s="1381">
        <v>4.4999999999999998E-2</v>
      </c>
      <c r="AH324" s="1381">
        <v>3.4000000000000002E-2</v>
      </c>
      <c r="AI324" s="1381">
        <v>2.1999999999999999E-2</v>
      </c>
      <c r="AJ324" s="1381">
        <v>1.9E-2</v>
      </c>
      <c r="AK324" s="1381">
        <v>1.6E-2</v>
      </c>
      <c r="AL324" s="1381">
        <v>1.2999999999999999E-2</v>
      </c>
      <c r="AM324" s="1381">
        <v>8.9999999999999993E-3</v>
      </c>
      <c r="AN324" s="1381">
        <v>7.0000000000000001E-3</v>
      </c>
      <c r="AO324" s="1381">
        <v>5.0000000000000001E-3</v>
      </c>
      <c r="AP324" s="1367" t="s">
        <v>115</v>
      </c>
      <c r="AQ324" s="1367">
        <v>4</v>
      </c>
      <c r="AR324" s="1296">
        <v>8.7999999999999995E-2</v>
      </c>
      <c r="AS324" s="1296">
        <v>0.08</v>
      </c>
      <c r="AT324" s="1296">
        <v>6.4000000000000001E-2</v>
      </c>
      <c r="AU324" s="1296">
        <v>4.4999999999999998E-2</v>
      </c>
      <c r="AV324" s="1296">
        <v>3.4000000000000002E-2</v>
      </c>
      <c r="AW324" s="1296">
        <v>2.1999999999999999E-2</v>
      </c>
      <c r="AX324" s="1296">
        <v>1.9E-2</v>
      </c>
      <c r="AY324" s="1296">
        <v>1.6E-2</v>
      </c>
      <c r="AZ324" s="1296">
        <v>1.2999999999999999E-2</v>
      </c>
      <c r="BA324" s="1296">
        <v>8.9999999999999993E-3</v>
      </c>
      <c r="BB324" s="1296">
        <v>7.0000000000000001E-3</v>
      </c>
      <c r="BC324" s="1296">
        <v>5.0000000000000001E-3</v>
      </c>
      <c r="BD324" s="1260" t="s">
        <v>115</v>
      </c>
      <c r="BE324" s="1260">
        <v>4</v>
      </c>
      <c r="BF324" s="204">
        <v>8.7999999999999995E-2</v>
      </c>
      <c r="BG324" s="204">
        <v>0.08</v>
      </c>
      <c r="BH324" s="204">
        <v>6.4000000000000001E-2</v>
      </c>
      <c r="BI324" s="204">
        <v>4.4999999999999998E-2</v>
      </c>
      <c r="BJ324" s="204">
        <v>3.4000000000000002E-2</v>
      </c>
      <c r="BK324" s="204">
        <v>2.1999999999999999E-2</v>
      </c>
      <c r="BL324" s="204">
        <v>1.9E-2</v>
      </c>
      <c r="BM324" s="204">
        <v>1.6E-2</v>
      </c>
      <c r="BN324" s="204">
        <v>1.2999999999999999E-2</v>
      </c>
      <c r="BO324" s="204">
        <v>8.9999999999999993E-3</v>
      </c>
      <c r="BP324" s="1255">
        <v>7.0000000000000001E-3</v>
      </c>
      <c r="BQ324" s="1255">
        <v>5.0000000000000001E-3</v>
      </c>
    </row>
    <row r="325" spans="14:69" ht="15.75" customHeight="1" x14ac:dyDescent="0.25">
      <c r="N325" s="1276"/>
      <c r="O325" s="1276"/>
      <c r="P325" s="1373"/>
      <c r="Q325" s="1373"/>
      <c r="R325" s="1373"/>
      <c r="S325" s="1373"/>
      <c r="T325" s="1373"/>
      <c r="U325" s="1373"/>
      <c r="V325" s="1373"/>
      <c r="W325" s="1373"/>
      <c r="X325" s="1373"/>
      <c r="Y325" s="1373"/>
      <c r="Z325" s="1373"/>
      <c r="AA325" s="1373"/>
      <c r="AB325" s="1366" t="s">
        <v>116</v>
      </c>
      <c r="AC325" s="1366">
        <v>5</v>
      </c>
      <c r="AD325" s="1381">
        <v>7.6999999999999999E-2</v>
      </c>
      <c r="AE325" s="1381">
        <v>7.0000000000000007E-2</v>
      </c>
      <c r="AF325" s="1381">
        <v>5.6000000000000001E-2</v>
      </c>
      <c r="AG325" s="1381">
        <v>4.3999999999999997E-2</v>
      </c>
      <c r="AH325" s="1381">
        <v>0.03</v>
      </c>
      <c r="AI325" s="1381">
        <v>1.9E-2</v>
      </c>
      <c r="AJ325" s="1381">
        <v>1.7000000000000001E-2</v>
      </c>
      <c r="AK325" s="1381">
        <v>1.4E-2</v>
      </c>
      <c r="AL325" s="1381">
        <v>1.2E-2</v>
      </c>
      <c r="AM325" s="1381">
        <v>8.0000000000000002E-3</v>
      </c>
      <c r="AN325" s="1381">
        <v>6.0000000000000001E-3</v>
      </c>
      <c r="AO325" s="1381">
        <v>4.0000000000000001E-3</v>
      </c>
      <c r="AP325" s="1367" t="s">
        <v>116</v>
      </c>
      <c r="AQ325" s="1367">
        <v>5</v>
      </c>
      <c r="AR325" s="1296">
        <v>7.6999999999999999E-2</v>
      </c>
      <c r="AS325" s="1296">
        <v>7.0000000000000007E-2</v>
      </c>
      <c r="AT325" s="1296">
        <v>5.6000000000000001E-2</v>
      </c>
      <c r="AU325" s="1296">
        <v>4.3999999999999997E-2</v>
      </c>
      <c r="AV325" s="1296">
        <v>0.03</v>
      </c>
      <c r="AW325" s="1296">
        <v>1.9E-2</v>
      </c>
      <c r="AX325" s="1296">
        <v>1.7000000000000001E-2</v>
      </c>
      <c r="AY325" s="1296">
        <v>1.4E-2</v>
      </c>
      <c r="AZ325" s="1296">
        <v>1.2E-2</v>
      </c>
      <c r="BA325" s="1296">
        <v>8.0000000000000002E-3</v>
      </c>
      <c r="BB325" s="1296">
        <v>6.0000000000000001E-3</v>
      </c>
      <c r="BC325" s="1296">
        <v>4.0000000000000001E-3</v>
      </c>
      <c r="BD325" s="1260" t="s">
        <v>116</v>
      </c>
      <c r="BE325" s="1260">
        <v>5</v>
      </c>
      <c r="BF325" s="204">
        <v>7.6999999999999999E-2</v>
      </c>
      <c r="BG325" s="204">
        <v>7.0000000000000007E-2</v>
      </c>
      <c r="BH325" s="204">
        <v>5.6000000000000001E-2</v>
      </c>
      <c r="BI325" s="204">
        <v>4.3999999999999997E-2</v>
      </c>
      <c r="BJ325" s="204">
        <v>0.03</v>
      </c>
      <c r="BK325" s="204">
        <v>1.9E-2</v>
      </c>
      <c r="BL325" s="204">
        <v>1.7000000000000001E-2</v>
      </c>
      <c r="BM325" s="204">
        <v>1.4E-2</v>
      </c>
      <c r="BN325" s="204">
        <v>1.2E-2</v>
      </c>
      <c r="BO325" s="204">
        <v>8.0000000000000002E-3</v>
      </c>
      <c r="BP325" s="1255">
        <v>6.0000000000000001E-3</v>
      </c>
      <c r="BQ325" s="1255">
        <v>4.0000000000000001E-3</v>
      </c>
    </row>
    <row r="326" spans="14:69" x14ac:dyDescent="0.25">
      <c r="N326" s="1271" t="s">
        <v>217</v>
      </c>
      <c r="O326" s="1271"/>
      <c r="P326" s="1271"/>
      <c r="Q326" s="1271"/>
      <c r="R326" s="1272"/>
      <c r="S326" s="1272"/>
      <c r="T326" s="1272"/>
      <c r="U326" s="1272"/>
      <c r="V326" s="1272"/>
      <c r="W326" s="1272"/>
      <c r="X326" s="1272"/>
      <c r="Y326" s="1272"/>
      <c r="Z326" s="1275"/>
      <c r="AA326" s="1275"/>
      <c r="AB326" s="1284" t="s">
        <v>217</v>
      </c>
      <c r="AC326" s="1284"/>
      <c r="AD326" s="1284"/>
      <c r="AE326" s="1284"/>
      <c r="AF326" s="1285"/>
      <c r="AG326" s="1285"/>
      <c r="AH326" s="1285"/>
      <c r="AI326" s="1285"/>
      <c r="AJ326" s="1285"/>
      <c r="AK326" s="1285"/>
      <c r="AL326" s="1285"/>
      <c r="AM326" s="1285"/>
      <c r="AN326" s="1280"/>
      <c r="AO326" s="1280"/>
      <c r="AP326" s="1294" t="s">
        <v>217</v>
      </c>
      <c r="AQ326" s="1294"/>
      <c r="AR326" s="1294"/>
      <c r="AS326" s="1294"/>
      <c r="AT326" s="1295"/>
      <c r="AU326" s="1295"/>
      <c r="AV326" s="1295"/>
      <c r="AW326" s="1295"/>
      <c r="AX326" s="1295"/>
      <c r="AY326" s="1295"/>
      <c r="AZ326" s="1295"/>
      <c r="BA326" s="1295"/>
      <c r="BB326" s="1298"/>
      <c r="BC326" s="1298"/>
      <c r="BD326" s="1250" t="s">
        <v>218</v>
      </c>
      <c r="BE326" s="1250"/>
      <c r="BF326" s="1250"/>
      <c r="BG326" s="1250"/>
      <c r="BH326" s="1251"/>
      <c r="BI326" s="1251"/>
      <c r="BJ326" s="1251"/>
      <c r="BK326" s="1251"/>
      <c r="BL326" s="1251"/>
      <c r="BM326" s="1251"/>
      <c r="BN326" s="1251"/>
      <c r="BO326" s="1251"/>
      <c r="BP326" s="1252"/>
      <c r="BQ326" s="1252"/>
    </row>
    <row r="327" spans="14:69" x14ac:dyDescent="0.25">
      <c r="N327" s="1955" t="s">
        <v>111</v>
      </c>
      <c r="O327" s="1276"/>
      <c r="P327" s="1388" t="s">
        <v>219</v>
      </c>
      <c r="Q327" s="1389"/>
      <c r="R327" s="1389"/>
      <c r="S327" s="1389"/>
      <c r="T327" s="1389"/>
      <c r="U327" s="1389"/>
      <c r="V327" s="1389"/>
      <c r="W327" s="1389"/>
      <c r="X327" s="1389"/>
      <c r="Y327" s="1390"/>
      <c r="Z327" s="1276"/>
      <c r="AA327" s="1265"/>
      <c r="AB327" s="1924" t="s">
        <v>111</v>
      </c>
      <c r="AC327" s="1366"/>
      <c r="AD327" s="1926" t="s">
        <v>219</v>
      </c>
      <c r="AE327" s="1926"/>
      <c r="AF327" s="1926"/>
      <c r="AG327" s="1926"/>
      <c r="AH327" s="1926"/>
      <c r="AI327" s="1926"/>
      <c r="AJ327" s="1926"/>
      <c r="AK327" s="1926"/>
      <c r="AL327" s="1926"/>
      <c r="AM327" s="1926"/>
      <c r="AN327" s="1286"/>
      <c r="AO327" s="1286"/>
      <c r="AP327" s="1927" t="s">
        <v>111</v>
      </c>
      <c r="AQ327" s="1367"/>
      <c r="AR327" s="1928" t="s">
        <v>219</v>
      </c>
      <c r="AS327" s="1928"/>
      <c r="AT327" s="1928"/>
      <c r="AU327" s="1928"/>
      <c r="AV327" s="1928"/>
      <c r="AW327" s="1928"/>
      <c r="AX327" s="1928"/>
      <c r="AY327" s="1928"/>
      <c r="AZ327" s="1928"/>
      <c r="BA327" s="1928"/>
      <c r="BB327" s="1290"/>
      <c r="BC327" s="1290"/>
      <c r="BD327" s="1929" t="s">
        <v>111</v>
      </c>
      <c r="BE327" s="1260"/>
      <c r="BF327" s="1930" t="s">
        <v>219</v>
      </c>
      <c r="BG327" s="1930"/>
      <c r="BH327" s="1930"/>
      <c r="BI327" s="1930"/>
      <c r="BJ327" s="1930"/>
      <c r="BK327" s="1930"/>
      <c r="BL327" s="1930"/>
      <c r="BM327" s="1930"/>
      <c r="BN327" s="1930"/>
      <c r="BO327" s="1930"/>
      <c r="BP327" s="1253"/>
      <c r="BQ327" s="1253"/>
    </row>
    <row r="328" spans="14:69" x14ac:dyDescent="0.25">
      <c r="N328" s="1956"/>
      <c r="O328" s="1276"/>
      <c r="P328" s="1408">
        <v>10</v>
      </c>
      <c r="Q328" s="1408">
        <v>20</v>
      </c>
      <c r="R328" s="1408">
        <v>50</v>
      </c>
      <c r="S328" s="1408">
        <v>100</v>
      </c>
      <c r="T328" s="1408">
        <v>200</v>
      </c>
      <c r="U328" s="1408">
        <v>500</v>
      </c>
      <c r="V328" s="1408">
        <v>1000</v>
      </c>
      <c r="W328" s="1408">
        <v>2000</v>
      </c>
      <c r="X328" s="1408">
        <v>5000</v>
      </c>
      <c r="Y328" s="1408">
        <v>8000</v>
      </c>
      <c r="Z328" s="1408">
        <v>10000</v>
      </c>
      <c r="AA328" s="1376"/>
      <c r="AB328" s="1925"/>
      <c r="AC328" s="1366"/>
      <c r="AD328" s="1381">
        <v>10</v>
      </c>
      <c r="AE328" s="1381">
        <v>20</v>
      </c>
      <c r="AF328" s="1381">
        <v>50</v>
      </c>
      <c r="AG328" s="1381">
        <v>100</v>
      </c>
      <c r="AH328" s="1381">
        <v>200</v>
      </c>
      <c r="AI328" s="1381">
        <v>500</v>
      </c>
      <c r="AJ328" s="1381">
        <v>1000</v>
      </c>
      <c r="AK328" s="1381">
        <v>2000</v>
      </c>
      <c r="AL328" s="1381">
        <v>5000</v>
      </c>
      <c r="AM328" s="1381">
        <v>8000</v>
      </c>
      <c r="AN328" s="1286"/>
      <c r="AO328" s="1286"/>
      <c r="AP328" s="1927"/>
      <c r="AQ328" s="1367"/>
      <c r="AR328" s="1347">
        <v>7</v>
      </c>
      <c r="AS328" s="1347">
        <v>10</v>
      </c>
      <c r="AT328" s="1347">
        <v>20</v>
      </c>
      <c r="AU328" s="1347">
        <v>50</v>
      </c>
      <c r="AV328" s="1347">
        <v>100</v>
      </c>
      <c r="AW328" s="1347">
        <v>200</v>
      </c>
      <c r="AX328" s="1347">
        <v>500</v>
      </c>
      <c r="AY328" s="1347">
        <v>1000</v>
      </c>
      <c r="AZ328" s="1347">
        <v>2000</v>
      </c>
      <c r="BA328" s="1347">
        <v>5000</v>
      </c>
      <c r="BB328" s="1297"/>
      <c r="BC328" s="1297"/>
      <c r="BD328" s="1929"/>
      <c r="BE328" s="1260"/>
      <c r="BF328" s="203">
        <v>7</v>
      </c>
      <c r="BG328" s="203">
        <v>10</v>
      </c>
      <c r="BH328" s="203">
        <v>20</v>
      </c>
      <c r="BI328" s="203">
        <v>50</v>
      </c>
      <c r="BJ328" s="203">
        <v>100</v>
      </c>
      <c r="BK328" s="203">
        <v>200</v>
      </c>
      <c r="BL328" s="203">
        <v>500</v>
      </c>
      <c r="BM328" s="203">
        <v>1000</v>
      </c>
      <c r="BN328" s="203">
        <v>2000</v>
      </c>
      <c r="BO328" s="203">
        <v>5000</v>
      </c>
      <c r="BP328" s="1253"/>
      <c r="BQ328" s="1253"/>
    </row>
    <row r="329" spans="14:69" x14ac:dyDescent="0.25">
      <c r="N329" s="1276" t="s">
        <v>3661</v>
      </c>
      <c r="O329" s="1276">
        <v>1</v>
      </c>
      <c r="P329" s="1408">
        <v>0.25800000000000001</v>
      </c>
      <c r="Q329" s="1408">
        <v>0.223</v>
      </c>
      <c r="R329" s="1408">
        <v>0.17199999999999999</v>
      </c>
      <c r="S329" s="1408">
        <v>0.14299999999999999</v>
      </c>
      <c r="T329" s="1408">
        <v>0.108</v>
      </c>
      <c r="U329" s="1408">
        <v>8.3000000000000004E-2</v>
      </c>
      <c r="V329" s="1408">
        <v>6.8000000000000005E-2</v>
      </c>
      <c r="W329" s="1408">
        <v>4.3999999999999997E-2</v>
      </c>
      <c r="X329" s="1408">
        <v>3.3000000000000002E-2</v>
      </c>
      <c r="Y329" s="1408">
        <v>2.8000000000000001E-2</v>
      </c>
      <c r="Z329" s="1408">
        <v>2.5999999999999999E-2</v>
      </c>
      <c r="AA329" s="1376"/>
      <c r="AB329" s="1366" t="s">
        <v>112</v>
      </c>
      <c r="AC329" s="1366">
        <v>1</v>
      </c>
      <c r="AD329" s="1381">
        <v>0.20599999999999999</v>
      </c>
      <c r="AE329" s="1381">
        <v>0.17899999999999999</v>
      </c>
      <c r="AF329" s="1381">
        <v>0.13800000000000001</v>
      </c>
      <c r="AG329" s="1381">
        <v>0.106</v>
      </c>
      <c r="AH329" s="1381">
        <v>8.1000000000000003E-2</v>
      </c>
      <c r="AI329" s="1381">
        <v>6.3E-2</v>
      </c>
      <c r="AJ329" s="1381">
        <v>5.0999999999999997E-2</v>
      </c>
      <c r="AK329" s="1381">
        <v>3.5999999999999997E-2</v>
      </c>
      <c r="AL329" s="1381">
        <v>2.8000000000000001E-2</v>
      </c>
      <c r="AM329" s="1381">
        <v>2.4E-2</v>
      </c>
      <c r="AN329" s="1286"/>
      <c r="AO329" s="1286"/>
      <c r="AP329" s="1367" t="s">
        <v>112</v>
      </c>
      <c r="AQ329" s="1367">
        <v>1</v>
      </c>
      <c r="AR329" s="1296">
        <v>0.19</v>
      </c>
      <c r="AS329" s="1296">
        <v>0.16500000000000001</v>
      </c>
      <c r="AT329" s="1296">
        <v>0.14299999999999999</v>
      </c>
      <c r="AU329" s="1296">
        <v>0.11</v>
      </c>
      <c r="AV329" s="1296">
        <v>8.5000000000000006E-2</v>
      </c>
      <c r="AW329" s="1296">
        <v>6.5000000000000002E-2</v>
      </c>
      <c r="AX329" s="1296">
        <v>0.05</v>
      </c>
      <c r="AY329" s="1296">
        <v>4.1000000000000002E-2</v>
      </c>
      <c r="AZ329" s="1296">
        <v>2.9000000000000001E-2</v>
      </c>
      <c r="BA329" s="1296">
        <v>2.1999999999999999E-2</v>
      </c>
      <c r="BB329" s="1297"/>
      <c r="BC329" s="1297"/>
      <c r="BD329" s="1260" t="s">
        <v>112</v>
      </c>
      <c r="BE329" s="1260">
        <v>1</v>
      </c>
      <c r="BF329" s="204">
        <v>0.16400000000000001</v>
      </c>
      <c r="BG329" s="204">
        <v>0.14199999999999999</v>
      </c>
      <c r="BH329" s="204">
        <v>0.123</v>
      </c>
      <c r="BI329" s="204">
        <v>9.5000000000000001E-2</v>
      </c>
      <c r="BJ329" s="204">
        <v>7.2999999999999995E-2</v>
      </c>
      <c r="BK329" s="204">
        <v>5.6000000000000001E-2</v>
      </c>
      <c r="BL329" s="204">
        <v>4.2999999999999997E-2</v>
      </c>
      <c r="BM329" s="204">
        <v>3.5000000000000003E-2</v>
      </c>
      <c r="BN329" s="204">
        <v>2.5000000000000001E-2</v>
      </c>
      <c r="BO329" s="204">
        <v>1.9E-2</v>
      </c>
      <c r="BP329" s="1253"/>
      <c r="BQ329" s="1253"/>
    </row>
    <row r="330" spans="14:69" x14ac:dyDescent="0.25">
      <c r="N330" s="1276" t="s">
        <v>113</v>
      </c>
      <c r="O330" s="1276">
        <v>2</v>
      </c>
      <c r="P330" s="1408">
        <v>0.28999999999999998</v>
      </c>
      <c r="Q330" s="1408">
        <v>0.252</v>
      </c>
      <c r="R330" s="1408">
        <v>0.192</v>
      </c>
      <c r="S330" s="1408">
        <v>0.14599999999999999</v>
      </c>
      <c r="T330" s="1408">
        <v>0.113</v>
      </c>
      <c r="U330" s="1408">
        <v>8.6999999999999994E-2</v>
      </c>
      <c r="V330" s="1408">
        <v>6.6000000000000003E-2</v>
      </c>
      <c r="W330" s="1408">
        <v>5.2999999999999999E-2</v>
      </c>
      <c r="X330" s="1408">
        <v>3.7999999999999999E-2</v>
      </c>
      <c r="Y330" s="1408">
        <v>3.1E-2</v>
      </c>
      <c r="Z330" s="1408">
        <v>2.8000000000000001E-2</v>
      </c>
      <c r="AA330" s="1376"/>
      <c r="AB330" s="1366" t="s">
        <v>113</v>
      </c>
      <c r="AC330" s="1366">
        <v>2</v>
      </c>
      <c r="AD330" s="1381">
        <v>0.23799999999999999</v>
      </c>
      <c r="AE330" s="1381">
        <v>0.20599999999999999</v>
      </c>
      <c r="AF330" s="1381">
        <v>0.158</v>
      </c>
      <c r="AG330" s="1381">
        <v>0.121</v>
      </c>
      <c r="AH330" s="1381">
        <v>9.4E-2</v>
      </c>
      <c r="AI330" s="1381">
        <v>7.2999999999999995E-2</v>
      </c>
      <c r="AJ330" s="1381">
        <v>5.5E-2</v>
      </c>
      <c r="AK330" s="1381">
        <v>4.3999999999999997E-2</v>
      </c>
      <c r="AL330" s="1381">
        <v>3.3000000000000002E-2</v>
      </c>
      <c r="AM330" s="1381">
        <v>2.8000000000000001E-2</v>
      </c>
      <c r="AN330" s="1286"/>
      <c r="AO330" s="1286"/>
      <c r="AP330" s="1367" t="s">
        <v>113</v>
      </c>
      <c r="AQ330" s="1367">
        <v>2</v>
      </c>
      <c r="AR330" s="1296">
        <v>0.22500000000000001</v>
      </c>
      <c r="AS330" s="1296">
        <v>0.19</v>
      </c>
      <c r="AT330" s="1296">
        <v>0.16500000000000001</v>
      </c>
      <c r="AU330" s="1296">
        <v>0.126</v>
      </c>
      <c r="AV330" s="1296">
        <v>9.7000000000000003E-2</v>
      </c>
      <c r="AW330" s="1296">
        <v>7.4999999999999997E-2</v>
      </c>
      <c r="AX330" s="1296">
        <v>5.8000000000000003E-2</v>
      </c>
      <c r="AY330" s="1296">
        <v>4.3999999999999997E-2</v>
      </c>
      <c r="AZ330" s="1296">
        <v>3.5000000000000003E-2</v>
      </c>
      <c r="BA330" s="1296">
        <v>2.5999999999999999E-2</v>
      </c>
      <c r="BB330" s="1297"/>
      <c r="BC330" s="1297"/>
      <c r="BD330" s="1260" t="s">
        <v>113</v>
      </c>
      <c r="BE330" s="1260">
        <v>2</v>
      </c>
      <c r="BF330" s="204">
        <v>0.19400000000000001</v>
      </c>
      <c r="BG330" s="204">
        <v>0.16400000000000001</v>
      </c>
      <c r="BH330" s="204">
        <v>0.14199999999999999</v>
      </c>
      <c r="BI330" s="204">
        <v>0.109</v>
      </c>
      <c r="BJ330" s="204">
        <v>8.4000000000000005E-2</v>
      </c>
      <c r="BK330" s="204">
        <v>6.5000000000000002E-2</v>
      </c>
      <c r="BL330" s="204">
        <v>0.05</v>
      </c>
      <c r="BM330" s="204">
        <v>3.7999999999999999E-2</v>
      </c>
      <c r="BN330" s="204">
        <v>0.03</v>
      </c>
      <c r="BO330" s="204">
        <v>2.1000000000000001E-2</v>
      </c>
      <c r="BP330" s="1253"/>
      <c r="BQ330" s="1253"/>
    </row>
    <row r="331" spans="14:69" x14ac:dyDescent="0.25">
      <c r="N331" s="1276" t="s">
        <v>114</v>
      </c>
      <c r="O331" s="1276">
        <v>3</v>
      </c>
      <c r="P331" s="1408">
        <v>0.17</v>
      </c>
      <c r="Q331" s="1408">
        <v>0.14699999999999999</v>
      </c>
      <c r="R331" s="1408">
        <v>0.113</v>
      </c>
      <c r="S331" s="1408">
        <v>8.4000000000000005E-2</v>
      </c>
      <c r="T331" s="1408">
        <v>7.2999999999999995E-2</v>
      </c>
      <c r="U331" s="1408">
        <v>5.5E-2</v>
      </c>
      <c r="V331" s="1408">
        <v>4.2000000000000003E-2</v>
      </c>
      <c r="W331" s="1408">
        <v>3.5000000000000003E-2</v>
      </c>
      <c r="X331" s="1408">
        <v>2.4E-2</v>
      </c>
      <c r="Y331" s="1408">
        <v>0.02</v>
      </c>
      <c r="Z331" s="1408">
        <v>1.7000000000000001E-2</v>
      </c>
      <c r="AA331" s="1376"/>
      <c r="AB331" s="1366" t="s">
        <v>114</v>
      </c>
      <c r="AC331" s="1366">
        <v>3</v>
      </c>
      <c r="AD331" s="1381">
        <v>0.13600000000000001</v>
      </c>
      <c r="AE331" s="1381">
        <v>0.11799999999999999</v>
      </c>
      <c r="AF331" s="1381">
        <v>0.09</v>
      </c>
      <c r="AG331" s="1381">
        <v>6.9000000000000006E-2</v>
      </c>
      <c r="AH331" s="1381">
        <v>5.3999999999999999E-2</v>
      </c>
      <c r="AI331" s="1381">
        <v>4.1000000000000002E-2</v>
      </c>
      <c r="AJ331" s="1381">
        <v>3.1E-2</v>
      </c>
      <c r="AK331" s="1381">
        <v>2.5999999999999999E-2</v>
      </c>
      <c r="AL331" s="1381">
        <v>0.02</v>
      </c>
      <c r="AM331" s="1381">
        <v>1.7000000000000001E-2</v>
      </c>
      <c r="AN331" s="1286"/>
      <c r="AO331" s="1286"/>
      <c r="AP331" s="1367" t="s">
        <v>114</v>
      </c>
      <c r="AQ331" s="1367">
        <v>3</v>
      </c>
      <c r="AR331" s="1296">
        <v>0.129</v>
      </c>
      <c r="AS331" s="1296">
        <v>0.109</v>
      </c>
      <c r="AT331" s="1296">
        <v>9.4E-2</v>
      </c>
      <c r="AU331" s="1296">
        <v>7.1999999999999995E-2</v>
      </c>
      <c r="AV331" s="1296">
        <v>5.5E-2</v>
      </c>
      <c r="AW331" s="1296">
        <v>4.2999999999999997E-2</v>
      </c>
      <c r="AX331" s="1296">
        <v>3.3000000000000002E-2</v>
      </c>
      <c r="AY331" s="1296">
        <v>2.5000000000000001E-2</v>
      </c>
      <c r="AZ331" s="1296">
        <v>2.1000000000000001E-2</v>
      </c>
      <c r="BA331" s="1296">
        <v>1.6E-2</v>
      </c>
      <c r="BB331" s="1297"/>
      <c r="BC331" s="1297"/>
      <c r="BD331" s="1260" t="s">
        <v>114</v>
      </c>
      <c r="BE331" s="1260">
        <v>3</v>
      </c>
      <c r="BF331" s="204">
        <v>0.124</v>
      </c>
      <c r="BG331" s="204">
        <v>0.104</v>
      </c>
      <c r="BH331" s="204">
        <v>0.09</v>
      </c>
      <c r="BI331" s="204">
        <v>6.9000000000000006E-2</v>
      </c>
      <c r="BJ331" s="204">
        <v>5.2999999999999999E-2</v>
      </c>
      <c r="BK331" s="204">
        <v>4.1000000000000002E-2</v>
      </c>
      <c r="BL331" s="204">
        <v>3.2000000000000001E-2</v>
      </c>
      <c r="BM331" s="204">
        <v>2.4E-2</v>
      </c>
      <c r="BN331" s="204">
        <v>0.02</v>
      </c>
      <c r="BO331" s="204">
        <v>1.4999999999999999E-2</v>
      </c>
      <c r="BP331" s="1253"/>
      <c r="BQ331" s="1253"/>
    </row>
    <row r="332" spans="14:69" x14ac:dyDescent="0.25">
      <c r="N332" s="1276" t="s">
        <v>697</v>
      </c>
      <c r="O332" s="1276">
        <v>4</v>
      </c>
      <c r="P332" s="1408">
        <v>0.189</v>
      </c>
      <c r="Q332" s="1408">
        <v>0.16300000000000001</v>
      </c>
      <c r="R332" s="1408">
        <v>0.125</v>
      </c>
      <c r="S332" s="1408">
        <v>9.2999999999999999E-2</v>
      </c>
      <c r="T332" s="1408">
        <v>7.2999999999999995E-2</v>
      </c>
      <c r="U332" s="1408">
        <v>5.6000000000000001E-2</v>
      </c>
      <c r="V332" s="1408">
        <v>4.2999999999999997E-2</v>
      </c>
      <c r="W332" s="1408">
        <v>3.5000000000000003E-2</v>
      </c>
      <c r="X332" s="1408">
        <v>2.5999999999999999E-2</v>
      </c>
      <c r="Y332" s="1408">
        <v>2.1999999999999999E-2</v>
      </c>
      <c r="Z332" s="1408">
        <v>1.9E-2</v>
      </c>
      <c r="AA332" s="1376"/>
      <c r="AB332" s="1366" t="s">
        <v>115</v>
      </c>
      <c r="AC332" s="1366">
        <v>4</v>
      </c>
      <c r="AD332" s="1381">
        <v>0.151</v>
      </c>
      <c r="AE332" s="1381">
        <v>0.13</v>
      </c>
      <c r="AF332" s="1381">
        <v>0.1</v>
      </c>
      <c r="AG332" s="1381">
        <v>7.5999999999999998E-2</v>
      </c>
      <c r="AH332" s="1381">
        <v>0.06</v>
      </c>
      <c r="AI332" s="1381">
        <v>4.5999999999999999E-2</v>
      </c>
      <c r="AJ332" s="1381">
        <v>3.5000000000000003E-2</v>
      </c>
      <c r="AK332" s="1381">
        <v>2.9000000000000001E-2</v>
      </c>
      <c r="AL332" s="1381">
        <v>2.1000000000000001E-2</v>
      </c>
      <c r="AM332" s="1381">
        <v>1.7999999999999999E-2</v>
      </c>
      <c r="AN332" s="1286"/>
      <c r="AO332" s="1286"/>
      <c r="AP332" s="1367" t="s">
        <v>115</v>
      </c>
      <c r="AQ332" s="1367">
        <v>4</v>
      </c>
      <c r="AR332" s="1296">
        <v>0.14399999999999999</v>
      </c>
      <c r="AS332" s="1296">
        <v>0.121</v>
      </c>
      <c r="AT332" s="1296">
        <v>0.104</v>
      </c>
      <c r="AU332" s="1296">
        <v>0.08</v>
      </c>
      <c r="AV332" s="1296">
        <v>6.0999999999999999E-2</v>
      </c>
      <c r="AW332" s="1296">
        <v>4.8000000000000001E-2</v>
      </c>
      <c r="AX332" s="1296">
        <v>3.6999999999999998E-2</v>
      </c>
      <c r="AY332" s="1296">
        <v>2.8000000000000001E-2</v>
      </c>
      <c r="AZ332" s="1296">
        <v>2.3E-2</v>
      </c>
      <c r="BA332" s="1296">
        <v>1.7000000000000001E-2</v>
      </c>
      <c r="BB332" s="1297"/>
      <c r="BC332" s="1297"/>
      <c r="BD332" s="1260" t="s">
        <v>115</v>
      </c>
      <c r="BE332" s="1260">
        <v>4</v>
      </c>
      <c r="BF332" s="204">
        <v>0.124</v>
      </c>
      <c r="BG332" s="204">
        <v>0.104</v>
      </c>
      <c r="BH332" s="204">
        <v>0.09</v>
      </c>
      <c r="BI332" s="204">
        <v>6.9000000000000006E-2</v>
      </c>
      <c r="BJ332" s="204">
        <v>5.2999999999999999E-2</v>
      </c>
      <c r="BK332" s="204">
        <v>4.1000000000000002E-2</v>
      </c>
      <c r="BL332" s="204">
        <v>3.2000000000000001E-2</v>
      </c>
      <c r="BM332" s="204">
        <v>2.4E-2</v>
      </c>
      <c r="BN332" s="204">
        <v>0.02</v>
      </c>
      <c r="BO332" s="204">
        <v>1.4999999999999999E-2</v>
      </c>
      <c r="BP332" s="1253"/>
      <c r="BQ332" s="1253"/>
    </row>
    <row r="333" spans="14:69" ht="15.75" customHeight="1" x14ac:dyDescent="0.25">
      <c r="N333" s="1276" t="s">
        <v>116</v>
      </c>
      <c r="O333" s="1276">
        <v>5</v>
      </c>
      <c r="P333" s="1408">
        <v>0.19700000000000001</v>
      </c>
      <c r="Q333" s="1408">
        <v>0.17199999999999999</v>
      </c>
      <c r="R333" s="1408">
        <v>0.13300000000000001</v>
      </c>
      <c r="S333" s="1408">
        <v>9.9000000000000005E-2</v>
      </c>
      <c r="T333" s="1408">
        <v>7.5999999999999998E-2</v>
      </c>
      <c r="U333" s="1408">
        <v>5.8999999999999997E-2</v>
      </c>
      <c r="V333" s="1408">
        <v>4.5999999999999999E-2</v>
      </c>
      <c r="W333" s="1408">
        <v>0.04</v>
      </c>
      <c r="X333" s="1408">
        <v>2.9000000000000001E-2</v>
      </c>
      <c r="Y333" s="1408">
        <v>2.4E-2</v>
      </c>
      <c r="Z333" s="1408">
        <v>0.21</v>
      </c>
      <c r="AA333" s="1376"/>
      <c r="AB333" s="1366" t="s">
        <v>116</v>
      </c>
      <c r="AC333" s="1366">
        <v>5</v>
      </c>
      <c r="AD333" s="1381">
        <v>0.158</v>
      </c>
      <c r="AE333" s="1381">
        <v>0.13800000000000001</v>
      </c>
      <c r="AF333" s="1381">
        <v>0.106</v>
      </c>
      <c r="AG333" s="1381">
        <v>8.1000000000000003E-2</v>
      </c>
      <c r="AH333" s="1381">
        <v>6.3E-2</v>
      </c>
      <c r="AI333" s="1381">
        <v>4.9000000000000002E-2</v>
      </c>
      <c r="AJ333" s="1381">
        <v>3.7999999999999999E-2</v>
      </c>
      <c r="AK333" s="1381">
        <v>3.3000000000000002E-2</v>
      </c>
      <c r="AL333" s="1381">
        <v>2.4E-2</v>
      </c>
      <c r="AM333" s="1381">
        <v>2.1000000000000001E-2</v>
      </c>
      <c r="AN333" s="1280"/>
      <c r="AO333" s="1280"/>
      <c r="AP333" s="1367" t="s">
        <v>116</v>
      </c>
      <c r="AQ333" s="1367">
        <v>5</v>
      </c>
      <c r="AR333" s="1296">
        <v>0.152</v>
      </c>
      <c r="AS333" s="1296">
        <v>0.126</v>
      </c>
      <c r="AT333" s="1296">
        <v>0.11</v>
      </c>
      <c r="AU333" s="1296">
        <v>8.5000000000000006E-2</v>
      </c>
      <c r="AV333" s="1296">
        <v>6.5000000000000002E-2</v>
      </c>
      <c r="AW333" s="1296">
        <v>0.05</v>
      </c>
      <c r="AX333" s="1296">
        <v>3.9E-2</v>
      </c>
      <c r="AY333" s="1296">
        <v>0.03</v>
      </c>
      <c r="AZ333" s="1296">
        <v>2.5999999999999999E-2</v>
      </c>
      <c r="BA333" s="1296">
        <v>1.9E-2</v>
      </c>
      <c r="BB333" s="1297"/>
      <c r="BC333" s="1297"/>
      <c r="BD333" s="1260" t="s">
        <v>116</v>
      </c>
      <c r="BE333" s="1260">
        <v>5</v>
      </c>
      <c r="BF333" s="204">
        <v>0.13100000000000001</v>
      </c>
      <c r="BG333" s="204">
        <v>0.109</v>
      </c>
      <c r="BH333" s="204">
        <v>9.5000000000000001E-2</v>
      </c>
      <c r="BI333" s="204">
        <v>7.2999999999999995E-2</v>
      </c>
      <c r="BJ333" s="204">
        <v>5.6000000000000001E-2</v>
      </c>
      <c r="BK333" s="204">
        <v>4.2999999999999997E-2</v>
      </c>
      <c r="BL333" s="204">
        <v>3.4000000000000002E-2</v>
      </c>
      <c r="BM333" s="204">
        <v>2.5999999999999999E-2</v>
      </c>
      <c r="BN333" s="204">
        <v>2.1999999999999999E-2</v>
      </c>
      <c r="BO333" s="204">
        <v>1.6E-2</v>
      </c>
      <c r="BP333" s="1246"/>
      <c r="BQ333" s="1246"/>
    </row>
    <row r="334" spans="14:69" x14ac:dyDescent="0.25">
      <c r="N334" s="1271" t="s">
        <v>220</v>
      </c>
      <c r="O334" s="1271"/>
      <c r="P334" s="1271"/>
      <c r="Q334" s="1271"/>
      <c r="R334" s="1272"/>
      <c r="S334" s="1272"/>
      <c r="T334" s="1272"/>
      <c r="U334" s="1272"/>
      <c r="V334" s="1272"/>
      <c r="W334" s="1272"/>
      <c r="X334" s="1272"/>
      <c r="Y334" s="1272"/>
      <c r="Z334" s="1265"/>
      <c r="AA334" s="1265"/>
      <c r="AB334" s="1284" t="s">
        <v>220</v>
      </c>
      <c r="AC334" s="1284"/>
      <c r="AD334" s="1284"/>
      <c r="AE334" s="1284"/>
      <c r="AF334" s="1285"/>
      <c r="AG334" s="1285"/>
      <c r="AH334" s="1285"/>
      <c r="AI334" s="1285"/>
      <c r="AJ334" s="1285"/>
      <c r="AK334" s="1285"/>
      <c r="AL334" s="1285"/>
      <c r="AM334" s="1285"/>
      <c r="AN334" s="1280"/>
      <c r="AO334" s="1280"/>
      <c r="AP334" s="1294" t="s">
        <v>220</v>
      </c>
      <c r="AQ334" s="1294"/>
      <c r="AR334" s="1294"/>
      <c r="AS334" s="1294"/>
      <c r="AT334" s="1295"/>
      <c r="AU334" s="1295"/>
      <c r="AV334" s="1295"/>
      <c r="AW334" s="1295"/>
      <c r="AX334" s="1295"/>
      <c r="AY334" s="1295"/>
      <c r="AZ334" s="1295"/>
      <c r="BA334" s="1295"/>
      <c r="BB334" s="1290"/>
      <c r="BC334" s="1290"/>
      <c r="BD334" s="1250" t="s">
        <v>221</v>
      </c>
      <c r="BE334" s="1250"/>
      <c r="BF334" s="1250"/>
      <c r="BG334" s="1250"/>
      <c r="BH334" s="1251"/>
      <c r="BI334" s="1251"/>
      <c r="BJ334" s="1251"/>
      <c r="BK334" s="1251"/>
      <c r="BL334" s="1251"/>
      <c r="BM334" s="1251"/>
      <c r="BN334" s="1251"/>
      <c r="BO334" s="1251"/>
      <c r="BP334" s="1246"/>
      <c r="BQ334" s="1246"/>
    </row>
    <row r="335" spans="14:69" x14ac:dyDescent="0.25">
      <c r="N335" s="1944" t="s">
        <v>111</v>
      </c>
      <c r="O335" s="1276"/>
      <c r="P335" s="1944" t="s">
        <v>219</v>
      </c>
      <c r="Q335" s="1944"/>
      <c r="R335" s="1944"/>
      <c r="S335" s="1944"/>
      <c r="T335" s="1944"/>
      <c r="U335" s="1944"/>
      <c r="V335" s="1944"/>
      <c r="W335" s="1944"/>
      <c r="X335" s="1944"/>
      <c r="Y335" s="1944"/>
      <c r="Z335" s="1944"/>
      <c r="AA335" s="1265"/>
      <c r="AB335" s="1926" t="s">
        <v>111</v>
      </c>
      <c r="AC335" s="1366"/>
      <c r="AD335" s="1926" t="s">
        <v>219</v>
      </c>
      <c r="AE335" s="1926"/>
      <c r="AF335" s="1926"/>
      <c r="AG335" s="1926"/>
      <c r="AH335" s="1926"/>
      <c r="AI335" s="1926"/>
      <c r="AJ335" s="1926"/>
      <c r="AK335" s="1926"/>
      <c r="AL335" s="1926"/>
      <c r="AM335" s="1926"/>
      <c r="AN335" s="1280"/>
      <c r="AO335" s="1280"/>
      <c r="AP335" s="1927" t="s">
        <v>111</v>
      </c>
      <c r="AQ335" s="1367"/>
      <c r="AR335" s="1928" t="s">
        <v>219</v>
      </c>
      <c r="AS335" s="1928"/>
      <c r="AT335" s="1928"/>
      <c r="AU335" s="1928"/>
      <c r="AV335" s="1928"/>
      <c r="AW335" s="1928"/>
      <c r="AX335" s="1928"/>
      <c r="AY335" s="1928"/>
      <c r="AZ335" s="1928"/>
      <c r="BA335" s="1928"/>
      <c r="BB335" s="1290"/>
      <c r="BC335" s="1290"/>
      <c r="BD335" s="1929" t="s">
        <v>111</v>
      </c>
      <c r="BE335" s="1260"/>
      <c r="BF335" s="1930" t="s">
        <v>219</v>
      </c>
      <c r="BG335" s="1930"/>
      <c r="BH335" s="1930"/>
      <c r="BI335" s="1930"/>
      <c r="BJ335" s="1930"/>
      <c r="BK335" s="1930"/>
      <c r="BL335" s="1930"/>
      <c r="BM335" s="1930"/>
      <c r="BN335" s="1930"/>
      <c r="BO335" s="1930"/>
      <c r="BP335" s="1246"/>
      <c r="BQ335" s="1246"/>
    </row>
    <row r="336" spans="14:69" x14ac:dyDescent="0.25">
      <c r="N336" s="1944"/>
      <c r="O336" s="1276"/>
      <c r="P336" s="1408">
        <v>10</v>
      </c>
      <c r="Q336" s="1408">
        <v>20</v>
      </c>
      <c r="R336" s="1408">
        <v>50</v>
      </c>
      <c r="S336" s="1408">
        <v>100</v>
      </c>
      <c r="T336" s="1408">
        <v>200</v>
      </c>
      <c r="U336" s="1408">
        <v>500</v>
      </c>
      <c r="V336" s="1408">
        <v>1000</v>
      </c>
      <c r="W336" s="1408">
        <v>2000</v>
      </c>
      <c r="X336" s="1408">
        <v>5000</v>
      </c>
      <c r="Y336" s="1408">
        <v>8000</v>
      </c>
      <c r="Z336" s="1408">
        <v>10000</v>
      </c>
      <c r="AA336" s="1265"/>
      <c r="AB336" s="1926"/>
      <c r="AC336" s="1366"/>
      <c r="AD336" s="1381">
        <v>10</v>
      </c>
      <c r="AE336" s="1381">
        <v>20</v>
      </c>
      <c r="AF336" s="1381">
        <v>50</v>
      </c>
      <c r="AG336" s="1381">
        <v>100</v>
      </c>
      <c r="AH336" s="1381">
        <v>200</v>
      </c>
      <c r="AI336" s="1381">
        <v>500</v>
      </c>
      <c r="AJ336" s="1381">
        <v>1000</v>
      </c>
      <c r="AK336" s="1381">
        <v>2000</v>
      </c>
      <c r="AL336" s="1381">
        <v>5000</v>
      </c>
      <c r="AM336" s="1381">
        <v>8000</v>
      </c>
      <c r="AN336" s="1280"/>
      <c r="AO336" s="1280"/>
      <c r="AP336" s="1927"/>
      <c r="AQ336" s="1367"/>
      <c r="AR336" s="1347">
        <v>7</v>
      </c>
      <c r="AS336" s="1347">
        <v>10</v>
      </c>
      <c r="AT336" s="1347">
        <v>20</v>
      </c>
      <c r="AU336" s="1347">
        <v>50</v>
      </c>
      <c r="AV336" s="1347">
        <v>100</v>
      </c>
      <c r="AW336" s="1347">
        <v>200</v>
      </c>
      <c r="AX336" s="1347">
        <v>500</v>
      </c>
      <c r="AY336" s="1347">
        <v>1000</v>
      </c>
      <c r="AZ336" s="1347">
        <v>2000</v>
      </c>
      <c r="BA336" s="1347">
        <v>5000</v>
      </c>
      <c r="BB336" s="1290"/>
      <c r="BC336" s="1290"/>
      <c r="BD336" s="1929"/>
      <c r="BE336" s="1260"/>
      <c r="BF336" s="203">
        <v>7</v>
      </c>
      <c r="BG336" s="203">
        <v>10</v>
      </c>
      <c r="BH336" s="203">
        <v>20</v>
      </c>
      <c r="BI336" s="203">
        <v>50</v>
      </c>
      <c r="BJ336" s="203">
        <v>100</v>
      </c>
      <c r="BK336" s="203">
        <v>200</v>
      </c>
      <c r="BL336" s="203">
        <v>500</v>
      </c>
      <c r="BM336" s="203">
        <v>1000</v>
      </c>
      <c r="BN336" s="203">
        <v>2000</v>
      </c>
      <c r="BO336" s="203">
        <v>5000</v>
      </c>
      <c r="BP336" s="1246"/>
      <c r="BQ336" s="1246"/>
    </row>
    <row r="337" spans="14:69" x14ac:dyDescent="0.25">
      <c r="N337" s="1276" t="s">
        <v>3661</v>
      </c>
      <c r="O337" s="1276">
        <v>1</v>
      </c>
      <c r="P337" s="1408">
        <v>0.25</v>
      </c>
      <c r="Q337" s="1408">
        <v>0.219</v>
      </c>
      <c r="R337" s="1408">
        <v>0.16600000000000001</v>
      </c>
      <c r="S337" s="1408">
        <v>0.14000000000000001</v>
      </c>
      <c r="T337" s="1408">
        <v>0.105</v>
      </c>
      <c r="U337" s="1408">
        <v>7.6999999999999999E-2</v>
      </c>
      <c r="V337" s="1408">
        <v>6.4000000000000001E-2</v>
      </c>
      <c r="W337" s="1408">
        <v>4.2999999999999997E-2</v>
      </c>
      <c r="X337" s="1408">
        <v>3.2000000000000001E-2</v>
      </c>
      <c r="Y337" s="1408">
        <v>2.7E-2</v>
      </c>
      <c r="Z337" s="1408">
        <v>2.5000000000000001E-2</v>
      </c>
      <c r="AA337" s="1265"/>
      <c r="AB337" s="1366" t="s">
        <v>112</v>
      </c>
      <c r="AC337" s="1366">
        <v>1</v>
      </c>
      <c r="AD337" s="1381">
        <v>0.2</v>
      </c>
      <c r="AE337" s="1381">
        <v>0.17499999999999999</v>
      </c>
      <c r="AF337" s="1381">
        <v>0.13300000000000001</v>
      </c>
      <c r="AG337" s="1381">
        <v>0.104</v>
      </c>
      <c r="AH337" s="1381">
        <v>7.8E-2</v>
      </c>
      <c r="AI337" s="1381">
        <v>5.8000000000000003E-2</v>
      </c>
      <c r="AJ337" s="1381">
        <v>4.8000000000000001E-2</v>
      </c>
      <c r="AK337" s="1381">
        <v>3.5000000000000003E-2</v>
      </c>
      <c r="AL337" s="1381">
        <v>2.5999999999999999E-2</v>
      </c>
      <c r="AM337" s="1381">
        <v>2.3E-2</v>
      </c>
      <c r="AN337" s="1280"/>
      <c r="AO337" s="1280"/>
      <c r="AP337" s="1367" t="s">
        <v>112</v>
      </c>
      <c r="AQ337" s="1367">
        <v>1</v>
      </c>
      <c r="AR337" s="1296">
        <f>AR345*100/40</f>
        <v>1.2862500000000003</v>
      </c>
      <c r="AS337" s="1296">
        <v>0.16</v>
      </c>
      <c r="AT337" s="1296">
        <v>0.14000000000000001</v>
      </c>
      <c r="AU337" s="1296">
        <v>0.106</v>
      </c>
      <c r="AV337" s="1296">
        <v>8.3000000000000004E-2</v>
      </c>
      <c r="AW337" s="1296">
        <v>6.2E-2</v>
      </c>
      <c r="AX337" s="1296">
        <v>4.5999999999999999E-2</v>
      </c>
      <c r="AY337" s="1296">
        <v>3.7999999999999999E-2</v>
      </c>
      <c r="AZ337" s="1296">
        <v>2.8000000000000001E-2</v>
      </c>
      <c r="BA337" s="1296">
        <v>2.1000000000000001E-2</v>
      </c>
      <c r="BB337" s="1290"/>
      <c r="BC337" s="1290"/>
      <c r="BD337" s="1260" t="s">
        <v>112</v>
      </c>
      <c r="BE337" s="1260">
        <v>1</v>
      </c>
      <c r="BF337" s="204">
        <v>0.161</v>
      </c>
      <c r="BG337" s="204">
        <v>0.13900000000000001</v>
      </c>
      <c r="BH337" s="204">
        <v>0.122</v>
      </c>
      <c r="BI337" s="204">
        <v>9.1999999999999998E-2</v>
      </c>
      <c r="BJ337" s="204">
        <v>7.1999999999999995E-2</v>
      </c>
      <c r="BK337" s="204">
        <v>5.3999999999999999E-2</v>
      </c>
      <c r="BL337" s="204">
        <v>0.04</v>
      </c>
      <c r="BM337" s="204">
        <v>3.3000000000000002E-2</v>
      </c>
      <c r="BN337" s="204">
        <v>2.4E-2</v>
      </c>
      <c r="BO337" s="204">
        <v>1.7999999999999999E-2</v>
      </c>
      <c r="BP337" s="1246"/>
      <c r="BQ337" s="1246"/>
    </row>
    <row r="338" spans="14:69" x14ac:dyDescent="0.25">
      <c r="N338" s="1276" t="s">
        <v>113</v>
      </c>
      <c r="O338" s="1276">
        <v>2</v>
      </c>
      <c r="P338" s="1408">
        <v>0.28199999999999997</v>
      </c>
      <c r="Q338" s="1408">
        <v>0.24399999999999999</v>
      </c>
      <c r="R338" s="1408">
        <v>0.185</v>
      </c>
      <c r="S338" s="1408">
        <v>0.14099999999999999</v>
      </c>
      <c r="T338" s="1408">
        <v>0.108</v>
      </c>
      <c r="U338" s="1408">
        <v>8.3000000000000004E-2</v>
      </c>
      <c r="V338" s="1408">
        <v>6.2E-2</v>
      </c>
      <c r="W338" s="1408">
        <v>0.05</v>
      </c>
      <c r="X338" s="1408">
        <v>3.4000000000000002E-2</v>
      </c>
      <c r="Y338" s="1408">
        <v>0.03</v>
      </c>
      <c r="Z338" s="1408">
        <v>2.7E-2</v>
      </c>
      <c r="AA338" s="1265"/>
      <c r="AB338" s="1366" t="s">
        <v>113</v>
      </c>
      <c r="AC338" s="1366">
        <v>2</v>
      </c>
      <c r="AD338" s="1381">
        <v>0.23100000000000001</v>
      </c>
      <c r="AE338" s="1381">
        <v>0.2</v>
      </c>
      <c r="AF338" s="1381">
        <v>0.151</v>
      </c>
      <c r="AG338" s="1381">
        <v>0.11799999999999999</v>
      </c>
      <c r="AH338" s="1381">
        <v>0.09</v>
      </c>
      <c r="AI338" s="1381">
        <v>6.9000000000000006E-2</v>
      </c>
      <c r="AJ338" s="1381">
        <v>5.0999999999999997E-2</v>
      </c>
      <c r="AK338" s="1381">
        <v>4.1000000000000002E-2</v>
      </c>
      <c r="AL338" s="1381">
        <v>2.9000000000000001E-2</v>
      </c>
      <c r="AM338" s="1381">
        <v>2.5000000000000001E-2</v>
      </c>
      <c r="AN338" s="1280"/>
      <c r="AO338" s="1280"/>
      <c r="AP338" s="1367" t="s">
        <v>113</v>
      </c>
      <c r="AQ338" s="1367">
        <v>2</v>
      </c>
      <c r="AR338" s="1296">
        <v>0.219</v>
      </c>
      <c r="AS338" s="1296">
        <v>0.185</v>
      </c>
      <c r="AT338" s="1296">
        <v>0.16</v>
      </c>
      <c r="AU338" s="1296">
        <v>0.121</v>
      </c>
      <c r="AV338" s="1296">
        <v>9.4E-2</v>
      </c>
      <c r="AW338" s="1296">
        <v>7.1999999999999995E-2</v>
      </c>
      <c r="AX338" s="1296">
        <v>5.5E-2</v>
      </c>
      <c r="AY338" s="1296">
        <v>4.1000000000000002E-2</v>
      </c>
      <c r="AZ338" s="1296">
        <v>3.3000000000000002E-2</v>
      </c>
      <c r="BA338" s="1296">
        <v>2.3E-2</v>
      </c>
      <c r="BB338" s="1290"/>
      <c r="BC338" s="1290"/>
      <c r="BD338" s="1260" t="s">
        <v>113</v>
      </c>
      <c r="BE338" s="1260">
        <v>2</v>
      </c>
      <c r="BF338" s="204">
        <v>0.19</v>
      </c>
      <c r="BG338" s="204">
        <v>0.161</v>
      </c>
      <c r="BH338" s="204">
        <v>0.13900000000000001</v>
      </c>
      <c r="BI338" s="204">
        <v>0.105</v>
      </c>
      <c r="BJ338" s="204">
        <v>8.2000000000000003E-2</v>
      </c>
      <c r="BK338" s="204">
        <v>6.3E-2</v>
      </c>
      <c r="BL338" s="204">
        <v>4.8000000000000001E-2</v>
      </c>
      <c r="BM338" s="204">
        <v>3.5999999999999997E-2</v>
      </c>
      <c r="BN338" s="204">
        <v>2.9000000000000001E-2</v>
      </c>
      <c r="BO338" s="204">
        <v>0.02</v>
      </c>
      <c r="BP338" s="1246"/>
      <c r="BQ338" s="1246"/>
    </row>
    <row r="339" spans="14:69" x14ac:dyDescent="0.25">
      <c r="N339" s="1276" t="s">
        <v>114</v>
      </c>
      <c r="O339" s="1276">
        <v>3</v>
      </c>
      <c r="P339" s="1408">
        <v>0.16600000000000001</v>
      </c>
      <c r="Q339" s="1408">
        <v>0.14199999999999999</v>
      </c>
      <c r="R339" s="1408">
        <v>0.106</v>
      </c>
      <c r="S339" s="1408">
        <v>8.2000000000000003E-2</v>
      </c>
      <c r="T339" s="1408">
        <v>6.9000000000000006E-2</v>
      </c>
      <c r="U339" s="1408">
        <v>5.1999999999999998E-2</v>
      </c>
      <c r="V339" s="1408">
        <v>4.1000000000000002E-2</v>
      </c>
      <c r="W339" s="1408">
        <v>3.4000000000000002E-2</v>
      </c>
      <c r="X339" s="1408">
        <v>2.1000000000000001E-2</v>
      </c>
      <c r="Y339" s="1408">
        <v>1.7999999999999999E-2</v>
      </c>
      <c r="Z339" s="1408">
        <v>1.6E-2</v>
      </c>
      <c r="AA339" s="1265"/>
      <c r="AB339" s="1366" t="s">
        <v>114</v>
      </c>
      <c r="AC339" s="1366">
        <v>3</v>
      </c>
      <c r="AD339" s="1381">
        <v>0.13300000000000001</v>
      </c>
      <c r="AE339" s="1381">
        <v>0.114</v>
      </c>
      <c r="AF339" s="1381">
        <v>8.5000000000000006E-2</v>
      </c>
      <c r="AG339" s="1381">
        <v>6.8000000000000005E-2</v>
      </c>
      <c r="AH339" s="1381">
        <v>5.0999999999999997E-2</v>
      </c>
      <c r="AI339" s="1381">
        <v>3.9E-2</v>
      </c>
      <c r="AJ339" s="1381">
        <v>0.03</v>
      </c>
      <c r="AK339" s="1381">
        <v>2.5000000000000001E-2</v>
      </c>
      <c r="AL339" s="1381">
        <v>1.7999999999999999E-2</v>
      </c>
      <c r="AM339" s="1381">
        <v>1.4999999999999999E-2</v>
      </c>
      <c r="AN339" s="1280"/>
      <c r="AO339" s="1280"/>
      <c r="AP339" s="1367" t="s">
        <v>114</v>
      </c>
      <c r="AQ339" s="1367">
        <v>3</v>
      </c>
      <c r="AR339" s="1296">
        <v>0.126</v>
      </c>
      <c r="AS339" s="1296">
        <v>0.106</v>
      </c>
      <c r="AT339" s="1296">
        <v>9.0999999999999998E-2</v>
      </c>
      <c r="AU339" s="1296">
        <v>6.8000000000000005E-2</v>
      </c>
      <c r="AV339" s="1296">
        <v>5.3999999999999999E-2</v>
      </c>
      <c r="AW339" s="1296">
        <v>4.1000000000000002E-2</v>
      </c>
      <c r="AX339" s="1296">
        <v>3.1E-2</v>
      </c>
      <c r="AY339" s="1296">
        <v>2.4E-2</v>
      </c>
      <c r="AZ339" s="1296">
        <v>0.02</v>
      </c>
      <c r="BA339" s="1296">
        <v>1.4E-2</v>
      </c>
      <c r="BB339" s="1290"/>
      <c r="BC339" s="1290"/>
      <c r="BD339" s="1260" t="s">
        <v>114</v>
      </c>
      <c r="BE339" s="1260">
        <v>3</v>
      </c>
      <c r="BF339" s="204">
        <v>0.122</v>
      </c>
      <c r="BG339" s="204">
        <v>0.10199999999999999</v>
      </c>
      <c r="BH339" s="204">
        <v>8.7999999999999995E-2</v>
      </c>
      <c r="BI339" s="204">
        <v>6.6000000000000003E-2</v>
      </c>
      <c r="BJ339" s="204">
        <v>5.1999999999999998E-2</v>
      </c>
      <c r="BK339" s="204">
        <v>0.04</v>
      </c>
      <c r="BL339" s="204">
        <v>0.03</v>
      </c>
      <c r="BM339" s="204">
        <v>2.3E-2</v>
      </c>
      <c r="BN339" s="204">
        <v>1.9E-2</v>
      </c>
      <c r="BO339" s="204">
        <v>1.4E-2</v>
      </c>
      <c r="BP339" s="1246"/>
      <c r="BQ339" s="1246"/>
    </row>
    <row r="340" spans="14:69" x14ac:dyDescent="0.25">
      <c r="N340" s="1276" t="s">
        <v>697</v>
      </c>
      <c r="O340" s="1276">
        <v>4</v>
      </c>
      <c r="P340" s="1408">
        <v>0.183</v>
      </c>
      <c r="Q340" s="1408">
        <v>0.158</v>
      </c>
      <c r="R340" s="1408">
        <v>0.11899999999999999</v>
      </c>
      <c r="S340" s="1408">
        <v>9.1999999999999998E-2</v>
      </c>
      <c r="T340" s="1408">
        <v>7.0000000000000007E-2</v>
      </c>
      <c r="U340" s="1408">
        <v>5.2999999999999999E-2</v>
      </c>
      <c r="V340" s="1408">
        <v>0.04</v>
      </c>
      <c r="W340" s="1408">
        <v>3.4000000000000002E-2</v>
      </c>
      <c r="X340" s="1408">
        <v>2.4E-2</v>
      </c>
      <c r="Y340" s="1408">
        <v>2.1000000000000001E-2</v>
      </c>
      <c r="Z340" s="1408">
        <v>1.7999999999999999E-2</v>
      </c>
      <c r="AA340" s="1265"/>
      <c r="AB340" s="1366" t="s">
        <v>115</v>
      </c>
      <c r="AC340" s="1366">
        <v>4</v>
      </c>
      <c r="AD340" s="1381">
        <v>0.14599999999999999</v>
      </c>
      <c r="AE340" s="1381">
        <v>0.126</v>
      </c>
      <c r="AF340" s="1381">
        <v>9.5000000000000001E-2</v>
      </c>
      <c r="AG340" s="1381">
        <v>7.4999999999999997E-2</v>
      </c>
      <c r="AH340" s="1381">
        <v>5.8000000000000003E-2</v>
      </c>
      <c r="AI340" s="1381">
        <v>4.3999999999999997E-2</v>
      </c>
      <c r="AJ340" s="1381">
        <v>3.3000000000000002E-2</v>
      </c>
      <c r="AK340" s="1381">
        <v>2.8000000000000001E-2</v>
      </c>
      <c r="AL340" s="1381">
        <v>0.02</v>
      </c>
      <c r="AM340" s="1381">
        <v>1.7000000000000001E-2</v>
      </c>
      <c r="AN340" s="1280"/>
      <c r="AO340" s="1280"/>
      <c r="AP340" s="1367" t="s">
        <v>115</v>
      </c>
      <c r="AQ340" s="1367">
        <v>4</v>
      </c>
      <c r="AR340" s="1296">
        <v>0.14000000000000001</v>
      </c>
      <c r="AS340" s="1296">
        <v>0.11700000000000001</v>
      </c>
      <c r="AT340" s="1296">
        <v>0.10100000000000001</v>
      </c>
      <c r="AU340" s="1296">
        <v>7.5999999999999998E-2</v>
      </c>
      <c r="AV340" s="1296">
        <v>0.06</v>
      </c>
      <c r="AW340" s="1296">
        <v>4.5999999999999999E-2</v>
      </c>
      <c r="AX340" s="1296">
        <v>3.5000000000000003E-2</v>
      </c>
      <c r="AY340" s="1296">
        <v>2.5999999999999999E-2</v>
      </c>
      <c r="AZ340" s="1296">
        <v>2.1999999999999999E-2</v>
      </c>
      <c r="BA340" s="1296">
        <v>1.6E-2</v>
      </c>
      <c r="BB340" s="1290"/>
      <c r="BC340" s="1290"/>
      <c r="BD340" s="1260" t="s">
        <v>115</v>
      </c>
      <c r="BE340" s="1260">
        <v>4</v>
      </c>
      <c r="BF340" s="204">
        <v>0.122</v>
      </c>
      <c r="BG340" s="204">
        <v>0.10199999999999999</v>
      </c>
      <c r="BH340" s="204">
        <v>8.7999999999999995E-2</v>
      </c>
      <c r="BI340" s="204">
        <v>6.6000000000000003E-2</v>
      </c>
      <c r="BJ340" s="204">
        <v>5.1999999999999998E-2</v>
      </c>
      <c r="BK340" s="204">
        <v>0.04</v>
      </c>
      <c r="BL340" s="204">
        <v>0.03</v>
      </c>
      <c r="BM340" s="204">
        <v>2.3E-2</v>
      </c>
      <c r="BN340" s="204">
        <v>1.9E-2</v>
      </c>
      <c r="BO340" s="204">
        <v>1.4E-2</v>
      </c>
      <c r="BP340" s="1246"/>
      <c r="BQ340" s="1246"/>
    </row>
    <row r="341" spans="14:69" ht="15.75" customHeight="1" x14ac:dyDescent="0.25">
      <c r="N341" s="1276" t="s">
        <v>116</v>
      </c>
      <c r="O341" s="1276">
        <v>5</v>
      </c>
      <c r="P341" s="1408">
        <v>0.191</v>
      </c>
      <c r="Q341" s="1408">
        <v>0.16600000000000001</v>
      </c>
      <c r="R341" s="1408">
        <v>0.128</v>
      </c>
      <c r="S341" s="1408">
        <v>9.5000000000000001E-2</v>
      </c>
      <c r="T341" s="1408">
        <v>7.1999999999999995E-2</v>
      </c>
      <c r="U341" s="1408">
        <v>5.6000000000000001E-2</v>
      </c>
      <c r="V341" s="1408">
        <v>4.3999999999999997E-2</v>
      </c>
      <c r="W341" s="1408">
        <v>3.6999999999999998E-2</v>
      </c>
      <c r="X341" s="1408">
        <v>2.5999999999999999E-2</v>
      </c>
      <c r="Y341" s="1408">
        <v>2.1999999999999999E-2</v>
      </c>
      <c r="Z341" s="1408">
        <v>0.02</v>
      </c>
      <c r="AA341" s="1265"/>
      <c r="AB341" s="1366" t="s">
        <v>116</v>
      </c>
      <c r="AC341" s="1366">
        <v>5</v>
      </c>
      <c r="AD341" s="1381">
        <v>0.153</v>
      </c>
      <c r="AE341" s="1381">
        <v>0.13300000000000001</v>
      </c>
      <c r="AF341" s="1381">
        <v>0.10299999999999999</v>
      </c>
      <c r="AG341" s="1381">
        <v>7.8E-2</v>
      </c>
      <c r="AH341" s="1381">
        <v>5.8999999999999997E-2</v>
      </c>
      <c r="AI341" s="1381">
        <v>4.5999999999999999E-2</v>
      </c>
      <c r="AJ341" s="1381">
        <v>3.5999999999999997E-2</v>
      </c>
      <c r="AK341" s="1381">
        <v>0.03</v>
      </c>
      <c r="AL341" s="1381">
        <v>2.1000000000000001E-2</v>
      </c>
      <c r="AM341" s="1381">
        <v>1.7999999999999999E-2</v>
      </c>
      <c r="AN341" s="1280"/>
      <c r="AO341" s="1280"/>
      <c r="AP341" s="1367" t="s">
        <v>116</v>
      </c>
      <c r="AQ341" s="1367">
        <v>5</v>
      </c>
      <c r="AR341" s="1296">
        <v>0.14699999999999999</v>
      </c>
      <c r="AS341" s="1296">
        <v>0.122</v>
      </c>
      <c r="AT341" s="1296">
        <v>0.106</v>
      </c>
      <c r="AU341" s="1296">
        <v>8.2000000000000003E-2</v>
      </c>
      <c r="AV341" s="1296">
        <v>6.2E-2</v>
      </c>
      <c r="AW341" s="1296">
        <v>4.7E-2</v>
      </c>
      <c r="AX341" s="1296">
        <v>3.6999999999999998E-2</v>
      </c>
      <c r="AY341" s="1296">
        <v>2.9000000000000001E-2</v>
      </c>
      <c r="AZ341" s="1296">
        <v>2.4E-2</v>
      </c>
      <c r="BA341" s="1296">
        <v>1.7000000000000001E-2</v>
      </c>
      <c r="BB341" s="1290"/>
      <c r="BC341" s="1290"/>
      <c r="BD341" s="1260" t="s">
        <v>116</v>
      </c>
      <c r="BE341" s="1260">
        <v>5</v>
      </c>
      <c r="BF341" s="204">
        <v>0.128</v>
      </c>
      <c r="BG341" s="204">
        <v>0.106</v>
      </c>
      <c r="BH341" s="204">
        <v>9.1999999999999998E-2</v>
      </c>
      <c r="BI341" s="204">
        <v>7.0999999999999994E-2</v>
      </c>
      <c r="BJ341" s="204">
        <v>5.3999999999999999E-2</v>
      </c>
      <c r="BK341" s="204">
        <v>4.1000000000000002E-2</v>
      </c>
      <c r="BL341" s="204">
        <v>3.2000000000000001E-2</v>
      </c>
      <c r="BM341" s="204">
        <v>2.5000000000000001E-2</v>
      </c>
      <c r="BN341" s="204">
        <v>2.1000000000000001E-2</v>
      </c>
      <c r="BO341" s="204">
        <v>1.4999999999999999E-2</v>
      </c>
      <c r="BP341" s="1246"/>
      <c r="BQ341" s="1246"/>
    </row>
    <row r="342" spans="14:69" x14ac:dyDescent="0.25">
      <c r="N342" s="1271" t="s">
        <v>493</v>
      </c>
      <c r="O342" s="1271"/>
      <c r="P342" s="1271"/>
      <c r="Q342" s="1271"/>
      <c r="R342" s="1272"/>
      <c r="S342" s="1272"/>
      <c r="T342" s="1272"/>
      <c r="U342" s="1272"/>
      <c r="V342" s="1272"/>
      <c r="W342" s="1272"/>
      <c r="X342" s="1272"/>
      <c r="Y342" s="1272"/>
      <c r="Z342" s="1265"/>
      <c r="AA342" s="1265"/>
      <c r="AB342" s="1284" t="s">
        <v>493</v>
      </c>
      <c r="AC342" s="1284"/>
      <c r="AD342" s="1284"/>
      <c r="AE342" s="1284"/>
      <c r="AF342" s="1285"/>
      <c r="AG342" s="1285"/>
      <c r="AH342" s="1285"/>
      <c r="AI342" s="1285"/>
      <c r="AJ342" s="1285"/>
      <c r="AK342" s="1285"/>
      <c r="AL342" s="1285"/>
      <c r="AM342" s="1285"/>
      <c r="AN342" s="1280"/>
      <c r="AO342" s="1280"/>
      <c r="AP342" s="1294" t="s">
        <v>493</v>
      </c>
      <c r="AQ342" s="1294"/>
      <c r="AR342" s="1294"/>
      <c r="AS342" s="1294"/>
      <c r="AT342" s="1295"/>
      <c r="AU342" s="1295"/>
      <c r="AV342" s="1295"/>
      <c r="AW342" s="1295"/>
      <c r="AX342" s="1295"/>
      <c r="AY342" s="1295"/>
      <c r="AZ342" s="1295"/>
      <c r="BA342" s="1295"/>
      <c r="BB342" s="1290"/>
      <c r="BC342" s="1290"/>
      <c r="BD342" s="1250" t="s">
        <v>495</v>
      </c>
      <c r="BE342" s="1250"/>
      <c r="BF342" s="1250"/>
      <c r="BG342" s="1250"/>
      <c r="BH342" s="1251"/>
      <c r="BI342" s="1251"/>
      <c r="BJ342" s="1251"/>
      <c r="BK342" s="1251"/>
      <c r="BL342" s="1251"/>
      <c r="BM342" s="1251"/>
      <c r="BN342" s="1251"/>
      <c r="BO342" s="1251"/>
      <c r="BP342" s="1246"/>
      <c r="BQ342" s="1246"/>
    </row>
    <row r="343" spans="14:69" x14ac:dyDescent="0.25">
      <c r="N343" s="1944" t="s">
        <v>111</v>
      </c>
      <c r="O343" s="1276"/>
      <c r="P343" s="1945" t="s">
        <v>219</v>
      </c>
      <c r="Q343" s="1946"/>
      <c r="R343" s="1946"/>
      <c r="S343" s="1946"/>
      <c r="T343" s="1946"/>
      <c r="U343" s="1946"/>
      <c r="V343" s="1946"/>
      <c r="W343" s="1947"/>
      <c r="X343" s="1265"/>
      <c r="Y343" s="1265"/>
      <c r="Z343" s="1265"/>
      <c r="AA343" s="1265"/>
      <c r="AB343" s="1926" t="s">
        <v>111</v>
      </c>
      <c r="AC343" s="1366"/>
      <c r="AD343" s="1926" t="s">
        <v>219</v>
      </c>
      <c r="AE343" s="1926"/>
      <c r="AF343" s="1926"/>
      <c r="AG343" s="1926"/>
      <c r="AH343" s="1926"/>
      <c r="AI343" s="1926"/>
      <c r="AJ343" s="1926"/>
      <c r="AK343" s="1926"/>
      <c r="AL343" s="1926"/>
      <c r="AM343" s="1926"/>
      <c r="AN343" s="1280"/>
      <c r="AO343" s="1280"/>
      <c r="AP343" s="1927" t="s">
        <v>111</v>
      </c>
      <c r="AQ343" s="1367"/>
      <c r="AR343" s="1928" t="s">
        <v>219</v>
      </c>
      <c r="AS343" s="1928"/>
      <c r="AT343" s="1928"/>
      <c r="AU343" s="1928"/>
      <c r="AV343" s="1928"/>
      <c r="AW343" s="1928"/>
      <c r="AX343" s="1928"/>
      <c r="AY343" s="1928"/>
      <c r="AZ343" s="1928"/>
      <c r="BA343" s="1928"/>
      <c r="BB343" s="1290"/>
      <c r="BC343" s="1290"/>
      <c r="BD343" s="1929" t="s">
        <v>111</v>
      </c>
      <c r="BE343" s="1260"/>
      <c r="BF343" s="1930" t="s">
        <v>219</v>
      </c>
      <c r="BG343" s="1930"/>
      <c r="BH343" s="1930"/>
      <c r="BI343" s="1930"/>
      <c r="BJ343" s="1930"/>
      <c r="BK343" s="1930"/>
      <c r="BL343" s="1930"/>
      <c r="BM343" s="1930"/>
      <c r="BN343" s="1930"/>
      <c r="BO343" s="1930"/>
      <c r="BP343" s="1254"/>
      <c r="BQ343" s="1256"/>
    </row>
    <row r="344" spans="14:69" x14ac:dyDescent="0.25">
      <c r="N344" s="1944"/>
      <c r="O344" s="1276"/>
      <c r="P344" s="1408">
        <v>10</v>
      </c>
      <c r="Q344" s="1408">
        <v>20</v>
      </c>
      <c r="R344" s="1408">
        <v>50</v>
      </c>
      <c r="S344" s="1408">
        <v>100</v>
      </c>
      <c r="T344" s="1408">
        <v>200</v>
      </c>
      <c r="U344" s="1408">
        <v>500</v>
      </c>
      <c r="V344" s="1408">
        <v>1000</v>
      </c>
      <c r="W344" s="1408">
        <v>2000</v>
      </c>
      <c r="X344" s="1376"/>
      <c r="Y344" s="1376"/>
      <c r="Z344" s="1265"/>
      <c r="AA344" s="1265"/>
      <c r="AB344" s="1926"/>
      <c r="AC344" s="1366"/>
      <c r="AD344" s="1381">
        <v>10</v>
      </c>
      <c r="AE344" s="1381">
        <v>20</v>
      </c>
      <c r="AF344" s="1381">
        <v>50</v>
      </c>
      <c r="AG344" s="1381">
        <v>100</v>
      </c>
      <c r="AH344" s="1381">
        <v>200</v>
      </c>
      <c r="AI344" s="1381">
        <v>500</v>
      </c>
      <c r="AJ344" s="1381">
        <v>1000</v>
      </c>
      <c r="AK344" s="1381">
        <v>2000</v>
      </c>
      <c r="AL344" s="1381">
        <v>5000</v>
      </c>
      <c r="AM344" s="1381">
        <v>8000</v>
      </c>
      <c r="AN344" s="1280"/>
      <c r="AO344" s="1280"/>
      <c r="AP344" s="1927"/>
      <c r="AQ344" s="1367"/>
      <c r="AR344" s="1347">
        <v>7</v>
      </c>
      <c r="AS344" s="1347">
        <v>10</v>
      </c>
      <c r="AT344" s="1347">
        <v>20</v>
      </c>
      <c r="AU344" s="1347">
        <v>50</v>
      </c>
      <c r="AV344" s="1347">
        <v>100</v>
      </c>
      <c r="AW344" s="1347">
        <v>200</v>
      </c>
      <c r="AX344" s="1347">
        <v>500</v>
      </c>
      <c r="AY344" s="1347">
        <v>1000</v>
      </c>
      <c r="AZ344" s="1347">
        <v>2000</v>
      </c>
      <c r="BA344" s="1347">
        <v>5000</v>
      </c>
      <c r="BB344" s="1290"/>
      <c r="BC344" s="1290"/>
      <c r="BD344" s="1929"/>
      <c r="BE344" s="1260"/>
      <c r="BF344" s="203">
        <v>7</v>
      </c>
      <c r="BG344" s="203">
        <v>10</v>
      </c>
      <c r="BH344" s="203">
        <v>20</v>
      </c>
      <c r="BI344" s="203">
        <v>50</v>
      </c>
      <c r="BJ344" s="203">
        <v>100</v>
      </c>
      <c r="BK344" s="203">
        <v>200</v>
      </c>
      <c r="BL344" s="203">
        <v>500</v>
      </c>
      <c r="BM344" s="203">
        <v>1000</v>
      </c>
      <c r="BN344" s="203">
        <v>2000</v>
      </c>
      <c r="BO344" s="203">
        <v>5000</v>
      </c>
      <c r="BP344" s="201"/>
      <c r="BQ344" s="1257"/>
    </row>
    <row r="345" spans="14:69" x14ac:dyDescent="0.25">
      <c r="N345" s="1276" t="s">
        <v>3661</v>
      </c>
      <c r="O345" s="1276">
        <v>1</v>
      </c>
      <c r="P345" s="1408">
        <v>0.432</v>
      </c>
      <c r="Q345" s="1408">
        <v>0.34599999999999997</v>
      </c>
      <c r="R345" s="1408">
        <v>0.19500000000000001</v>
      </c>
      <c r="S345" s="1408">
        <v>0.127</v>
      </c>
      <c r="T345" s="1408">
        <v>7.8E-2</v>
      </c>
      <c r="U345" s="1408">
        <v>5.7000000000000002E-2</v>
      </c>
      <c r="V345" s="1408">
        <v>0.04</v>
      </c>
      <c r="W345" s="1408">
        <v>3.2000000000000001E-2</v>
      </c>
      <c r="X345" s="1409"/>
      <c r="Y345" s="1409"/>
      <c r="Z345" s="1265"/>
      <c r="AA345" s="1265"/>
      <c r="AB345" s="1366" t="s">
        <v>112</v>
      </c>
      <c r="AC345" s="1366">
        <v>1</v>
      </c>
      <c r="AD345" s="1440">
        <v>0.33700000000000002</v>
      </c>
      <c r="AE345" s="1440">
        <v>0.27</v>
      </c>
      <c r="AF345" s="1440">
        <v>0.152</v>
      </c>
      <c r="AG345" s="1440">
        <v>9.9000000000000005E-2</v>
      </c>
      <c r="AH345" s="1440">
        <v>5.8999999999999997E-2</v>
      </c>
      <c r="AI345" s="1440">
        <v>4.2999999999999997E-2</v>
      </c>
      <c r="AJ345" s="1440">
        <v>0.03</v>
      </c>
      <c r="AK345" s="1440">
        <v>2.5999999999999999E-2</v>
      </c>
      <c r="AL345" s="1440">
        <v>2.1999999999999999E-2</v>
      </c>
      <c r="AM345" s="1440">
        <v>1.9E-2</v>
      </c>
      <c r="AN345" s="1280"/>
      <c r="AO345" s="1280"/>
      <c r="AP345" s="1367" t="s">
        <v>112</v>
      </c>
      <c r="AQ345" s="1367">
        <v>1</v>
      </c>
      <c r="AR345" s="1296">
        <v>0.51450000000000007</v>
      </c>
      <c r="AS345" s="1296">
        <v>0.42899999999999994</v>
      </c>
      <c r="AT345" s="1296">
        <v>0.34350000000000003</v>
      </c>
      <c r="AU345" s="1296">
        <v>0.19349999999999998</v>
      </c>
      <c r="AV345" s="1296">
        <v>0.12899999999999998</v>
      </c>
      <c r="AW345" s="1296">
        <v>7.6499999999999985E-2</v>
      </c>
      <c r="AX345" s="1296">
        <v>5.6999999999999995E-2</v>
      </c>
      <c r="AY345" s="1296">
        <v>4.0499999999999994E-2</v>
      </c>
      <c r="AZ345" s="1296">
        <v>3.4499999999999996E-2</v>
      </c>
      <c r="BA345" s="1296">
        <v>0.03</v>
      </c>
      <c r="BB345" s="1290"/>
      <c r="BC345" s="1290"/>
      <c r="BD345" s="1260" t="s">
        <v>112</v>
      </c>
      <c r="BE345" s="1260">
        <v>1</v>
      </c>
      <c r="BF345" s="204">
        <v>0.31199999999999994</v>
      </c>
      <c r="BG345" s="204">
        <v>0.26</v>
      </c>
      <c r="BH345" s="204">
        <v>0.20799999999999996</v>
      </c>
      <c r="BI345" s="204">
        <v>0.11700000000000001</v>
      </c>
      <c r="BJ345" s="204">
        <v>7.7999999999999986E-2</v>
      </c>
      <c r="BK345" s="204">
        <v>4.7E-2</v>
      </c>
      <c r="BL345" s="204">
        <v>3.1E-2</v>
      </c>
      <c r="BM345" s="204">
        <v>2.5000000000000001E-2</v>
      </c>
      <c r="BN345" s="204">
        <v>2.0999999999999998E-2</v>
      </c>
      <c r="BO345" s="204">
        <v>1.7999999999999995E-2</v>
      </c>
      <c r="BP345" s="201"/>
      <c r="BQ345" s="1257"/>
    </row>
    <row r="346" spans="14:69" x14ac:dyDescent="0.25">
      <c r="N346" s="1276" t="s">
        <v>113</v>
      </c>
      <c r="O346" s="1276">
        <v>2</v>
      </c>
      <c r="P346" s="1408">
        <v>0.54900000000000004</v>
      </c>
      <c r="Q346" s="1408">
        <v>0.379</v>
      </c>
      <c r="R346" s="1408">
        <v>0.21099999999999999</v>
      </c>
      <c r="S346" s="1408">
        <v>0.14399999999999999</v>
      </c>
      <c r="T346" s="1408">
        <v>9.6000000000000002E-2</v>
      </c>
      <c r="U346" s="1408">
        <v>6.7000000000000004E-2</v>
      </c>
      <c r="V346" s="1408">
        <v>5.1999999999999998E-2</v>
      </c>
      <c r="W346" s="1408">
        <v>4.1000000000000002E-2</v>
      </c>
      <c r="X346" s="1409"/>
      <c r="Y346" s="1409"/>
      <c r="Z346" s="1265"/>
      <c r="AA346" s="1265"/>
      <c r="AB346" s="1366" t="s">
        <v>113</v>
      </c>
      <c r="AC346" s="1366">
        <v>2</v>
      </c>
      <c r="AD346" s="1440">
        <v>0.439</v>
      </c>
      <c r="AE346" s="1440">
        <v>0.30299999999999999</v>
      </c>
      <c r="AF346" s="1440">
        <v>0.16900000000000001</v>
      </c>
      <c r="AG346" s="1440">
        <v>0.115</v>
      </c>
      <c r="AH346" s="1440">
        <v>7.3999999999999996E-2</v>
      </c>
      <c r="AI346" s="1440">
        <v>5.2999999999999999E-2</v>
      </c>
      <c r="AJ346" s="1440">
        <v>0.04</v>
      </c>
      <c r="AK346" s="1440">
        <v>3.4000000000000002E-2</v>
      </c>
      <c r="AL346" s="1440">
        <v>2.7E-2</v>
      </c>
      <c r="AM346" s="1440">
        <v>2.3E-2</v>
      </c>
      <c r="AN346" s="1280"/>
      <c r="AO346" s="1280"/>
      <c r="AP346" s="1367" t="s">
        <v>113</v>
      </c>
      <c r="AQ346" s="1367">
        <v>2</v>
      </c>
      <c r="AR346" s="1296">
        <v>0.64349999999999985</v>
      </c>
      <c r="AS346" s="1296">
        <v>0.55799999999999994</v>
      </c>
      <c r="AT346" s="1296">
        <v>0.38550000000000001</v>
      </c>
      <c r="AU346" s="1296">
        <v>0.21449999999999997</v>
      </c>
      <c r="AV346" s="1296">
        <v>0.15</v>
      </c>
      <c r="AW346" s="1296">
        <v>9.6000000000000002E-2</v>
      </c>
      <c r="AX346" s="1296">
        <v>7.0499999999999993E-2</v>
      </c>
      <c r="AY346" s="1296">
        <v>5.3999999999999992E-2</v>
      </c>
      <c r="AZ346" s="1296">
        <v>4.4999999999999998E-2</v>
      </c>
      <c r="BA346" s="1296">
        <v>3.5999999999999997E-2</v>
      </c>
      <c r="BB346" s="1290"/>
      <c r="BC346" s="1290"/>
      <c r="BD346" s="1260" t="s">
        <v>113</v>
      </c>
      <c r="BE346" s="1260">
        <v>2</v>
      </c>
      <c r="BF346" s="204">
        <v>0.39</v>
      </c>
      <c r="BG346" s="204">
        <v>0.33799999999999997</v>
      </c>
      <c r="BH346" s="204">
        <v>0.23400000000000001</v>
      </c>
      <c r="BI346" s="204">
        <v>0.13</v>
      </c>
      <c r="BJ346" s="204">
        <v>9.0999999999999998E-2</v>
      </c>
      <c r="BK346" s="204">
        <v>5.899999999999999E-2</v>
      </c>
      <c r="BL346" s="204">
        <v>4.2999999999999997E-2</v>
      </c>
      <c r="BM346" s="204">
        <v>3.3000000000000002E-2</v>
      </c>
      <c r="BN346" s="204">
        <v>2.7E-2</v>
      </c>
      <c r="BO346" s="204">
        <v>2.1999999999999999E-2</v>
      </c>
      <c r="BP346" s="201"/>
      <c r="BQ346" s="1257"/>
    </row>
    <row r="347" spans="14:69" x14ac:dyDescent="0.25">
      <c r="N347" s="1276" t="s">
        <v>114</v>
      </c>
      <c r="O347" s="1276">
        <v>3</v>
      </c>
      <c r="P347" s="1408">
        <v>0.34599999999999997</v>
      </c>
      <c r="Q347" s="1408">
        <v>0.23699999999999999</v>
      </c>
      <c r="R347" s="1408">
        <v>0.151</v>
      </c>
      <c r="S347" s="1408">
        <v>0.09</v>
      </c>
      <c r="T347" s="1408">
        <v>5.7000000000000002E-2</v>
      </c>
      <c r="U347" s="1408">
        <v>4.2999999999999997E-2</v>
      </c>
      <c r="V347" s="1408">
        <v>2.9000000000000001E-2</v>
      </c>
      <c r="W347" s="1408">
        <v>2.3E-2</v>
      </c>
      <c r="X347" s="1409"/>
      <c r="Y347" s="1409"/>
      <c r="Z347" s="1265"/>
      <c r="AA347" s="1265"/>
      <c r="AB347" s="1366" t="s">
        <v>114</v>
      </c>
      <c r="AC347" s="1366">
        <v>3</v>
      </c>
      <c r="AD347" s="1440">
        <v>0.27</v>
      </c>
      <c r="AE347" s="1440">
        <v>0.185</v>
      </c>
      <c r="AF347" s="1440">
        <v>0.11799999999999999</v>
      </c>
      <c r="AG347" s="1440">
        <v>7.0000000000000007E-2</v>
      </c>
      <c r="AH347" s="1440">
        <v>4.4999999999999998E-2</v>
      </c>
      <c r="AI347" s="1440">
        <v>3.5000000000000003E-2</v>
      </c>
      <c r="AJ347" s="1440">
        <v>2.1999999999999999E-2</v>
      </c>
      <c r="AK347" s="1440">
        <v>1.9E-2</v>
      </c>
      <c r="AL347" s="1440">
        <v>1.6E-2</v>
      </c>
      <c r="AM347" s="1440">
        <v>1.4E-2</v>
      </c>
      <c r="AN347" s="1280"/>
      <c r="AO347" s="1280"/>
      <c r="AP347" s="1367" t="s">
        <v>114</v>
      </c>
      <c r="AQ347" s="1367">
        <v>3</v>
      </c>
      <c r="AR347" s="1296">
        <v>0.39899999999999997</v>
      </c>
      <c r="AS347" s="1296">
        <v>0.34350000000000003</v>
      </c>
      <c r="AT347" s="1296">
        <v>0.23549999999999999</v>
      </c>
      <c r="AU347" s="1296">
        <v>0.15</v>
      </c>
      <c r="AV347" s="1296">
        <v>9.1499999999999998E-2</v>
      </c>
      <c r="AW347" s="1296">
        <v>5.8499999999999996E-2</v>
      </c>
      <c r="AX347" s="1296">
        <v>4.65E-2</v>
      </c>
      <c r="AY347" s="1296">
        <v>0.03</v>
      </c>
      <c r="AZ347" s="1296">
        <v>2.5500000000000002E-2</v>
      </c>
      <c r="BA347" s="1296">
        <v>2.0999999999999998E-2</v>
      </c>
      <c r="BB347" s="1290"/>
      <c r="BC347" s="1290"/>
      <c r="BD347" s="1260" t="s">
        <v>114</v>
      </c>
      <c r="BE347" s="1260">
        <v>3</v>
      </c>
      <c r="BF347" s="204">
        <v>0.24199999999999999</v>
      </c>
      <c r="BG347" s="204">
        <v>0.20799999999999996</v>
      </c>
      <c r="BH347" s="204">
        <v>0.14299999999999999</v>
      </c>
      <c r="BI347" s="204">
        <v>9.0999999999999998E-2</v>
      </c>
      <c r="BJ347" s="204">
        <v>5.5999999999999994E-2</v>
      </c>
      <c r="BK347" s="204">
        <v>3.5000000000000003E-2</v>
      </c>
      <c r="BL347" s="204">
        <v>0.03</v>
      </c>
      <c r="BM347" s="204">
        <v>1.7999999999999995E-2</v>
      </c>
      <c r="BN347" s="204">
        <v>1.6E-2</v>
      </c>
      <c r="BO347" s="204">
        <v>1.2999999999999998E-2</v>
      </c>
      <c r="BP347" s="201"/>
      <c r="BQ347" s="1257"/>
    </row>
    <row r="348" spans="14:69" x14ac:dyDescent="0.25">
      <c r="N348" s="1276" t="s">
        <v>697</v>
      </c>
      <c r="O348" s="1276">
        <v>4</v>
      </c>
      <c r="P348" s="1408">
        <v>0.36099999999999999</v>
      </c>
      <c r="Q348" s="1408">
        <v>0.30199999999999999</v>
      </c>
      <c r="R348" s="1408">
        <v>0.16600000000000001</v>
      </c>
      <c r="S348" s="1408">
        <v>9.4E-2</v>
      </c>
      <c r="T348" s="1408">
        <v>6.6000000000000003E-2</v>
      </c>
      <c r="U348" s="1408">
        <v>4.5999999999999999E-2</v>
      </c>
      <c r="V348" s="1408">
        <v>3.1E-2</v>
      </c>
      <c r="W348" s="1408">
        <v>2.5999999999999999E-2</v>
      </c>
      <c r="X348" s="1409"/>
      <c r="Y348" s="1409"/>
      <c r="Z348" s="1265"/>
      <c r="AA348" s="1265"/>
      <c r="AB348" s="1366" t="s">
        <v>115</v>
      </c>
      <c r="AC348" s="1366">
        <v>4</v>
      </c>
      <c r="AD348" s="1440">
        <v>0.28199999999999997</v>
      </c>
      <c r="AE348" s="1440">
        <v>0.23599999999999999</v>
      </c>
      <c r="AF348" s="1440">
        <v>0.13</v>
      </c>
      <c r="AG348" s="1440">
        <v>7.3999999999999996E-2</v>
      </c>
      <c r="AH348" s="1440">
        <v>4.7E-2</v>
      </c>
      <c r="AI348" s="1440">
        <v>3.6999999999999998E-2</v>
      </c>
      <c r="AJ348" s="1440">
        <v>2.4E-2</v>
      </c>
      <c r="AK348" s="1440">
        <v>2.1000000000000001E-2</v>
      </c>
      <c r="AL348" s="1440">
        <v>1.7999999999999999E-2</v>
      </c>
      <c r="AM348" s="1440">
        <v>1.6E-2</v>
      </c>
      <c r="AN348" s="1280"/>
      <c r="AO348" s="1280"/>
      <c r="AP348" s="1367" t="s">
        <v>115</v>
      </c>
      <c r="AQ348" s="1367">
        <v>4</v>
      </c>
      <c r="AR348" s="1296">
        <v>0.42899999999999994</v>
      </c>
      <c r="AS348" s="1296">
        <v>0.35849999999999999</v>
      </c>
      <c r="AT348" s="1296">
        <v>0.3</v>
      </c>
      <c r="AU348" s="1296">
        <v>0.16500000000000001</v>
      </c>
      <c r="AV348" s="1296">
        <v>9.6000000000000002E-2</v>
      </c>
      <c r="AW348" s="1296">
        <v>6.1499999999999999E-2</v>
      </c>
      <c r="AX348" s="1296">
        <v>4.9500000000000002E-2</v>
      </c>
      <c r="AY348" s="1296">
        <v>3.15E-2</v>
      </c>
      <c r="AZ348" s="1296">
        <v>2.8499999999999998E-2</v>
      </c>
      <c r="BA348" s="1296">
        <v>2.4E-2</v>
      </c>
      <c r="BB348" s="1290"/>
      <c r="BC348" s="1290"/>
      <c r="BD348" s="1260" t="s">
        <v>115</v>
      </c>
      <c r="BE348" s="1260">
        <v>4</v>
      </c>
      <c r="BF348" s="204">
        <v>0.26</v>
      </c>
      <c r="BG348" s="204">
        <v>0.218</v>
      </c>
      <c r="BH348" s="204">
        <v>0.182</v>
      </c>
      <c r="BI348" s="204">
        <v>0.1</v>
      </c>
      <c r="BJ348" s="204">
        <v>5.899999999999999E-2</v>
      </c>
      <c r="BK348" s="204">
        <v>3.7999999999999992E-2</v>
      </c>
      <c r="BL348" s="204">
        <v>0.32</v>
      </c>
      <c r="BM348" s="204">
        <v>0.02</v>
      </c>
      <c r="BN348" s="204">
        <v>1.7000000000000001E-2</v>
      </c>
      <c r="BO348" s="204">
        <v>1.3999999999999999E-2</v>
      </c>
      <c r="BP348" s="201"/>
      <c r="BQ348" s="1257"/>
    </row>
    <row r="349" spans="14:69" ht="15.75" customHeight="1" x14ac:dyDescent="0.25">
      <c r="N349" s="1276" t="s">
        <v>116</v>
      </c>
      <c r="O349" s="1276">
        <v>5</v>
      </c>
      <c r="P349" s="1408">
        <v>0.38800000000000001</v>
      </c>
      <c r="Q349" s="1408">
        <v>0.32500000000000001</v>
      </c>
      <c r="R349" s="1408">
        <v>0.17199999999999999</v>
      </c>
      <c r="S349" s="1408">
        <v>0.106</v>
      </c>
      <c r="T349" s="1408">
        <v>6.9000000000000006E-2</v>
      </c>
      <c r="U349" s="1408">
        <v>5.1999999999999998E-2</v>
      </c>
      <c r="V349" s="1408">
        <v>3.7999999999999999E-2</v>
      </c>
      <c r="W349" s="1408">
        <v>2.8000000000000001E-2</v>
      </c>
      <c r="X349" s="1409"/>
      <c r="Y349" s="1409"/>
      <c r="Z349" s="1265"/>
      <c r="AA349" s="1265"/>
      <c r="AB349" s="1366" t="s">
        <v>116</v>
      </c>
      <c r="AC349" s="1366">
        <v>5</v>
      </c>
      <c r="AD349" s="1440">
        <v>0.30299999999999999</v>
      </c>
      <c r="AE349" s="1440">
        <v>0.254</v>
      </c>
      <c r="AF349" s="1440">
        <v>0.13500000000000001</v>
      </c>
      <c r="AG349" s="1440">
        <v>8.3000000000000004E-2</v>
      </c>
      <c r="AH349" s="1440">
        <v>4.9000000000000002E-2</v>
      </c>
      <c r="AI349" s="1440">
        <v>0.04</v>
      </c>
      <c r="AJ349" s="1440">
        <v>2.5999999999999999E-2</v>
      </c>
      <c r="AK349" s="1440">
        <v>2.1999999999999999E-2</v>
      </c>
      <c r="AL349" s="1440">
        <v>1.9E-2</v>
      </c>
      <c r="AM349" s="1440">
        <v>1.7000000000000001E-2</v>
      </c>
      <c r="AN349" s="1280"/>
      <c r="AO349" s="1280"/>
      <c r="AP349" s="1367" t="s">
        <v>116</v>
      </c>
      <c r="AQ349" s="1367">
        <v>5</v>
      </c>
      <c r="AR349" s="1296">
        <v>0.45</v>
      </c>
      <c r="AS349" s="1296">
        <v>0.38550000000000001</v>
      </c>
      <c r="AT349" s="1296">
        <v>0.32250000000000001</v>
      </c>
      <c r="AU349" s="1296">
        <v>0.17099999999999999</v>
      </c>
      <c r="AV349" s="1296">
        <v>0.10799999999999998</v>
      </c>
      <c r="AW349" s="1296">
        <v>6.4499999999999988E-2</v>
      </c>
      <c r="AX349" s="1296">
        <v>5.3999999999999992E-2</v>
      </c>
      <c r="AY349" s="1296">
        <v>3.4499999999999996E-2</v>
      </c>
      <c r="AZ349" s="1296">
        <v>0.03</v>
      </c>
      <c r="BA349" s="1296">
        <v>2.5500000000000002E-2</v>
      </c>
      <c r="BB349" s="1290"/>
      <c r="BC349" s="1290"/>
      <c r="BD349" s="1260" t="s">
        <v>116</v>
      </c>
      <c r="BE349" s="1260">
        <v>5</v>
      </c>
      <c r="BF349" s="204">
        <v>0.27300000000000002</v>
      </c>
      <c r="BG349" s="204">
        <v>0.23400000000000001</v>
      </c>
      <c r="BH349" s="204">
        <v>0.15599999999999997</v>
      </c>
      <c r="BI349" s="204">
        <v>0.10399999999999998</v>
      </c>
      <c r="BJ349" s="204">
        <v>6.5000000000000002E-2</v>
      </c>
      <c r="BK349" s="204">
        <v>3.8999999999999993E-2</v>
      </c>
      <c r="BL349" s="204">
        <v>3.3000000000000002E-2</v>
      </c>
      <c r="BM349" s="204">
        <v>2.0999999999999998E-2</v>
      </c>
      <c r="BN349" s="204">
        <v>1.7999999999999995E-2</v>
      </c>
      <c r="BO349" s="204">
        <v>1.6E-2</v>
      </c>
      <c r="BP349" s="1246"/>
      <c r="BQ349" s="1246"/>
    </row>
    <row r="350" spans="14:69" x14ac:dyDescent="0.25">
      <c r="N350" s="1271" t="s">
        <v>222</v>
      </c>
      <c r="O350" s="1271"/>
      <c r="P350" s="1271"/>
      <c r="Q350" s="1271"/>
      <c r="R350" s="1272"/>
      <c r="S350" s="1272"/>
      <c r="T350" s="1272"/>
      <c r="U350" s="1272"/>
      <c r="V350" s="1272"/>
      <c r="W350" s="1272"/>
      <c r="X350" s="1272"/>
      <c r="Y350" s="1272"/>
      <c r="Z350" s="1265"/>
      <c r="AA350" s="1265"/>
      <c r="AB350" s="1284" t="s">
        <v>222</v>
      </c>
      <c r="AC350" s="1284"/>
      <c r="AD350" s="1284"/>
      <c r="AE350" s="1284"/>
      <c r="AF350" s="1285"/>
      <c r="AG350" s="1285"/>
      <c r="AH350" s="1285"/>
      <c r="AI350" s="1285"/>
      <c r="AJ350" s="1285"/>
      <c r="AK350" s="1285"/>
      <c r="AL350" s="1285"/>
      <c r="AM350" s="1285"/>
      <c r="AN350" s="1280"/>
      <c r="AO350" s="1280"/>
      <c r="AP350" s="1294" t="s">
        <v>222</v>
      </c>
      <c r="AQ350" s="1294"/>
      <c r="AR350" s="1294"/>
      <c r="AS350" s="1294"/>
      <c r="AT350" s="1295"/>
      <c r="AU350" s="1295"/>
      <c r="AV350" s="1295"/>
      <c r="AW350" s="1295"/>
      <c r="AX350" s="1295"/>
      <c r="AY350" s="1295"/>
      <c r="AZ350" s="1295"/>
      <c r="BA350" s="1295"/>
      <c r="BB350" s="1290"/>
      <c r="BC350" s="1290"/>
      <c r="BD350" s="1250" t="s">
        <v>223</v>
      </c>
      <c r="BE350" s="1250"/>
      <c r="BF350" s="1250"/>
      <c r="BG350" s="1250"/>
      <c r="BH350" s="1251"/>
      <c r="BI350" s="1251"/>
      <c r="BJ350" s="1251"/>
      <c r="BK350" s="1251"/>
      <c r="BL350" s="1251"/>
      <c r="BM350" s="1251"/>
      <c r="BN350" s="1251"/>
      <c r="BO350" s="1251"/>
      <c r="BP350" s="1246"/>
      <c r="BQ350" s="1246"/>
    </row>
    <row r="351" spans="14:69" x14ac:dyDescent="0.25">
      <c r="N351" s="1944" t="s">
        <v>111</v>
      </c>
      <c r="O351" s="1276"/>
      <c r="P351" s="1945" t="s">
        <v>219</v>
      </c>
      <c r="Q351" s="1946"/>
      <c r="R351" s="1946"/>
      <c r="S351" s="1946"/>
      <c r="T351" s="1946"/>
      <c r="U351" s="1946"/>
      <c r="V351" s="1946"/>
      <c r="W351" s="1946"/>
      <c r="X351" s="1389"/>
      <c r="Y351" s="1390"/>
      <c r="Z351" s="1265"/>
      <c r="AA351" s="1265"/>
      <c r="AB351" s="1926" t="s">
        <v>111</v>
      </c>
      <c r="AC351" s="1366"/>
      <c r="AD351" s="1926" t="s">
        <v>219</v>
      </c>
      <c r="AE351" s="1926"/>
      <c r="AF351" s="1926"/>
      <c r="AG351" s="1926"/>
      <c r="AH351" s="1926"/>
      <c r="AI351" s="1926"/>
      <c r="AJ351" s="1926"/>
      <c r="AK351" s="1926"/>
      <c r="AL351" s="1926"/>
      <c r="AM351" s="1926"/>
      <c r="AN351" s="1280"/>
      <c r="AO351" s="1280"/>
      <c r="AP351" s="1927" t="s">
        <v>111</v>
      </c>
      <c r="AQ351" s="1367"/>
      <c r="AR351" s="1928" t="s">
        <v>219</v>
      </c>
      <c r="AS351" s="1928"/>
      <c r="AT351" s="1928"/>
      <c r="AU351" s="1928"/>
      <c r="AV351" s="1928"/>
      <c r="AW351" s="1928"/>
      <c r="AX351" s="1928"/>
      <c r="AY351" s="1928"/>
      <c r="AZ351" s="1928"/>
      <c r="BA351" s="1928"/>
      <c r="BB351" s="1290"/>
      <c r="BC351" s="1290"/>
      <c r="BD351" s="1929" t="s">
        <v>111</v>
      </c>
      <c r="BE351" s="1260"/>
      <c r="BF351" s="1930" t="s">
        <v>219</v>
      </c>
      <c r="BG351" s="1930"/>
      <c r="BH351" s="1930"/>
      <c r="BI351" s="1930"/>
      <c r="BJ351" s="1930"/>
      <c r="BK351" s="1930"/>
      <c r="BL351" s="1930"/>
      <c r="BM351" s="1930"/>
      <c r="BN351" s="1930"/>
      <c r="BO351" s="1930"/>
      <c r="BP351" s="1254"/>
      <c r="BQ351" s="1256"/>
    </row>
    <row r="352" spans="14:69" x14ac:dyDescent="0.25">
      <c r="N352" s="1944"/>
      <c r="O352" s="1276"/>
      <c r="P352" s="1408">
        <v>10</v>
      </c>
      <c r="Q352" s="1408">
        <v>20</v>
      </c>
      <c r="R352" s="1408">
        <v>50</v>
      </c>
      <c r="S352" s="1408">
        <v>100</v>
      </c>
      <c r="T352" s="1408">
        <v>200</v>
      </c>
      <c r="U352" s="1408">
        <v>500</v>
      </c>
      <c r="V352" s="1408">
        <v>1000</v>
      </c>
      <c r="W352" s="1408">
        <v>2000</v>
      </c>
      <c r="X352" s="1373"/>
      <c r="Y352" s="1373"/>
      <c r="Z352" s="1265"/>
      <c r="AA352" s="1265"/>
      <c r="AB352" s="1926"/>
      <c r="AC352" s="1366"/>
      <c r="AD352" s="1381">
        <v>10</v>
      </c>
      <c r="AE352" s="1381">
        <v>20</v>
      </c>
      <c r="AF352" s="1381">
        <v>50</v>
      </c>
      <c r="AG352" s="1381">
        <v>100</v>
      </c>
      <c r="AH352" s="1381">
        <v>200</v>
      </c>
      <c r="AI352" s="1381">
        <v>500</v>
      </c>
      <c r="AJ352" s="1381">
        <v>1000</v>
      </c>
      <c r="AK352" s="1381">
        <v>2000</v>
      </c>
      <c r="AL352" s="1381">
        <v>5000</v>
      </c>
      <c r="AM352" s="1381">
        <v>8000</v>
      </c>
      <c r="AN352" s="1280"/>
      <c r="AO352" s="1280"/>
      <c r="AP352" s="1927"/>
      <c r="AQ352" s="1367"/>
      <c r="AR352" s="1347">
        <v>7</v>
      </c>
      <c r="AS352" s="1347">
        <v>10</v>
      </c>
      <c r="AT352" s="1347">
        <v>20</v>
      </c>
      <c r="AU352" s="1347">
        <v>50</v>
      </c>
      <c r="AV352" s="1347">
        <v>100</v>
      </c>
      <c r="AW352" s="1347">
        <v>200</v>
      </c>
      <c r="AX352" s="1347">
        <v>500</v>
      </c>
      <c r="AY352" s="1347">
        <v>1000</v>
      </c>
      <c r="AZ352" s="1347">
        <v>2000</v>
      </c>
      <c r="BA352" s="1347">
        <v>5000</v>
      </c>
      <c r="BB352" s="1290"/>
      <c r="BC352" s="1290"/>
      <c r="BD352" s="1929"/>
      <c r="BE352" s="1260"/>
      <c r="BF352" s="203">
        <v>7</v>
      </c>
      <c r="BG352" s="203">
        <v>10</v>
      </c>
      <c r="BH352" s="203">
        <v>20</v>
      </c>
      <c r="BI352" s="203">
        <v>50</v>
      </c>
      <c r="BJ352" s="203">
        <v>100</v>
      </c>
      <c r="BK352" s="203">
        <v>200</v>
      </c>
      <c r="BL352" s="203">
        <v>500</v>
      </c>
      <c r="BM352" s="203">
        <v>1000</v>
      </c>
      <c r="BN352" s="203">
        <v>2000</v>
      </c>
      <c r="BO352" s="203">
        <v>5000</v>
      </c>
      <c r="BP352" s="201"/>
      <c r="BQ352" s="1257"/>
    </row>
    <row r="353" spans="14:69" x14ac:dyDescent="0.25">
      <c r="N353" s="1276" t="s">
        <v>3661</v>
      </c>
      <c r="O353" s="1276">
        <v>1</v>
      </c>
      <c r="P353" s="1373">
        <f t="shared" ref="P353:W357" si="26">ROUND(P345*45%,3)</f>
        <v>0.19400000000000001</v>
      </c>
      <c r="Q353" s="1373">
        <f t="shared" si="26"/>
        <v>0.156</v>
      </c>
      <c r="R353" s="1373">
        <f t="shared" si="26"/>
        <v>8.7999999999999995E-2</v>
      </c>
      <c r="S353" s="1373">
        <f t="shared" si="26"/>
        <v>5.7000000000000002E-2</v>
      </c>
      <c r="T353" s="1373">
        <f t="shared" si="26"/>
        <v>3.5000000000000003E-2</v>
      </c>
      <c r="U353" s="1373">
        <f t="shared" si="26"/>
        <v>2.5999999999999999E-2</v>
      </c>
      <c r="V353" s="1373">
        <f t="shared" si="26"/>
        <v>1.7999999999999999E-2</v>
      </c>
      <c r="W353" s="1373">
        <f t="shared" si="26"/>
        <v>1.4E-2</v>
      </c>
      <c r="X353" s="1373">
        <f>X345*45%</f>
        <v>0</v>
      </c>
      <c r="Y353" s="1373">
        <f>Y345*45%</f>
        <v>0</v>
      </c>
      <c r="Z353" s="1265"/>
      <c r="AA353" s="1265"/>
      <c r="AB353" s="1366" t="s">
        <v>112</v>
      </c>
      <c r="AC353" s="1366">
        <v>1</v>
      </c>
      <c r="AD353" s="1381">
        <v>0.1348</v>
      </c>
      <c r="AE353" s="1381">
        <v>0.10800000000000001</v>
      </c>
      <c r="AF353" s="1381">
        <v>6.08E-2</v>
      </c>
      <c r="AG353" s="1381">
        <v>3.9600000000000003E-2</v>
      </c>
      <c r="AH353" s="1381">
        <v>2.3599999999999999E-2</v>
      </c>
      <c r="AI353" s="1381">
        <v>1.72E-2</v>
      </c>
      <c r="AJ353" s="1381">
        <v>1.2E-2</v>
      </c>
      <c r="AK353" s="1381">
        <v>1.04E-2</v>
      </c>
      <c r="AL353" s="1381">
        <v>8.8000000000000005E-3</v>
      </c>
      <c r="AM353" s="1381">
        <v>7.6E-3</v>
      </c>
      <c r="AN353" s="1280"/>
      <c r="AO353" s="1280"/>
      <c r="AP353" s="1367" t="s">
        <v>112</v>
      </c>
      <c r="AQ353" s="1367">
        <v>1</v>
      </c>
      <c r="AR353" s="1296">
        <v>0.20580000000000001</v>
      </c>
      <c r="AS353" s="1296">
        <v>0.17159999999999997</v>
      </c>
      <c r="AT353" s="1296">
        <v>0.13739999999999999</v>
      </c>
      <c r="AU353" s="1296">
        <v>7.7399999999999997E-2</v>
      </c>
      <c r="AV353" s="1296">
        <v>5.1599999999999993E-2</v>
      </c>
      <c r="AW353" s="1296">
        <v>3.0599999999999995E-2</v>
      </c>
      <c r="AX353" s="1296">
        <v>2.2799999999999997E-2</v>
      </c>
      <c r="AY353" s="1296">
        <v>1.6199999999999999E-2</v>
      </c>
      <c r="AZ353" s="1296">
        <v>1.38E-2</v>
      </c>
      <c r="BA353" s="1296">
        <v>1.2E-2</v>
      </c>
      <c r="BB353" s="1290"/>
      <c r="BC353" s="1290"/>
      <c r="BD353" s="1260" t="s">
        <v>112</v>
      </c>
      <c r="BE353" s="1260">
        <v>1</v>
      </c>
      <c r="BF353" s="204">
        <v>0.13103999999999999</v>
      </c>
      <c r="BG353" s="204">
        <v>0.10920000000000001</v>
      </c>
      <c r="BH353" s="204">
        <v>8.7359999999999993E-2</v>
      </c>
      <c r="BI353" s="204">
        <v>4.9140000000000003E-2</v>
      </c>
      <c r="BJ353" s="204">
        <v>3.2759999999999997E-2</v>
      </c>
      <c r="BK353" s="204">
        <v>1.9740000000000001E-2</v>
      </c>
      <c r="BL353" s="204">
        <v>1.3019999999999999E-2</v>
      </c>
      <c r="BM353" s="204">
        <v>1.0500000000000001E-2</v>
      </c>
      <c r="BN353" s="204">
        <v>8.8199999999999997E-3</v>
      </c>
      <c r="BO353" s="204">
        <v>7.559999999999999E-3</v>
      </c>
      <c r="BP353" s="201"/>
      <c r="BQ353" s="1257"/>
    </row>
    <row r="354" spans="14:69" x14ac:dyDescent="0.25">
      <c r="N354" s="1276" t="s">
        <v>113</v>
      </c>
      <c r="O354" s="1276">
        <v>2</v>
      </c>
      <c r="P354" s="1373">
        <f t="shared" si="26"/>
        <v>0.247</v>
      </c>
      <c r="Q354" s="1373">
        <f t="shared" si="26"/>
        <v>0.17100000000000001</v>
      </c>
      <c r="R354" s="1373">
        <f t="shared" si="26"/>
        <v>9.5000000000000001E-2</v>
      </c>
      <c r="S354" s="1373">
        <f t="shared" si="26"/>
        <v>6.5000000000000002E-2</v>
      </c>
      <c r="T354" s="1373">
        <f t="shared" si="26"/>
        <v>4.2999999999999997E-2</v>
      </c>
      <c r="U354" s="1373">
        <f t="shared" si="26"/>
        <v>0.03</v>
      </c>
      <c r="V354" s="1373">
        <f t="shared" si="26"/>
        <v>2.3E-2</v>
      </c>
      <c r="W354" s="1373">
        <f t="shared" si="26"/>
        <v>1.7999999999999999E-2</v>
      </c>
      <c r="X354" s="1373">
        <f t="shared" ref="X354:Y357" si="27">X346*45%</f>
        <v>0</v>
      </c>
      <c r="Y354" s="1373">
        <f t="shared" si="27"/>
        <v>0</v>
      </c>
      <c r="Z354" s="1265"/>
      <c r="AA354" s="1265"/>
      <c r="AB354" s="1366" t="s">
        <v>113</v>
      </c>
      <c r="AC354" s="1366">
        <v>2</v>
      </c>
      <c r="AD354" s="1381">
        <v>0.17560000000000001</v>
      </c>
      <c r="AE354" s="1381">
        <v>0.1212</v>
      </c>
      <c r="AF354" s="1381">
        <v>6.7600000000000007E-2</v>
      </c>
      <c r="AG354" s="1381">
        <v>4.6000000000000006E-2</v>
      </c>
      <c r="AH354" s="1381">
        <v>2.9600000000000001E-2</v>
      </c>
      <c r="AI354" s="1381">
        <v>2.12E-2</v>
      </c>
      <c r="AJ354" s="1381">
        <v>1.6E-2</v>
      </c>
      <c r="AK354" s="1381">
        <v>1.3600000000000001E-2</v>
      </c>
      <c r="AL354" s="1381">
        <v>1.0800000000000001E-2</v>
      </c>
      <c r="AM354" s="1381">
        <v>9.1999999999999998E-3</v>
      </c>
      <c r="AN354" s="1280"/>
      <c r="AO354" s="1280"/>
      <c r="AP354" s="1367" t="s">
        <v>113</v>
      </c>
      <c r="AQ354" s="1367">
        <v>2</v>
      </c>
      <c r="AR354" s="1296">
        <v>0.25739999999999996</v>
      </c>
      <c r="AS354" s="1296">
        <v>0.22319999999999998</v>
      </c>
      <c r="AT354" s="1296">
        <v>0.1542</v>
      </c>
      <c r="AU354" s="1296">
        <v>8.5799999999999987E-2</v>
      </c>
      <c r="AV354" s="1296">
        <v>0.06</v>
      </c>
      <c r="AW354" s="1296">
        <v>3.8399999999999997E-2</v>
      </c>
      <c r="AX354" s="1296">
        <v>2.8199999999999999E-2</v>
      </c>
      <c r="AY354" s="1296">
        <v>2.1599999999999998E-2</v>
      </c>
      <c r="AZ354" s="1296">
        <v>1.7999999999999999E-2</v>
      </c>
      <c r="BA354" s="1296">
        <v>1.44E-2</v>
      </c>
      <c r="BB354" s="1290"/>
      <c r="BC354" s="1290"/>
      <c r="BD354" s="1260" t="s">
        <v>113</v>
      </c>
      <c r="BE354" s="1260">
        <v>2</v>
      </c>
      <c r="BF354" s="204">
        <v>0.1638</v>
      </c>
      <c r="BG354" s="204">
        <v>0.14196</v>
      </c>
      <c r="BH354" s="204">
        <v>9.8280000000000006E-2</v>
      </c>
      <c r="BI354" s="204">
        <v>5.4600000000000003E-2</v>
      </c>
      <c r="BJ354" s="204">
        <v>3.8219999999999997E-2</v>
      </c>
      <c r="BK354" s="204">
        <v>2.4779999999999996E-2</v>
      </c>
      <c r="BL354" s="204">
        <v>1.8059999999999996E-2</v>
      </c>
      <c r="BM354" s="204">
        <v>1.3860000000000001E-2</v>
      </c>
      <c r="BN354" s="204">
        <v>1.1339999999999999E-2</v>
      </c>
      <c r="BO354" s="204">
        <v>9.2399999999999999E-3</v>
      </c>
      <c r="BP354" s="201"/>
      <c r="BQ354" s="1257"/>
    </row>
    <row r="355" spans="14:69" x14ac:dyDescent="0.25">
      <c r="N355" s="1276" t="s">
        <v>114</v>
      </c>
      <c r="O355" s="1276">
        <v>3</v>
      </c>
      <c r="P355" s="1373">
        <f t="shared" si="26"/>
        <v>0.156</v>
      </c>
      <c r="Q355" s="1373">
        <f t="shared" si="26"/>
        <v>0.107</v>
      </c>
      <c r="R355" s="1373">
        <f t="shared" si="26"/>
        <v>6.8000000000000005E-2</v>
      </c>
      <c r="S355" s="1373">
        <f t="shared" si="26"/>
        <v>4.1000000000000002E-2</v>
      </c>
      <c r="T355" s="1373">
        <f t="shared" si="26"/>
        <v>2.5999999999999999E-2</v>
      </c>
      <c r="U355" s="1373">
        <f t="shared" si="26"/>
        <v>1.9E-2</v>
      </c>
      <c r="V355" s="1373">
        <f t="shared" si="26"/>
        <v>1.2999999999999999E-2</v>
      </c>
      <c r="W355" s="1373">
        <f t="shared" si="26"/>
        <v>0.01</v>
      </c>
      <c r="X355" s="1373">
        <f t="shared" si="27"/>
        <v>0</v>
      </c>
      <c r="Y355" s="1373">
        <f t="shared" si="27"/>
        <v>0</v>
      </c>
      <c r="Z355" s="1265"/>
      <c r="AA355" s="1265"/>
      <c r="AB355" s="1366" t="s">
        <v>114</v>
      </c>
      <c r="AC355" s="1366">
        <v>3</v>
      </c>
      <c r="AD355" s="1381">
        <v>0.10800000000000001</v>
      </c>
      <c r="AE355" s="1381">
        <v>7.3999999999999996E-2</v>
      </c>
      <c r="AF355" s="1381">
        <v>4.7199999999999999E-2</v>
      </c>
      <c r="AG355" s="1381">
        <v>2.8000000000000004E-2</v>
      </c>
      <c r="AH355" s="1381">
        <v>1.7999999999999999E-2</v>
      </c>
      <c r="AI355" s="1381">
        <v>1.4000000000000002E-2</v>
      </c>
      <c r="AJ355" s="1381">
        <v>8.8000000000000005E-3</v>
      </c>
      <c r="AK355" s="1381">
        <v>7.6E-3</v>
      </c>
      <c r="AL355" s="1381">
        <v>6.4000000000000003E-3</v>
      </c>
      <c r="AM355" s="1381">
        <v>5.6000000000000008E-3</v>
      </c>
      <c r="AN355" s="1280"/>
      <c r="AO355" s="1280"/>
      <c r="AP355" s="1367" t="s">
        <v>114</v>
      </c>
      <c r="AQ355" s="1367">
        <v>3</v>
      </c>
      <c r="AR355" s="1296">
        <v>0.15959999999999999</v>
      </c>
      <c r="AS355" s="1296">
        <v>0.13739999999999999</v>
      </c>
      <c r="AT355" s="1296">
        <v>9.4199999999999992E-2</v>
      </c>
      <c r="AU355" s="1296">
        <v>0.06</v>
      </c>
      <c r="AV355" s="1296">
        <v>3.6600000000000001E-2</v>
      </c>
      <c r="AW355" s="1296">
        <v>2.3400000000000001E-2</v>
      </c>
      <c r="AX355" s="1296">
        <v>1.8599999999999998E-2</v>
      </c>
      <c r="AY355" s="1296">
        <v>1.2E-2</v>
      </c>
      <c r="AZ355" s="1296">
        <v>1.0200000000000001E-2</v>
      </c>
      <c r="BA355" s="1296">
        <v>8.3999999999999995E-3</v>
      </c>
      <c r="BB355" s="1290"/>
      <c r="BC355" s="1290"/>
      <c r="BD355" s="1260" t="s">
        <v>114</v>
      </c>
      <c r="BE355" s="1260">
        <v>3</v>
      </c>
      <c r="BF355" s="204">
        <v>0.10163999999999999</v>
      </c>
      <c r="BG355" s="204">
        <v>8.7359999999999993E-2</v>
      </c>
      <c r="BH355" s="204">
        <v>6.0059999999999995E-2</v>
      </c>
      <c r="BI355" s="204">
        <v>3.8219999999999997E-2</v>
      </c>
      <c r="BJ355" s="204">
        <v>2.3519999999999999E-2</v>
      </c>
      <c r="BK355" s="204">
        <v>1.4700000000000001E-2</v>
      </c>
      <c r="BL355" s="204">
        <v>1.2599999999999998E-2</v>
      </c>
      <c r="BM355" s="204">
        <v>7.559999999999999E-3</v>
      </c>
      <c r="BN355" s="204">
        <v>6.7200000000000003E-3</v>
      </c>
      <c r="BO355" s="204">
        <v>5.4599999999999996E-3</v>
      </c>
      <c r="BP355" s="201"/>
      <c r="BQ355" s="1257"/>
    </row>
    <row r="356" spans="14:69" x14ac:dyDescent="0.25">
      <c r="N356" s="1276" t="s">
        <v>697</v>
      </c>
      <c r="O356" s="1276">
        <v>4</v>
      </c>
      <c r="P356" s="1373">
        <f t="shared" si="26"/>
        <v>0.16200000000000001</v>
      </c>
      <c r="Q356" s="1373">
        <f t="shared" si="26"/>
        <v>0.13600000000000001</v>
      </c>
      <c r="R356" s="1373">
        <f t="shared" si="26"/>
        <v>7.4999999999999997E-2</v>
      </c>
      <c r="S356" s="1373">
        <f t="shared" si="26"/>
        <v>4.2000000000000003E-2</v>
      </c>
      <c r="T356" s="1373">
        <f t="shared" si="26"/>
        <v>0.03</v>
      </c>
      <c r="U356" s="1373">
        <f t="shared" si="26"/>
        <v>2.1000000000000001E-2</v>
      </c>
      <c r="V356" s="1373">
        <f t="shared" si="26"/>
        <v>1.4E-2</v>
      </c>
      <c r="W356" s="1373">
        <f t="shared" si="26"/>
        <v>1.2E-2</v>
      </c>
      <c r="X356" s="1373">
        <f t="shared" si="27"/>
        <v>0</v>
      </c>
      <c r="Y356" s="1373">
        <f t="shared" si="27"/>
        <v>0</v>
      </c>
      <c r="Z356" s="1265"/>
      <c r="AA356" s="1265"/>
      <c r="AB356" s="1366" t="s">
        <v>115</v>
      </c>
      <c r="AC356" s="1366">
        <v>4</v>
      </c>
      <c r="AD356" s="1381">
        <v>0.1128</v>
      </c>
      <c r="AE356" s="1381">
        <v>9.4399999999999998E-2</v>
      </c>
      <c r="AF356" s="1381">
        <v>5.2000000000000005E-2</v>
      </c>
      <c r="AG356" s="1381">
        <v>2.9600000000000001E-2</v>
      </c>
      <c r="AH356" s="1381">
        <v>1.8800000000000001E-2</v>
      </c>
      <c r="AI356" s="1381">
        <v>1.4800000000000001E-2</v>
      </c>
      <c r="AJ356" s="1381">
        <v>9.6000000000000009E-3</v>
      </c>
      <c r="AK356" s="1381">
        <v>8.4000000000000012E-3</v>
      </c>
      <c r="AL356" s="1381">
        <v>7.1999999999999998E-3</v>
      </c>
      <c r="AM356" s="1381">
        <v>6.4000000000000003E-3</v>
      </c>
      <c r="AN356" s="1280"/>
      <c r="AO356" s="1280"/>
      <c r="AP356" s="1367" t="s">
        <v>115</v>
      </c>
      <c r="AQ356" s="1367">
        <v>4</v>
      </c>
      <c r="AR356" s="1296">
        <v>0.17159999999999997</v>
      </c>
      <c r="AS356" s="1296">
        <v>0.1434</v>
      </c>
      <c r="AT356" s="1296">
        <v>0.12</v>
      </c>
      <c r="AU356" s="1296">
        <v>6.6000000000000003E-2</v>
      </c>
      <c r="AV356" s="1296">
        <v>3.8399999999999997E-2</v>
      </c>
      <c r="AW356" s="1296">
        <v>2.46E-2</v>
      </c>
      <c r="AX356" s="1296">
        <v>1.9800000000000002E-2</v>
      </c>
      <c r="AY356" s="1296">
        <v>1.26E-2</v>
      </c>
      <c r="AZ356" s="1296">
        <v>1.1399999999999999E-2</v>
      </c>
      <c r="BA356" s="1296">
        <v>9.5999999999999992E-3</v>
      </c>
      <c r="BB356" s="1290"/>
      <c r="BC356" s="1290"/>
      <c r="BD356" s="1260" t="s">
        <v>115</v>
      </c>
      <c r="BE356" s="1260">
        <v>4</v>
      </c>
      <c r="BF356" s="204">
        <v>0.10920000000000001</v>
      </c>
      <c r="BG356" s="204">
        <v>9.1560000000000002E-2</v>
      </c>
      <c r="BH356" s="204">
        <v>7.6439999999999994E-2</v>
      </c>
      <c r="BI356" s="204">
        <v>4.2000000000000003E-2</v>
      </c>
      <c r="BJ356" s="204">
        <v>2.4779999999999996E-2</v>
      </c>
      <c r="BK356" s="204">
        <v>1.5959999999999998E-2</v>
      </c>
      <c r="BL356" s="204">
        <v>0.13439999999999999</v>
      </c>
      <c r="BM356" s="204">
        <v>8.3999999999999995E-3</v>
      </c>
      <c r="BN356" s="204">
        <v>7.1400000000000005E-3</v>
      </c>
      <c r="BO356" s="204">
        <v>5.8799999999999998E-3</v>
      </c>
      <c r="BP356" s="201"/>
      <c r="BQ356" s="1257"/>
    </row>
    <row r="357" spans="14:69" ht="15.75" customHeight="1" x14ac:dyDescent="0.25">
      <c r="N357" s="1276" t="s">
        <v>116</v>
      </c>
      <c r="O357" s="1276">
        <v>5</v>
      </c>
      <c r="P357" s="1373">
        <f t="shared" si="26"/>
        <v>0.17499999999999999</v>
      </c>
      <c r="Q357" s="1373">
        <f t="shared" si="26"/>
        <v>0.14599999999999999</v>
      </c>
      <c r="R357" s="1373">
        <f t="shared" si="26"/>
        <v>7.6999999999999999E-2</v>
      </c>
      <c r="S357" s="1373">
        <f t="shared" si="26"/>
        <v>4.8000000000000001E-2</v>
      </c>
      <c r="T357" s="1373">
        <f t="shared" si="26"/>
        <v>3.1E-2</v>
      </c>
      <c r="U357" s="1373">
        <f t="shared" si="26"/>
        <v>2.3E-2</v>
      </c>
      <c r="V357" s="1373">
        <f t="shared" si="26"/>
        <v>1.7000000000000001E-2</v>
      </c>
      <c r="W357" s="1373">
        <f t="shared" si="26"/>
        <v>1.2999999999999999E-2</v>
      </c>
      <c r="X357" s="1373">
        <f t="shared" si="27"/>
        <v>0</v>
      </c>
      <c r="Y357" s="1373">
        <f t="shared" si="27"/>
        <v>0</v>
      </c>
      <c r="Z357" s="1265"/>
      <c r="AA357" s="1265"/>
      <c r="AB357" s="1366" t="s">
        <v>116</v>
      </c>
      <c r="AC357" s="1366">
        <v>5</v>
      </c>
      <c r="AD357" s="1381">
        <v>0.1212</v>
      </c>
      <c r="AE357" s="1381">
        <v>0.10160000000000001</v>
      </c>
      <c r="AF357" s="1381">
        <v>5.4000000000000006E-2</v>
      </c>
      <c r="AG357" s="1381">
        <v>3.32E-2</v>
      </c>
      <c r="AH357" s="1381">
        <v>1.9600000000000003E-2</v>
      </c>
      <c r="AI357" s="1381">
        <v>1.6E-2</v>
      </c>
      <c r="AJ357" s="1381">
        <v>1.04E-2</v>
      </c>
      <c r="AK357" s="1381">
        <v>8.8000000000000005E-3</v>
      </c>
      <c r="AL357" s="1381">
        <v>7.6E-3</v>
      </c>
      <c r="AM357" s="1381">
        <v>6.8000000000000005E-3</v>
      </c>
      <c r="AN357" s="1280"/>
      <c r="AO357" s="1280"/>
      <c r="AP357" s="1367" t="s">
        <v>116</v>
      </c>
      <c r="AQ357" s="1367">
        <v>5</v>
      </c>
      <c r="AR357" s="1296">
        <v>0.18</v>
      </c>
      <c r="AS357" s="1296">
        <v>0.1542</v>
      </c>
      <c r="AT357" s="1296">
        <v>0.129</v>
      </c>
      <c r="AU357" s="1296">
        <v>6.8400000000000002E-2</v>
      </c>
      <c r="AV357" s="1296">
        <v>4.3199999999999995E-2</v>
      </c>
      <c r="AW357" s="1296">
        <v>2.5799999999999997E-2</v>
      </c>
      <c r="AX357" s="1296">
        <v>2.1599999999999998E-2</v>
      </c>
      <c r="AY357" s="1296">
        <v>1.38E-2</v>
      </c>
      <c r="AZ357" s="1296">
        <v>1.2E-2</v>
      </c>
      <c r="BA357" s="1296">
        <v>1.0200000000000001E-2</v>
      </c>
      <c r="BB357" s="1290"/>
      <c r="BC357" s="1290"/>
      <c r="BD357" s="1260" t="s">
        <v>116</v>
      </c>
      <c r="BE357" s="1260">
        <v>5</v>
      </c>
      <c r="BF357" s="204">
        <v>0.11466</v>
      </c>
      <c r="BG357" s="204">
        <v>9.8280000000000006E-2</v>
      </c>
      <c r="BH357" s="204">
        <v>6.5519999999999995E-2</v>
      </c>
      <c r="BI357" s="204">
        <v>4.3679999999999997E-2</v>
      </c>
      <c r="BJ357" s="204">
        <v>2.7300000000000001E-2</v>
      </c>
      <c r="BK357" s="204">
        <v>1.6379999999999999E-2</v>
      </c>
      <c r="BL357" s="204">
        <v>1.3860000000000001E-2</v>
      </c>
      <c r="BM357" s="204">
        <v>8.8199999999999997E-3</v>
      </c>
      <c r="BN357" s="204">
        <v>7.559999999999999E-3</v>
      </c>
      <c r="BO357" s="204">
        <v>6.7200000000000003E-3</v>
      </c>
      <c r="BP357" s="1398"/>
      <c r="BQ357" s="1259"/>
    </row>
    <row r="358" spans="14:69" x14ac:dyDescent="0.25">
      <c r="N358" s="1271" t="s">
        <v>224</v>
      </c>
      <c r="O358" s="1271"/>
      <c r="P358" s="1271"/>
      <c r="Q358" s="1271"/>
      <c r="R358" s="1272"/>
      <c r="S358" s="1272"/>
      <c r="T358" s="1272"/>
      <c r="U358" s="1272"/>
      <c r="V358" s="1272"/>
      <c r="W358" s="1272"/>
      <c r="X358" s="1272"/>
      <c r="Y358" s="1272"/>
      <c r="Z358" s="1265"/>
      <c r="AA358" s="1265"/>
      <c r="AB358" s="1284" t="s">
        <v>224</v>
      </c>
      <c r="AC358" s="1284"/>
      <c r="AD358" s="1284"/>
      <c r="AE358" s="1284"/>
      <c r="AF358" s="1285"/>
      <c r="AG358" s="1285"/>
      <c r="AH358" s="1285"/>
      <c r="AI358" s="1285"/>
      <c r="AJ358" s="1285"/>
      <c r="AK358" s="1285"/>
      <c r="AL358" s="1285"/>
      <c r="AM358" s="1285"/>
      <c r="AN358" s="1280"/>
      <c r="AO358" s="1280"/>
      <c r="AP358" s="1294" t="s">
        <v>224</v>
      </c>
      <c r="AQ358" s="1294"/>
      <c r="AR358" s="1294"/>
      <c r="AS358" s="1294"/>
      <c r="AT358" s="1295"/>
      <c r="AU358" s="1295"/>
      <c r="AV358" s="1295"/>
      <c r="AW358" s="1295"/>
      <c r="AX358" s="1295"/>
      <c r="AY358" s="1295"/>
      <c r="AZ358" s="1295"/>
      <c r="BA358" s="1295"/>
      <c r="BB358" s="1290"/>
      <c r="BC358" s="1290"/>
      <c r="BD358" s="1250" t="s">
        <v>225</v>
      </c>
      <c r="BE358" s="1250"/>
      <c r="BF358" s="1250"/>
      <c r="BG358" s="1250"/>
      <c r="BH358" s="1251"/>
      <c r="BI358" s="1251"/>
      <c r="BJ358" s="1251"/>
      <c r="BK358" s="1251"/>
      <c r="BL358" s="1251"/>
      <c r="BM358" s="1251"/>
      <c r="BN358" s="1251"/>
      <c r="BO358" s="1251"/>
      <c r="BP358" s="1246"/>
      <c r="BQ358" s="1246"/>
    </row>
    <row r="359" spans="14:69" x14ac:dyDescent="0.25">
      <c r="N359" s="1944" t="s">
        <v>111</v>
      </c>
      <c r="O359" s="1276"/>
      <c r="P359" s="1944" t="s">
        <v>219</v>
      </c>
      <c r="Q359" s="1944"/>
      <c r="R359" s="1944"/>
      <c r="S359" s="1944"/>
      <c r="T359" s="1944"/>
      <c r="U359" s="1944"/>
      <c r="V359" s="1944"/>
      <c r="W359" s="1944"/>
      <c r="X359" s="1391"/>
      <c r="Y359" s="1391"/>
      <c r="Z359" s="1265"/>
      <c r="AA359" s="1265"/>
      <c r="AB359" s="1926" t="s">
        <v>111</v>
      </c>
      <c r="AC359" s="1366"/>
      <c r="AD359" s="1926" t="s">
        <v>219</v>
      </c>
      <c r="AE359" s="1926"/>
      <c r="AF359" s="1926"/>
      <c r="AG359" s="1926"/>
      <c r="AH359" s="1926"/>
      <c r="AI359" s="1926"/>
      <c r="AJ359" s="1926"/>
      <c r="AK359" s="1926"/>
      <c r="AL359" s="1926"/>
      <c r="AM359" s="1926"/>
      <c r="AN359" s="1280"/>
      <c r="AO359" s="1280"/>
      <c r="AP359" s="1927" t="s">
        <v>111</v>
      </c>
      <c r="AQ359" s="1367"/>
      <c r="AR359" s="1928" t="s">
        <v>219</v>
      </c>
      <c r="AS359" s="1928"/>
      <c r="AT359" s="1928"/>
      <c r="AU359" s="1928"/>
      <c r="AV359" s="1928"/>
      <c r="AW359" s="1928"/>
      <c r="AX359" s="1928"/>
      <c r="AY359" s="1928"/>
      <c r="AZ359" s="1928"/>
      <c r="BA359" s="1928"/>
      <c r="BB359" s="1290"/>
      <c r="BC359" s="1290"/>
      <c r="BD359" s="1929" t="s">
        <v>111</v>
      </c>
      <c r="BE359" s="1260"/>
      <c r="BF359" s="1930" t="s">
        <v>219</v>
      </c>
      <c r="BG359" s="1930"/>
      <c r="BH359" s="1930"/>
      <c r="BI359" s="1930"/>
      <c r="BJ359" s="1930"/>
      <c r="BK359" s="1930"/>
      <c r="BL359" s="1930"/>
      <c r="BM359" s="1930"/>
      <c r="BN359" s="1930"/>
      <c r="BO359" s="1930"/>
      <c r="BP359" s="1246"/>
      <c r="BQ359" s="1246"/>
    </row>
    <row r="360" spans="14:69" x14ac:dyDescent="0.25">
      <c r="N360" s="1944"/>
      <c r="O360" s="1276"/>
      <c r="P360" s="1408">
        <v>10</v>
      </c>
      <c r="Q360" s="1408">
        <v>20</v>
      </c>
      <c r="R360" s="1408">
        <v>50</v>
      </c>
      <c r="S360" s="1408">
        <v>100</v>
      </c>
      <c r="T360" s="1408">
        <v>200</v>
      </c>
      <c r="U360" s="1408">
        <v>500</v>
      </c>
      <c r="V360" s="1408">
        <v>1000</v>
      </c>
      <c r="W360" s="1408">
        <v>2000</v>
      </c>
      <c r="X360" s="1419"/>
      <c r="Y360" s="1373"/>
      <c r="Z360" s="1265"/>
      <c r="AA360" s="1265"/>
      <c r="AB360" s="1926"/>
      <c r="AC360" s="1366"/>
      <c r="AD360" s="1381">
        <v>10</v>
      </c>
      <c r="AE360" s="1381">
        <v>20</v>
      </c>
      <c r="AF360" s="1381">
        <v>50</v>
      </c>
      <c r="AG360" s="1381">
        <v>100</v>
      </c>
      <c r="AH360" s="1381">
        <v>200</v>
      </c>
      <c r="AI360" s="1381">
        <v>500</v>
      </c>
      <c r="AJ360" s="1381">
        <v>1000</v>
      </c>
      <c r="AK360" s="1381">
        <v>2000</v>
      </c>
      <c r="AL360" s="1381">
        <v>5000</v>
      </c>
      <c r="AM360" s="1381">
        <v>8000</v>
      </c>
      <c r="AN360" s="1280"/>
      <c r="AO360" s="1280"/>
      <c r="AP360" s="1927"/>
      <c r="AQ360" s="1367"/>
      <c r="AR360" s="1347">
        <v>7</v>
      </c>
      <c r="AS360" s="1347">
        <v>10</v>
      </c>
      <c r="AT360" s="1347">
        <v>20</v>
      </c>
      <c r="AU360" s="1347">
        <v>50</v>
      </c>
      <c r="AV360" s="1347">
        <v>100</v>
      </c>
      <c r="AW360" s="1347">
        <v>200</v>
      </c>
      <c r="AX360" s="1347">
        <v>500</v>
      </c>
      <c r="AY360" s="1347">
        <v>1000</v>
      </c>
      <c r="AZ360" s="1347">
        <v>2000</v>
      </c>
      <c r="BA360" s="1347">
        <v>5000</v>
      </c>
      <c r="BB360" s="1290"/>
      <c r="BC360" s="1290"/>
      <c r="BD360" s="1929"/>
      <c r="BE360" s="1260"/>
      <c r="BF360" s="203">
        <v>7</v>
      </c>
      <c r="BG360" s="203">
        <v>10</v>
      </c>
      <c r="BH360" s="203">
        <v>20</v>
      </c>
      <c r="BI360" s="203">
        <v>50</v>
      </c>
      <c r="BJ360" s="203">
        <v>100</v>
      </c>
      <c r="BK360" s="203">
        <v>200</v>
      </c>
      <c r="BL360" s="203">
        <v>500</v>
      </c>
      <c r="BM360" s="203">
        <v>1000</v>
      </c>
      <c r="BN360" s="203">
        <v>2000</v>
      </c>
      <c r="BO360" s="203">
        <v>5000</v>
      </c>
      <c r="BP360" s="1246"/>
      <c r="BQ360" s="1246"/>
    </row>
    <row r="361" spans="14:69" x14ac:dyDescent="0.25">
      <c r="N361" s="1276" t="s">
        <v>3661</v>
      </c>
      <c r="O361" s="1276">
        <v>1</v>
      </c>
      <c r="P361" s="1373">
        <f t="shared" ref="P361:W365" si="28">ROUND(P345*55%,3)</f>
        <v>0.23799999999999999</v>
      </c>
      <c r="Q361" s="1373">
        <f t="shared" si="28"/>
        <v>0.19</v>
      </c>
      <c r="R361" s="1373">
        <f t="shared" si="28"/>
        <v>0.107</v>
      </c>
      <c r="S361" s="1373">
        <f t="shared" si="28"/>
        <v>7.0000000000000007E-2</v>
      </c>
      <c r="T361" s="1373">
        <f t="shared" si="28"/>
        <v>4.2999999999999997E-2</v>
      </c>
      <c r="U361" s="1373">
        <f t="shared" si="28"/>
        <v>3.1E-2</v>
      </c>
      <c r="V361" s="1373">
        <f t="shared" si="28"/>
        <v>2.1999999999999999E-2</v>
      </c>
      <c r="W361" s="1373">
        <f t="shared" si="28"/>
        <v>1.7999999999999999E-2</v>
      </c>
      <c r="X361" s="1419">
        <f t="shared" ref="X361:Y365" si="29">X353*45%</f>
        <v>0</v>
      </c>
      <c r="Y361" s="1373">
        <f t="shared" si="29"/>
        <v>0</v>
      </c>
      <c r="Z361" s="1265"/>
      <c r="AA361" s="1265"/>
      <c r="AB361" s="1366" t="s">
        <v>112</v>
      </c>
      <c r="AC361" s="1366">
        <v>1</v>
      </c>
      <c r="AD361" s="1381">
        <v>0.20220000000000002</v>
      </c>
      <c r="AE361" s="1381">
        <v>0.16200000000000001</v>
      </c>
      <c r="AF361" s="1381">
        <v>9.1199999999999989E-2</v>
      </c>
      <c r="AG361" s="1381">
        <v>5.9400000000000001E-2</v>
      </c>
      <c r="AH361" s="1381">
        <v>3.5399999999999994E-2</v>
      </c>
      <c r="AI361" s="1381">
        <v>2.5799999999999997E-2</v>
      </c>
      <c r="AJ361" s="1381">
        <v>1.7999999999999999E-2</v>
      </c>
      <c r="AK361" s="1381">
        <v>1.5599999999999999E-2</v>
      </c>
      <c r="AL361" s="1381">
        <v>1.3199999999999998E-2</v>
      </c>
      <c r="AM361" s="1381">
        <v>1.1399999999999999E-2</v>
      </c>
      <c r="AN361" s="1280"/>
      <c r="AO361" s="1280"/>
      <c r="AP361" s="1367" t="s">
        <v>112</v>
      </c>
      <c r="AQ361" s="1367">
        <v>1</v>
      </c>
      <c r="AR361" s="1296">
        <v>0.13720000000000002</v>
      </c>
      <c r="AS361" s="1296">
        <v>0.1144</v>
      </c>
      <c r="AT361" s="1296">
        <v>9.1600000000000015E-2</v>
      </c>
      <c r="AU361" s="1296">
        <v>5.1600000000000007E-2</v>
      </c>
      <c r="AV361" s="1296">
        <v>3.44E-2</v>
      </c>
      <c r="AW361" s="1296">
        <v>2.0400000000000001E-2</v>
      </c>
      <c r="AX361" s="1296">
        <v>1.52E-2</v>
      </c>
      <c r="AY361" s="1296">
        <v>1.0800000000000001E-2</v>
      </c>
      <c r="AZ361" s="1296">
        <v>9.1999999999999998E-3</v>
      </c>
      <c r="BA361" s="1296">
        <v>8.0000000000000002E-3</v>
      </c>
      <c r="BB361" s="1290"/>
      <c r="BC361" s="1290"/>
      <c r="BD361" s="1260" t="s">
        <v>112</v>
      </c>
      <c r="BE361" s="1260">
        <v>1</v>
      </c>
      <c r="BF361" s="204">
        <v>0.18095999999999998</v>
      </c>
      <c r="BG361" s="204">
        <v>0.15079999999999999</v>
      </c>
      <c r="BH361" s="204">
        <v>0.12063999999999998</v>
      </c>
      <c r="BI361" s="204">
        <v>6.7860000000000004E-2</v>
      </c>
      <c r="BJ361" s="204">
        <v>4.5239999999999995E-2</v>
      </c>
      <c r="BK361" s="204">
        <v>2.726E-2</v>
      </c>
      <c r="BL361" s="204">
        <v>1.7979999999999999E-2</v>
      </c>
      <c r="BM361" s="204">
        <v>1.4499999999999999E-2</v>
      </c>
      <c r="BN361" s="204">
        <v>1.218E-2</v>
      </c>
      <c r="BO361" s="204">
        <v>1.0439999999999998E-2</v>
      </c>
      <c r="BP361" s="1246"/>
      <c r="BQ361" s="1246"/>
    </row>
    <row r="362" spans="14:69" x14ac:dyDescent="0.25">
      <c r="N362" s="1276" t="s">
        <v>113</v>
      </c>
      <c r="O362" s="1276">
        <v>2</v>
      </c>
      <c r="P362" s="1373">
        <f t="shared" si="28"/>
        <v>0.30199999999999999</v>
      </c>
      <c r="Q362" s="1373">
        <f t="shared" si="28"/>
        <v>0.20799999999999999</v>
      </c>
      <c r="R362" s="1373">
        <f t="shared" si="28"/>
        <v>0.11600000000000001</v>
      </c>
      <c r="S362" s="1373">
        <f t="shared" si="28"/>
        <v>7.9000000000000001E-2</v>
      </c>
      <c r="T362" s="1373">
        <f t="shared" si="28"/>
        <v>5.2999999999999999E-2</v>
      </c>
      <c r="U362" s="1373">
        <f t="shared" si="28"/>
        <v>3.6999999999999998E-2</v>
      </c>
      <c r="V362" s="1373">
        <f t="shared" si="28"/>
        <v>2.9000000000000001E-2</v>
      </c>
      <c r="W362" s="1373">
        <f t="shared" si="28"/>
        <v>2.3E-2</v>
      </c>
      <c r="X362" s="1419">
        <f t="shared" si="29"/>
        <v>0</v>
      </c>
      <c r="Y362" s="1373">
        <f t="shared" si="29"/>
        <v>0</v>
      </c>
      <c r="Z362" s="1265"/>
      <c r="AA362" s="1265"/>
      <c r="AB362" s="1366" t="s">
        <v>113</v>
      </c>
      <c r="AC362" s="1366">
        <v>2</v>
      </c>
      <c r="AD362" s="1381">
        <v>0.26339999999999997</v>
      </c>
      <c r="AE362" s="1381">
        <v>0.18179999999999999</v>
      </c>
      <c r="AF362" s="1381">
        <v>0.1014</v>
      </c>
      <c r="AG362" s="1381">
        <v>6.9000000000000006E-2</v>
      </c>
      <c r="AH362" s="1381">
        <v>4.4399999999999995E-2</v>
      </c>
      <c r="AI362" s="1381">
        <v>3.1799999999999995E-2</v>
      </c>
      <c r="AJ362" s="1381">
        <v>2.4E-2</v>
      </c>
      <c r="AK362" s="1381">
        <v>2.0400000000000001E-2</v>
      </c>
      <c r="AL362" s="1381">
        <v>1.6199999999999999E-2</v>
      </c>
      <c r="AM362" s="1381">
        <v>1.38E-2</v>
      </c>
      <c r="AN362" s="1280"/>
      <c r="AO362" s="1280"/>
      <c r="AP362" s="1367" t="s">
        <v>113</v>
      </c>
      <c r="AQ362" s="1367">
        <v>2</v>
      </c>
      <c r="AR362" s="1296">
        <v>0.1716</v>
      </c>
      <c r="AS362" s="1296">
        <v>0.14880000000000002</v>
      </c>
      <c r="AT362" s="1296">
        <v>0.1028</v>
      </c>
      <c r="AU362" s="1296">
        <v>5.7200000000000001E-2</v>
      </c>
      <c r="AV362" s="1296">
        <v>4.0000000000000008E-2</v>
      </c>
      <c r="AW362" s="1296">
        <v>2.5600000000000001E-2</v>
      </c>
      <c r="AX362" s="1296">
        <v>1.8800000000000001E-2</v>
      </c>
      <c r="AY362" s="1296">
        <v>1.44E-2</v>
      </c>
      <c r="AZ362" s="1296">
        <v>1.2E-2</v>
      </c>
      <c r="BA362" s="1296">
        <v>9.6000000000000009E-3</v>
      </c>
      <c r="BB362" s="1290"/>
      <c r="BC362" s="1290"/>
      <c r="BD362" s="1260" t="s">
        <v>113</v>
      </c>
      <c r="BE362" s="1260">
        <v>2</v>
      </c>
      <c r="BF362" s="204">
        <v>0.22619999999999998</v>
      </c>
      <c r="BG362" s="204">
        <v>0.19603999999999999</v>
      </c>
      <c r="BH362" s="204">
        <v>0.13572000000000001</v>
      </c>
      <c r="BI362" s="204">
        <v>7.5399999999999995E-2</v>
      </c>
      <c r="BJ362" s="204">
        <v>5.2779999999999994E-2</v>
      </c>
      <c r="BK362" s="204">
        <v>3.4219999999999993E-2</v>
      </c>
      <c r="BL362" s="204">
        <v>2.4939999999999997E-2</v>
      </c>
      <c r="BM362" s="204">
        <v>1.9140000000000001E-2</v>
      </c>
      <c r="BN362" s="204">
        <v>1.566E-2</v>
      </c>
      <c r="BO362" s="204">
        <v>1.2759999999999999E-2</v>
      </c>
      <c r="BP362" s="1246"/>
      <c r="BQ362" s="1246"/>
    </row>
    <row r="363" spans="14:69" x14ac:dyDescent="0.25">
      <c r="N363" s="1276" t="s">
        <v>114</v>
      </c>
      <c r="O363" s="1276">
        <v>3</v>
      </c>
      <c r="P363" s="1373">
        <f t="shared" si="28"/>
        <v>0.19</v>
      </c>
      <c r="Q363" s="1373">
        <f t="shared" si="28"/>
        <v>0.13</v>
      </c>
      <c r="R363" s="1373">
        <f t="shared" si="28"/>
        <v>8.3000000000000004E-2</v>
      </c>
      <c r="S363" s="1373">
        <f t="shared" si="28"/>
        <v>0.05</v>
      </c>
      <c r="T363" s="1373">
        <f t="shared" si="28"/>
        <v>3.1E-2</v>
      </c>
      <c r="U363" s="1373">
        <f t="shared" si="28"/>
        <v>2.4E-2</v>
      </c>
      <c r="V363" s="1373">
        <f t="shared" si="28"/>
        <v>1.6E-2</v>
      </c>
      <c r="W363" s="1373">
        <f t="shared" si="28"/>
        <v>1.2999999999999999E-2</v>
      </c>
      <c r="X363" s="1419">
        <f t="shared" si="29"/>
        <v>0</v>
      </c>
      <c r="Y363" s="1373">
        <f t="shared" si="29"/>
        <v>0</v>
      </c>
      <c r="Z363" s="1265"/>
      <c r="AA363" s="1265"/>
      <c r="AB363" s="1366" t="s">
        <v>114</v>
      </c>
      <c r="AC363" s="1366">
        <v>3</v>
      </c>
      <c r="AD363" s="1381">
        <v>0.16200000000000001</v>
      </c>
      <c r="AE363" s="1381">
        <v>0.111</v>
      </c>
      <c r="AF363" s="1381">
        <v>7.0799999999999988E-2</v>
      </c>
      <c r="AG363" s="1381">
        <v>4.2000000000000003E-2</v>
      </c>
      <c r="AH363" s="1381">
        <v>2.7E-2</v>
      </c>
      <c r="AI363" s="1381">
        <v>2.1000000000000001E-2</v>
      </c>
      <c r="AJ363" s="1381">
        <v>1.3199999999999998E-2</v>
      </c>
      <c r="AK363" s="1381">
        <v>1.1399999999999999E-2</v>
      </c>
      <c r="AL363" s="1381">
        <v>9.5999999999999992E-3</v>
      </c>
      <c r="AM363" s="1381">
        <v>8.3999999999999995E-3</v>
      </c>
      <c r="AN363" s="1280"/>
      <c r="AO363" s="1280"/>
      <c r="AP363" s="1367" t="s">
        <v>114</v>
      </c>
      <c r="AQ363" s="1367">
        <v>3</v>
      </c>
      <c r="AR363" s="1296">
        <v>0.10640000000000001</v>
      </c>
      <c r="AS363" s="1296">
        <v>9.1600000000000015E-2</v>
      </c>
      <c r="AT363" s="1296">
        <v>6.2800000000000009E-2</v>
      </c>
      <c r="AU363" s="1296">
        <v>4.0000000000000008E-2</v>
      </c>
      <c r="AV363" s="1296">
        <v>2.4400000000000002E-2</v>
      </c>
      <c r="AW363" s="1296">
        <v>1.5600000000000001E-2</v>
      </c>
      <c r="AX363" s="1296">
        <v>1.2400000000000001E-2</v>
      </c>
      <c r="AY363" s="1296">
        <v>8.0000000000000002E-3</v>
      </c>
      <c r="AZ363" s="1296">
        <v>6.8000000000000005E-3</v>
      </c>
      <c r="BA363" s="1296">
        <v>5.6000000000000008E-3</v>
      </c>
      <c r="BB363" s="1290"/>
      <c r="BC363" s="1290"/>
      <c r="BD363" s="1260" t="s">
        <v>114</v>
      </c>
      <c r="BE363" s="1260">
        <v>3</v>
      </c>
      <c r="BF363" s="204">
        <v>0.14035999999999998</v>
      </c>
      <c r="BG363" s="204">
        <v>0.12063999999999998</v>
      </c>
      <c r="BH363" s="204">
        <v>8.2939999999999986E-2</v>
      </c>
      <c r="BI363" s="204">
        <v>5.2779999999999994E-2</v>
      </c>
      <c r="BJ363" s="204">
        <v>3.2479999999999995E-2</v>
      </c>
      <c r="BK363" s="204">
        <v>2.0300000000000002E-2</v>
      </c>
      <c r="BL363" s="204">
        <v>1.7399999999999999E-2</v>
      </c>
      <c r="BM363" s="204">
        <v>1.0439999999999998E-2</v>
      </c>
      <c r="BN363" s="204">
        <v>9.2800000000000001E-3</v>
      </c>
      <c r="BO363" s="204">
        <v>7.539999999999999E-3</v>
      </c>
      <c r="BP363" s="1246"/>
      <c r="BQ363" s="1246"/>
    </row>
    <row r="364" spans="14:69" x14ac:dyDescent="0.25">
      <c r="N364" s="1276" t="s">
        <v>697</v>
      </c>
      <c r="O364" s="1276">
        <v>4</v>
      </c>
      <c r="P364" s="1373">
        <f t="shared" si="28"/>
        <v>0.19900000000000001</v>
      </c>
      <c r="Q364" s="1373">
        <f t="shared" si="28"/>
        <v>0.16600000000000001</v>
      </c>
      <c r="R364" s="1373">
        <f t="shared" si="28"/>
        <v>9.0999999999999998E-2</v>
      </c>
      <c r="S364" s="1373">
        <f t="shared" si="28"/>
        <v>5.1999999999999998E-2</v>
      </c>
      <c r="T364" s="1373">
        <f t="shared" si="28"/>
        <v>3.5999999999999997E-2</v>
      </c>
      <c r="U364" s="1373">
        <f t="shared" si="28"/>
        <v>2.5000000000000001E-2</v>
      </c>
      <c r="V364" s="1373">
        <f t="shared" si="28"/>
        <v>1.7000000000000001E-2</v>
      </c>
      <c r="W364" s="1373">
        <f t="shared" si="28"/>
        <v>1.4E-2</v>
      </c>
      <c r="X364" s="1419">
        <f t="shared" si="29"/>
        <v>0</v>
      </c>
      <c r="Y364" s="1373">
        <f t="shared" si="29"/>
        <v>0</v>
      </c>
      <c r="Z364" s="1265"/>
      <c r="AA364" s="1265"/>
      <c r="AB364" s="1366" t="s">
        <v>115</v>
      </c>
      <c r="AC364" s="1366">
        <v>4</v>
      </c>
      <c r="AD364" s="1381">
        <v>0.16919999999999999</v>
      </c>
      <c r="AE364" s="1381">
        <v>0.14159999999999998</v>
      </c>
      <c r="AF364" s="1381">
        <v>7.8E-2</v>
      </c>
      <c r="AG364" s="1381">
        <v>4.4399999999999995E-2</v>
      </c>
      <c r="AH364" s="1381">
        <v>2.8199999999999999E-2</v>
      </c>
      <c r="AI364" s="1381">
        <v>2.2199999999999998E-2</v>
      </c>
      <c r="AJ364" s="1381">
        <v>1.44E-2</v>
      </c>
      <c r="AK364" s="1381">
        <v>1.26E-2</v>
      </c>
      <c r="AL364" s="1381">
        <v>1.0799999999999999E-2</v>
      </c>
      <c r="AM364" s="1381">
        <v>9.5999999999999992E-3</v>
      </c>
      <c r="AN364" s="1280"/>
      <c r="AO364" s="1280"/>
      <c r="AP364" s="1367" t="s">
        <v>115</v>
      </c>
      <c r="AQ364" s="1367">
        <v>4</v>
      </c>
      <c r="AR364" s="1296">
        <v>0.1144</v>
      </c>
      <c r="AS364" s="1296">
        <v>9.5600000000000004E-2</v>
      </c>
      <c r="AT364" s="1296">
        <v>8.0000000000000016E-2</v>
      </c>
      <c r="AU364" s="1296">
        <v>4.4000000000000004E-2</v>
      </c>
      <c r="AV364" s="1296">
        <v>2.5600000000000001E-2</v>
      </c>
      <c r="AW364" s="1296">
        <v>1.6400000000000001E-2</v>
      </c>
      <c r="AX364" s="1296">
        <v>1.3200000000000002E-2</v>
      </c>
      <c r="AY364" s="1296">
        <v>8.4000000000000012E-3</v>
      </c>
      <c r="AZ364" s="1296">
        <v>7.6E-3</v>
      </c>
      <c r="BA364" s="1296">
        <v>6.4000000000000003E-3</v>
      </c>
      <c r="BB364" s="1290"/>
      <c r="BC364" s="1290"/>
      <c r="BD364" s="1260" t="s">
        <v>115</v>
      </c>
      <c r="BE364" s="1260">
        <v>4</v>
      </c>
      <c r="BF364" s="204">
        <v>0.15079999999999999</v>
      </c>
      <c r="BG364" s="204">
        <v>0.12644</v>
      </c>
      <c r="BH364" s="204">
        <v>0.10555999999999999</v>
      </c>
      <c r="BI364" s="204">
        <v>5.7999999999999996E-2</v>
      </c>
      <c r="BJ364" s="204">
        <v>3.4219999999999993E-2</v>
      </c>
      <c r="BK364" s="204">
        <v>2.2039999999999997E-2</v>
      </c>
      <c r="BL364" s="204">
        <v>0.18559999999999999</v>
      </c>
      <c r="BM364" s="204">
        <v>1.1599999999999999E-2</v>
      </c>
      <c r="BN364" s="204">
        <v>9.8600000000000007E-3</v>
      </c>
      <c r="BO364" s="204">
        <v>8.1199999999999987E-3</v>
      </c>
      <c r="BP364" s="1246"/>
      <c r="BQ364" s="1246"/>
    </row>
    <row r="365" spans="14:69" ht="15.75" customHeight="1" x14ac:dyDescent="0.25">
      <c r="N365" s="1276" t="s">
        <v>116</v>
      </c>
      <c r="O365" s="1276">
        <v>5</v>
      </c>
      <c r="P365" s="1373">
        <f t="shared" si="28"/>
        <v>0.21299999999999999</v>
      </c>
      <c r="Q365" s="1373">
        <f t="shared" si="28"/>
        <v>0.17899999999999999</v>
      </c>
      <c r="R365" s="1373">
        <f t="shared" si="28"/>
        <v>9.5000000000000001E-2</v>
      </c>
      <c r="S365" s="1373">
        <f t="shared" si="28"/>
        <v>5.8000000000000003E-2</v>
      </c>
      <c r="T365" s="1373">
        <f t="shared" si="28"/>
        <v>3.7999999999999999E-2</v>
      </c>
      <c r="U365" s="1373">
        <f t="shared" si="28"/>
        <v>2.9000000000000001E-2</v>
      </c>
      <c r="V365" s="1373">
        <f t="shared" si="28"/>
        <v>2.1000000000000001E-2</v>
      </c>
      <c r="W365" s="1373">
        <f t="shared" si="28"/>
        <v>1.4999999999999999E-2</v>
      </c>
      <c r="X365" s="1419">
        <f t="shared" si="29"/>
        <v>0</v>
      </c>
      <c r="Y365" s="1373">
        <f t="shared" si="29"/>
        <v>0</v>
      </c>
      <c r="Z365" s="1265"/>
      <c r="AA365" s="1265"/>
      <c r="AB365" s="1366" t="s">
        <v>116</v>
      </c>
      <c r="AC365" s="1366">
        <v>5</v>
      </c>
      <c r="AD365" s="1381">
        <v>0.18179999999999999</v>
      </c>
      <c r="AE365" s="1381">
        <v>0.15240000000000001</v>
      </c>
      <c r="AF365" s="1381">
        <v>8.1000000000000003E-2</v>
      </c>
      <c r="AG365" s="1381">
        <v>4.9800000000000004E-2</v>
      </c>
      <c r="AH365" s="1381">
        <v>2.9399999999999999E-2</v>
      </c>
      <c r="AI365" s="1381">
        <v>2.4E-2</v>
      </c>
      <c r="AJ365" s="1381">
        <v>1.5599999999999999E-2</v>
      </c>
      <c r="AK365" s="1381">
        <v>1.3199999999999998E-2</v>
      </c>
      <c r="AL365" s="1381">
        <v>1.1399999999999999E-2</v>
      </c>
      <c r="AM365" s="1381">
        <v>1.0200000000000001E-2</v>
      </c>
      <c r="AN365" s="1280"/>
      <c r="AO365" s="1280"/>
      <c r="AP365" s="1367" t="s">
        <v>116</v>
      </c>
      <c r="AQ365" s="1367">
        <v>5</v>
      </c>
      <c r="AR365" s="1296">
        <v>0.12</v>
      </c>
      <c r="AS365" s="1296">
        <v>0.1028</v>
      </c>
      <c r="AT365" s="1296">
        <v>8.6000000000000007E-2</v>
      </c>
      <c r="AU365" s="1296">
        <v>4.5600000000000002E-2</v>
      </c>
      <c r="AV365" s="1296">
        <v>2.8799999999999999E-2</v>
      </c>
      <c r="AW365" s="1296">
        <v>1.72E-2</v>
      </c>
      <c r="AX365" s="1296">
        <v>1.44E-2</v>
      </c>
      <c r="AY365" s="1296">
        <v>9.1999999999999998E-3</v>
      </c>
      <c r="AZ365" s="1296">
        <v>8.0000000000000002E-3</v>
      </c>
      <c r="BA365" s="1296">
        <v>6.8000000000000005E-3</v>
      </c>
      <c r="BB365" s="1290"/>
      <c r="BC365" s="1290"/>
      <c r="BD365" s="1260" t="s">
        <v>116</v>
      </c>
      <c r="BE365" s="1260">
        <v>5</v>
      </c>
      <c r="BF365" s="204">
        <v>0.15834000000000001</v>
      </c>
      <c r="BG365" s="204">
        <v>0.13572000000000001</v>
      </c>
      <c r="BH365" s="204">
        <v>9.0479999999999991E-2</v>
      </c>
      <c r="BI365" s="204">
        <v>6.0319999999999992E-2</v>
      </c>
      <c r="BJ365" s="204">
        <v>3.7699999999999997E-2</v>
      </c>
      <c r="BK365" s="204">
        <v>2.2619999999999998E-2</v>
      </c>
      <c r="BL365" s="204">
        <v>1.9140000000000001E-2</v>
      </c>
      <c r="BM365" s="204">
        <v>1.218E-2</v>
      </c>
      <c r="BN365" s="204">
        <v>1.0439999999999998E-2</v>
      </c>
      <c r="BO365" s="204">
        <v>9.2800000000000001E-3</v>
      </c>
      <c r="BP365" s="1246"/>
      <c r="BQ365" s="1246"/>
    </row>
    <row r="366" spans="14:69" x14ac:dyDescent="0.25">
      <c r="N366" s="1271" t="s">
        <v>494</v>
      </c>
      <c r="O366" s="1271"/>
      <c r="P366" s="1271"/>
      <c r="Q366" s="1271"/>
      <c r="R366" s="1272"/>
      <c r="S366" s="1272"/>
      <c r="T366" s="1272"/>
      <c r="U366" s="1272"/>
      <c r="V366" s="1272"/>
      <c r="W366" s="1272"/>
      <c r="X366" s="1272"/>
      <c r="Y366" s="1272"/>
      <c r="Z366" s="1265"/>
      <c r="AA366" s="1265"/>
      <c r="AB366" s="1284" t="s">
        <v>494</v>
      </c>
      <c r="AC366" s="1284"/>
      <c r="AD366" s="1284"/>
      <c r="AE366" s="1284"/>
      <c r="AF366" s="1285"/>
      <c r="AG366" s="1285"/>
      <c r="AH366" s="1285"/>
      <c r="AI366" s="1285"/>
      <c r="AJ366" s="1285"/>
      <c r="AK366" s="1285"/>
      <c r="AL366" s="1285"/>
      <c r="AM366" s="1285"/>
      <c r="AN366" s="1280"/>
      <c r="AO366" s="1280"/>
      <c r="AP366" s="1294" t="s">
        <v>494</v>
      </c>
      <c r="AQ366" s="1294"/>
      <c r="AR366" s="1294"/>
      <c r="AS366" s="1294"/>
      <c r="AT366" s="1295"/>
      <c r="AU366" s="1295"/>
      <c r="AV366" s="1295"/>
      <c r="AW366" s="1295"/>
      <c r="AX366" s="1295"/>
      <c r="AY366" s="1295"/>
      <c r="AZ366" s="1295"/>
      <c r="BA366" s="1295"/>
      <c r="BB366" s="1290"/>
      <c r="BC366" s="1290"/>
      <c r="BD366" s="1250" t="s">
        <v>227</v>
      </c>
      <c r="BE366" s="1250"/>
      <c r="BF366" s="1250"/>
      <c r="BG366" s="1250"/>
      <c r="BH366" s="1251"/>
      <c r="BI366" s="1251"/>
      <c r="BJ366" s="1251"/>
      <c r="BK366" s="1251"/>
      <c r="BL366" s="1251"/>
      <c r="BM366" s="1251"/>
      <c r="BN366" s="1251"/>
      <c r="BO366" s="1251"/>
      <c r="BP366" s="1246"/>
      <c r="BQ366" s="1246"/>
    </row>
    <row r="367" spans="14:69" x14ac:dyDescent="0.25">
      <c r="N367" s="1944" t="s">
        <v>111</v>
      </c>
      <c r="O367" s="1276"/>
      <c r="P367" s="1276" t="s">
        <v>228</v>
      </c>
      <c r="Q367" s="1276"/>
      <c r="R367" s="1276"/>
      <c r="S367" s="1276"/>
      <c r="T367" s="1276"/>
      <c r="U367" s="1276"/>
      <c r="V367" s="1276"/>
      <c r="W367" s="1276"/>
      <c r="X367" s="1389"/>
      <c r="Y367" s="1390"/>
      <c r="Z367" s="1265"/>
      <c r="AA367" s="1265"/>
      <c r="AB367" s="1926" t="s">
        <v>111</v>
      </c>
      <c r="AC367" s="1366"/>
      <c r="AD367" s="1926" t="s">
        <v>228</v>
      </c>
      <c r="AE367" s="1926"/>
      <c r="AF367" s="1926"/>
      <c r="AG367" s="1926"/>
      <c r="AH367" s="1926"/>
      <c r="AI367" s="1926"/>
      <c r="AJ367" s="1926"/>
      <c r="AK367" s="1926"/>
      <c r="AL367" s="1926"/>
      <c r="AM367" s="1926"/>
      <c r="AN367" s="1280"/>
      <c r="AO367" s="1280"/>
      <c r="AP367" s="1927" t="s">
        <v>111</v>
      </c>
      <c r="AQ367" s="1367"/>
      <c r="AR367" s="1928" t="s">
        <v>228</v>
      </c>
      <c r="AS367" s="1928"/>
      <c r="AT367" s="1928"/>
      <c r="AU367" s="1928"/>
      <c r="AV367" s="1928"/>
      <c r="AW367" s="1928"/>
      <c r="AX367" s="1928"/>
      <c r="AY367" s="1928"/>
      <c r="AZ367" s="1928"/>
      <c r="BA367" s="1928"/>
      <c r="BB367" s="1290"/>
      <c r="BC367" s="1290"/>
      <c r="BD367" s="1929" t="s">
        <v>111</v>
      </c>
      <c r="BE367" s="1260"/>
      <c r="BF367" s="1930" t="s">
        <v>228</v>
      </c>
      <c r="BG367" s="1930"/>
      <c r="BH367" s="1930"/>
      <c r="BI367" s="1930"/>
      <c r="BJ367" s="1930"/>
      <c r="BK367" s="1930"/>
      <c r="BL367" s="1930"/>
      <c r="BM367" s="1930"/>
      <c r="BN367" s="1930"/>
      <c r="BO367" s="1930"/>
      <c r="BP367" s="1246"/>
      <c r="BQ367" s="1246"/>
    </row>
    <row r="368" spans="14:69" x14ac:dyDescent="0.25">
      <c r="N368" s="1944"/>
      <c r="O368" s="1276"/>
      <c r="P368" s="1408">
        <v>10</v>
      </c>
      <c r="Q368" s="1408">
        <v>20</v>
      </c>
      <c r="R368" s="1408">
        <v>50</v>
      </c>
      <c r="S368" s="1408">
        <v>100</v>
      </c>
      <c r="T368" s="1408">
        <v>200</v>
      </c>
      <c r="U368" s="1408">
        <v>500</v>
      </c>
      <c r="V368" s="1408">
        <v>1000</v>
      </c>
      <c r="W368" s="1408">
        <v>2000</v>
      </c>
      <c r="X368" s="1419"/>
      <c r="Y368" s="1373"/>
      <c r="Z368" s="1265"/>
      <c r="AA368" s="1265"/>
      <c r="AB368" s="1926"/>
      <c r="AC368" s="1366"/>
      <c r="AD368" s="1381">
        <v>10</v>
      </c>
      <c r="AE368" s="1381">
        <v>20</v>
      </c>
      <c r="AF368" s="1381">
        <v>50</v>
      </c>
      <c r="AG368" s="1381">
        <v>100</v>
      </c>
      <c r="AH368" s="1381">
        <v>200</v>
      </c>
      <c r="AI368" s="1381">
        <v>500</v>
      </c>
      <c r="AJ368" s="1381">
        <v>1000</v>
      </c>
      <c r="AK368" s="1381">
        <v>2000</v>
      </c>
      <c r="AL368" s="1381">
        <v>5000</v>
      </c>
      <c r="AM368" s="1381">
        <v>8000</v>
      </c>
      <c r="AN368" s="1280"/>
      <c r="AO368" s="1280"/>
      <c r="AP368" s="1927"/>
      <c r="AQ368" s="1367"/>
      <c r="AR368" s="1347">
        <v>7</v>
      </c>
      <c r="AS368" s="1347">
        <v>10</v>
      </c>
      <c r="AT368" s="1347">
        <v>20</v>
      </c>
      <c r="AU368" s="1347">
        <v>50</v>
      </c>
      <c r="AV368" s="1347">
        <v>100</v>
      </c>
      <c r="AW368" s="1347">
        <v>200</v>
      </c>
      <c r="AX368" s="1347">
        <v>500</v>
      </c>
      <c r="AY368" s="1347">
        <v>1000</v>
      </c>
      <c r="AZ368" s="1347">
        <v>2000</v>
      </c>
      <c r="BA368" s="1347">
        <v>5000</v>
      </c>
      <c r="BB368" s="1290"/>
      <c r="BC368" s="1290"/>
      <c r="BD368" s="1929"/>
      <c r="BE368" s="1260"/>
      <c r="BF368" s="203">
        <v>7</v>
      </c>
      <c r="BG368" s="203">
        <v>10</v>
      </c>
      <c r="BH368" s="203">
        <v>20</v>
      </c>
      <c r="BI368" s="203">
        <v>50</v>
      </c>
      <c r="BJ368" s="203">
        <v>100</v>
      </c>
      <c r="BK368" s="203">
        <v>200</v>
      </c>
      <c r="BL368" s="203">
        <v>500</v>
      </c>
      <c r="BM368" s="203">
        <v>1000</v>
      </c>
      <c r="BN368" s="203">
        <v>2000</v>
      </c>
      <c r="BO368" s="203">
        <v>5000</v>
      </c>
      <c r="BP368" s="1246"/>
      <c r="BQ368" s="1246"/>
    </row>
    <row r="369" spans="14:69" x14ac:dyDescent="0.25">
      <c r="N369" s="1276" t="s">
        <v>3661</v>
      </c>
      <c r="O369" s="1276">
        <v>1</v>
      </c>
      <c r="P369" s="1408">
        <v>0.36699999999999999</v>
      </c>
      <c r="Q369" s="1408">
        <v>0.34599999999999997</v>
      </c>
      <c r="R369" s="1408">
        <v>0.18099999999999999</v>
      </c>
      <c r="S369" s="1408">
        <v>0.113</v>
      </c>
      <c r="T369" s="1408">
        <v>0.10199999999999999</v>
      </c>
      <c r="U369" s="1408">
        <v>8.1000000000000003E-2</v>
      </c>
      <c r="V369" s="1408">
        <v>5.5E-2</v>
      </c>
      <c r="W369" s="1408">
        <v>4.2999999999999997E-2</v>
      </c>
      <c r="X369" s="1420"/>
      <c r="Y369" s="1392"/>
      <c r="Z369" s="1265"/>
      <c r="AA369" s="1265"/>
      <c r="AB369" s="1366" t="s">
        <v>112</v>
      </c>
      <c r="AC369" s="1366">
        <v>1</v>
      </c>
      <c r="AD369" s="1440">
        <v>0.28699999999999998</v>
      </c>
      <c r="AE369" s="1440">
        <v>0.27</v>
      </c>
      <c r="AF369" s="1440">
        <v>0.14199999999999999</v>
      </c>
      <c r="AG369" s="1440">
        <v>8.8999999999999996E-2</v>
      </c>
      <c r="AH369" s="1440">
        <v>7.9000000000000001E-2</v>
      </c>
      <c r="AI369" s="1440">
        <v>6.6000000000000003E-2</v>
      </c>
      <c r="AJ369" s="1440">
        <v>4.4999999999999998E-2</v>
      </c>
      <c r="AK369" s="1440">
        <v>3.5000000000000003E-2</v>
      </c>
      <c r="AL369" s="1440">
        <v>2.7E-2</v>
      </c>
      <c r="AM369" s="1440">
        <v>2.3E-2</v>
      </c>
      <c r="AN369" s="1280"/>
      <c r="AO369" s="1280"/>
      <c r="AP369" s="1367" t="s">
        <v>112</v>
      </c>
      <c r="AQ369" s="1367">
        <v>1</v>
      </c>
      <c r="AR369" s="1296">
        <v>0.1028</v>
      </c>
      <c r="AS369" s="1296">
        <v>9.7200000000000009E-2</v>
      </c>
      <c r="AT369" s="1296">
        <v>9.1600000000000015E-2</v>
      </c>
      <c r="AU369" s="1296">
        <v>4.8000000000000001E-2</v>
      </c>
      <c r="AV369" s="1296">
        <v>3.0800000000000001E-2</v>
      </c>
      <c r="AW369" s="1296">
        <v>2.7600000000000003E-2</v>
      </c>
      <c r="AX369" s="1296">
        <v>2.3599999999999999E-2</v>
      </c>
      <c r="AY369" s="1296">
        <v>1.6E-2</v>
      </c>
      <c r="AZ369" s="1296">
        <v>1.2400000000000001E-2</v>
      </c>
      <c r="BA369" s="1296">
        <v>9.6000000000000009E-3</v>
      </c>
      <c r="BB369" s="1290"/>
      <c r="BC369" s="1290"/>
      <c r="BD369" s="1260" t="s">
        <v>112</v>
      </c>
      <c r="BE369" s="1260">
        <v>1</v>
      </c>
      <c r="BF369" s="204">
        <v>9.8280000000000006E-2</v>
      </c>
      <c r="BG369" s="204">
        <v>9.282E-2</v>
      </c>
      <c r="BH369" s="204">
        <v>8.7359999999999993E-2</v>
      </c>
      <c r="BI369" s="204">
        <v>4.5780000000000001E-2</v>
      </c>
      <c r="BJ369" s="204">
        <v>2.9400000000000003E-2</v>
      </c>
      <c r="BK369" s="204">
        <v>2.6039999999999997E-2</v>
      </c>
      <c r="BL369" s="204">
        <v>2.2259999999999999E-2</v>
      </c>
      <c r="BM369" s="204">
        <v>1.5119999999999998E-2</v>
      </c>
      <c r="BN369" s="204">
        <v>1.218E-2</v>
      </c>
      <c r="BO369" s="204">
        <v>9.2399999999999999E-3</v>
      </c>
      <c r="BP369" s="1246"/>
      <c r="BQ369" s="1246"/>
    </row>
    <row r="370" spans="14:69" x14ac:dyDescent="0.25">
      <c r="N370" s="1276" t="s">
        <v>113</v>
      </c>
      <c r="O370" s="1276">
        <v>2</v>
      </c>
      <c r="P370" s="1408">
        <v>0.54900000000000004</v>
      </c>
      <c r="Q370" s="1408">
        <v>0.49399999999999999</v>
      </c>
      <c r="R370" s="1408">
        <v>0.28000000000000003</v>
      </c>
      <c r="S370" s="1408">
        <v>0.17699999999999999</v>
      </c>
      <c r="T370" s="1408">
        <v>0.152</v>
      </c>
      <c r="U370" s="1408">
        <v>0.123</v>
      </c>
      <c r="V370" s="1408">
        <v>8.4000000000000005E-2</v>
      </c>
      <c r="W370" s="1408">
        <v>6.6000000000000003E-2</v>
      </c>
      <c r="X370" s="1420"/>
      <c r="Y370" s="1392"/>
      <c r="Z370" s="1265"/>
      <c r="AA370" s="1265"/>
      <c r="AB370" s="1366" t="s">
        <v>113</v>
      </c>
      <c r="AC370" s="1366">
        <v>2</v>
      </c>
      <c r="AD370" s="1440">
        <v>0.439</v>
      </c>
      <c r="AE370" s="1440">
        <v>0.39500000000000002</v>
      </c>
      <c r="AF370" s="1440">
        <v>0.224</v>
      </c>
      <c r="AG370" s="1440">
        <v>0.14099999999999999</v>
      </c>
      <c r="AH370" s="1440">
        <v>0.122</v>
      </c>
      <c r="AI370" s="1440">
        <v>0.1</v>
      </c>
      <c r="AJ370" s="1440">
        <v>6.8000000000000005E-2</v>
      </c>
      <c r="AK370" s="1440">
        <v>5.3999999999999999E-2</v>
      </c>
      <c r="AL370" s="1440">
        <v>4.1000000000000002E-2</v>
      </c>
      <c r="AM370" s="1440">
        <v>3.5999999999999997E-2</v>
      </c>
      <c r="AN370" s="1280"/>
      <c r="AO370" s="1280"/>
      <c r="AP370" s="1367" t="s">
        <v>113</v>
      </c>
      <c r="AQ370" s="1367">
        <v>2</v>
      </c>
      <c r="AR370" s="1296">
        <v>0.1636</v>
      </c>
      <c r="AS370" s="1296">
        <v>0.14880000000000002</v>
      </c>
      <c r="AT370" s="1296">
        <v>0.13400000000000001</v>
      </c>
      <c r="AU370" s="1296">
        <v>7.6000000000000012E-2</v>
      </c>
      <c r="AV370" s="1296">
        <v>4.9200000000000001E-2</v>
      </c>
      <c r="AW370" s="1296">
        <v>4.24E-2</v>
      </c>
      <c r="AX370" s="1296">
        <v>3.56E-2</v>
      </c>
      <c r="AY370" s="1296">
        <v>2.4400000000000002E-2</v>
      </c>
      <c r="AZ370" s="1296">
        <v>1.9200000000000002E-2</v>
      </c>
      <c r="BA370" s="1296">
        <v>1.4800000000000001E-2</v>
      </c>
      <c r="BB370" s="1290"/>
      <c r="BC370" s="1290"/>
      <c r="BD370" s="1260" t="s">
        <v>113</v>
      </c>
      <c r="BE370" s="1260">
        <v>2</v>
      </c>
      <c r="BF370" s="204">
        <v>0.15623999999999999</v>
      </c>
      <c r="BG370" s="204">
        <v>0.14196</v>
      </c>
      <c r="BH370" s="204">
        <v>0.12767999999999999</v>
      </c>
      <c r="BI370" s="204">
        <v>7.2239999999999985E-2</v>
      </c>
      <c r="BJ370" s="204">
        <v>4.7039999999999998E-2</v>
      </c>
      <c r="BK370" s="204">
        <v>4.0320000000000002E-2</v>
      </c>
      <c r="BL370" s="204">
        <v>3.4020000000000002E-2</v>
      </c>
      <c r="BM370" s="204">
        <v>2.3519999999999999E-2</v>
      </c>
      <c r="BN370" s="204">
        <v>1.848E-2</v>
      </c>
      <c r="BO370" s="204">
        <v>1.4280000000000001E-2</v>
      </c>
      <c r="BP370" s="1246"/>
      <c r="BQ370" s="1246"/>
    </row>
    <row r="371" spans="14:69" x14ac:dyDescent="0.25">
      <c r="N371" s="1276" t="s">
        <v>114</v>
      </c>
      <c r="O371" s="1276">
        <v>3</v>
      </c>
      <c r="P371" s="1408">
        <v>0.26100000000000001</v>
      </c>
      <c r="Q371" s="1408">
        <v>0.23</v>
      </c>
      <c r="R371" s="1408">
        <v>0.13100000000000001</v>
      </c>
      <c r="S371" s="1408">
        <v>8.4000000000000005E-2</v>
      </c>
      <c r="T371" s="1408">
        <v>7.3999999999999996E-2</v>
      </c>
      <c r="U371" s="1408">
        <v>5.6000000000000001E-2</v>
      </c>
      <c r="V371" s="1408">
        <v>0.04</v>
      </c>
      <c r="W371" s="1408">
        <v>3.2000000000000001E-2</v>
      </c>
      <c r="X371" s="1420"/>
      <c r="Y371" s="1392"/>
      <c r="Z371" s="1265"/>
      <c r="AA371" s="1265"/>
      <c r="AB371" s="1366" t="s">
        <v>114</v>
      </c>
      <c r="AC371" s="1366">
        <v>3</v>
      </c>
      <c r="AD371" s="1440">
        <v>0.20399999999999999</v>
      </c>
      <c r="AE371" s="1440">
        <v>0.17899999999999999</v>
      </c>
      <c r="AF371" s="1440">
        <v>0.10299999999999999</v>
      </c>
      <c r="AG371" s="1440">
        <v>6.6000000000000003E-2</v>
      </c>
      <c r="AH371" s="1440">
        <v>5.8000000000000003E-2</v>
      </c>
      <c r="AI371" s="1440">
        <v>4.5999999999999999E-2</v>
      </c>
      <c r="AJ371" s="1440">
        <v>3.2000000000000001E-2</v>
      </c>
      <c r="AK371" s="1440">
        <v>2.5999999999999999E-2</v>
      </c>
      <c r="AL371" s="1440">
        <v>2.1000000000000001E-2</v>
      </c>
      <c r="AM371" s="1440">
        <v>1.9E-2</v>
      </c>
      <c r="AN371" s="1280"/>
      <c r="AO371" s="1280"/>
      <c r="AP371" s="1367" t="s">
        <v>114</v>
      </c>
      <c r="AQ371" s="1367">
        <v>3</v>
      </c>
      <c r="AR371" s="1296">
        <v>7.4800000000000005E-2</v>
      </c>
      <c r="AS371" s="1296">
        <v>6.9199999999999998E-2</v>
      </c>
      <c r="AT371" s="1296">
        <v>6.08E-2</v>
      </c>
      <c r="AU371" s="1296">
        <v>3.4799999999999998E-2</v>
      </c>
      <c r="AV371" s="1296">
        <v>2.2800000000000001E-2</v>
      </c>
      <c r="AW371" s="1296">
        <v>2.0000000000000004E-2</v>
      </c>
      <c r="AX371" s="1296">
        <v>1.6400000000000001E-2</v>
      </c>
      <c r="AY371" s="1296">
        <v>1.1600000000000001E-2</v>
      </c>
      <c r="AZ371" s="1296">
        <v>9.1999999999999998E-3</v>
      </c>
      <c r="BA371" s="1296">
        <v>7.6E-3</v>
      </c>
      <c r="BB371" s="1290"/>
      <c r="BC371" s="1290"/>
      <c r="BD371" s="1260" t="s">
        <v>114</v>
      </c>
      <c r="BE371" s="1260">
        <v>3</v>
      </c>
      <c r="BF371" s="204">
        <v>7.1400000000000005E-2</v>
      </c>
      <c r="BG371" s="204">
        <v>6.5939999999999999E-2</v>
      </c>
      <c r="BH371" s="204">
        <v>5.7960000000000005E-2</v>
      </c>
      <c r="BI371" s="204">
        <v>3.3180000000000001E-2</v>
      </c>
      <c r="BJ371" s="204">
        <v>2.1839999999999998E-2</v>
      </c>
      <c r="BK371" s="204">
        <v>1.932E-2</v>
      </c>
      <c r="BL371" s="204">
        <v>1.5959999999999998E-2</v>
      </c>
      <c r="BM371" s="204">
        <v>1.0919999999999999E-2</v>
      </c>
      <c r="BN371" s="204">
        <v>8.8199999999999997E-3</v>
      </c>
      <c r="BO371" s="204">
        <v>7.1400000000000005E-3</v>
      </c>
      <c r="BP371" s="1246"/>
      <c r="BQ371" s="1246"/>
    </row>
    <row r="372" spans="14:69" x14ac:dyDescent="0.25">
      <c r="N372" s="1276" t="s">
        <v>697</v>
      </c>
      <c r="O372" s="1276">
        <v>4</v>
      </c>
      <c r="P372" s="1408">
        <v>0.28100000000000003</v>
      </c>
      <c r="Q372" s="1408">
        <v>0.245</v>
      </c>
      <c r="R372" s="1408">
        <v>0.14000000000000001</v>
      </c>
      <c r="S372" s="1408">
        <v>0.09</v>
      </c>
      <c r="T372" s="1408">
        <v>7.8E-2</v>
      </c>
      <c r="U372" s="1408">
        <v>6.0999999999999999E-2</v>
      </c>
      <c r="V372" s="1408">
        <v>0.05</v>
      </c>
      <c r="W372" s="1408">
        <v>3.6999999999999998E-2</v>
      </c>
      <c r="X372" s="1420"/>
      <c r="Y372" s="1392"/>
      <c r="Z372" s="1265"/>
      <c r="AA372" s="1265"/>
      <c r="AB372" s="1366" t="s">
        <v>115</v>
      </c>
      <c r="AC372" s="1366">
        <v>4</v>
      </c>
      <c r="AD372" s="1440">
        <v>0.219</v>
      </c>
      <c r="AE372" s="1440">
        <v>0.191</v>
      </c>
      <c r="AF372" s="1440">
        <v>0.11</v>
      </c>
      <c r="AG372" s="1440">
        <v>7.0000000000000007E-2</v>
      </c>
      <c r="AH372" s="1440">
        <v>6.0999999999999999E-2</v>
      </c>
      <c r="AI372" s="1440">
        <v>4.9000000000000002E-2</v>
      </c>
      <c r="AJ372" s="1440">
        <v>0.04</v>
      </c>
      <c r="AK372" s="1440">
        <v>0.03</v>
      </c>
      <c r="AL372" s="1440">
        <v>2.4E-2</v>
      </c>
      <c r="AM372" s="1440">
        <v>0.02</v>
      </c>
      <c r="AN372" s="1280"/>
      <c r="AO372" s="1280"/>
      <c r="AP372" s="1367" t="s">
        <v>115</v>
      </c>
      <c r="AQ372" s="1367">
        <v>4</v>
      </c>
      <c r="AR372" s="1296">
        <v>8.0000000000000016E-2</v>
      </c>
      <c r="AS372" s="1296">
        <v>7.4400000000000008E-2</v>
      </c>
      <c r="AT372" s="1296">
        <v>6.480000000000001E-2</v>
      </c>
      <c r="AU372" s="1296">
        <v>3.7200000000000004E-2</v>
      </c>
      <c r="AV372" s="1296">
        <v>2.4400000000000002E-2</v>
      </c>
      <c r="AW372" s="1296">
        <v>2.12E-2</v>
      </c>
      <c r="AX372" s="1296">
        <v>1.7600000000000001E-2</v>
      </c>
      <c r="AY372" s="1296">
        <v>1.44E-2</v>
      </c>
      <c r="AZ372" s="1296">
        <v>1.0800000000000001E-2</v>
      </c>
      <c r="BA372" s="1296">
        <v>8.4000000000000012E-3</v>
      </c>
      <c r="BB372" s="1290"/>
      <c r="BC372" s="1290"/>
      <c r="BD372" s="1260" t="s">
        <v>115</v>
      </c>
      <c r="BE372" s="1260">
        <v>4</v>
      </c>
      <c r="BF372" s="204">
        <v>7.6439999999999994E-2</v>
      </c>
      <c r="BG372" s="204">
        <v>7.0980000000000001E-2</v>
      </c>
      <c r="BH372" s="204">
        <v>6.1739999999999996E-2</v>
      </c>
      <c r="BI372" s="204">
        <v>3.5700000000000003E-2</v>
      </c>
      <c r="BJ372" s="204">
        <v>2.3519999999999999E-2</v>
      </c>
      <c r="BK372" s="204">
        <v>2.0160000000000001E-2</v>
      </c>
      <c r="BL372" s="204">
        <v>1.6799999999999999E-2</v>
      </c>
      <c r="BM372" s="204">
        <v>1.3860000000000001E-2</v>
      </c>
      <c r="BN372" s="204">
        <v>1.0500000000000001E-2</v>
      </c>
      <c r="BO372" s="204">
        <v>8.3999999999999995E-3</v>
      </c>
      <c r="BP372" s="1246"/>
      <c r="BQ372" s="1246"/>
    </row>
    <row r="373" spans="14:69" ht="15.75" customHeight="1" x14ac:dyDescent="0.25">
      <c r="N373" s="1276" t="s">
        <v>116</v>
      </c>
      <c r="O373" s="1276">
        <v>5</v>
      </c>
      <c r="P373" s="1408">
        <v>0.30199999999999999</v>
      </c>
      <c r="Q373" s="1408">
        <v>0.26</v>
      </c>
      <c r="R373" s="1408">
        <v>0.156</v>
      </c>
      <c r="S373" s="1408">
        <v>0.10199999999999999</v>
      </c>
      <c r="T373" s="1408">
        <v>8.6999999999999994E-2</v>
      </c>
      <c r="U373" s="1408">
        <v>6.9000000000000006E-2</v>
      </c>
      <c r="V373" s="1408">
        <v>5.3999999999999999E-2</v>
      </c>
      <c r="W373" s="1408">
        <v>4.1000000000000002E-2</v>
      </c>
      <c r="X373" s="1420"/>
      <c r="Y373" s="1392"/>
      <c r="Z373" s="1265"/>
      <c r="AA373" s="1265"/>
      <c r="AB373" s="1366" t="s">
        <v>116</v>
      </c>
      <c r="AC373" s="1366">
        <v>5</v>
      </c>
      <c r="AD373" s="1440">
        <v>0.23599999999999999</v>
      </c>
      <c r="AE373" s="1440">
        <v>0.20300000000000001</v>
      </c>
      <c r="AF373" s="1440">
        <v>0.122</v>
      </c>
      <c r="AG373" s="1440">
        <v>7.9000000000000001E-2</v>
      </c>
      <c r="AH373" s="1440">
        <v>6.8000000000000005E-2</v>
      </c>
      <c r="AI373" s="1440">
        <v>5.6000000000000001E-2</v>
      </c>
      <c r="AJ373" s="1440">
        <v>4.3999999999999997E-2</v>
      </c>
      <c r="AK373" s="1440">
        <v>3.4000000000000002E-2</v>
      </c>
      <c r="AL373" s="1440">
        <v>2.5999999999999999E-2</v>
      </c>
      <c r="AM373" s="1440">
        <v>2.1999999999999999E-2</v>
      </c>
      <c r="AN373" s="1280"/>
      <c r="AO373" s="1280"/>
      <c r="AP373" s="1367" t="s">
        <v>116</v>
      </c>
      <c r="AQ373" s="1367">
        <v>5</v>
      </c>
      <c r="AR373" s="1296">
        <v>9.1600000000000015E-2</v>
      </c>
      <c r="AS373" s="1296">
        <v>8.0000000000000016E-2</v>
      </c>
      <c r="AT373" s="1296">
        <v>6.88E-2</v>
      </c>
      <c r="AU373" s="1296">
        <v>4.1200000000000001E-2</v>
      </c>
      <c r="AV373" s="1296">
        <v>2.7600000000000003E-2</v>
      </c>
      <c r="AW373" s="1296">
        <v>2.3599999999999999E-2</v>
      </c>
      <c r="AX373" s="1296">
        <v>2.0000000000000004E-2</v>
      </c>
      <c r="AY373" s="1296">
        <v>1.5600000000000001E-2</v>
      </c>
      <c r="AZ373" s="1296">
        <v>1.2E-2</v>
      </c>
      <c r="BA373" s="1296">
        <v>9.1999999999999998E-3</v>
      </c>
      <c r="BB373" s="1290"/>
      <c r="BC373" s="1290"/>
      <c r="BD373" s="1260" t="s">
        <v>116</v>
      </c>
      <c r="BE373" s="1260">
        <v>5</v>
      </c>
      <c r="BF373" s="204">
        <v>8.7359999999999993E-2</v>
      </c>
      <c r="BG373" s="204">
        <v>7.6439999999999994E-2</v>
      </c>
      <c r="BH373" s="204">
        <v>6.5519999999999995E-2</v>
      </c>
      <c r="BI373" s="204">
        <v>3.9480000000000001E-2</v>
      </c>
      <c r="BJ373" s="204">
        <v>2.6039999999999997E-2</v>
      </c>
      <c r="BK373" s="204">
        <v>2.2259999999999999E-2</v>
      </c>
      <c r="BL373" s="204">
        <v>1.932E-2</v>
      </c>
      <c r="BM373" s="204">
        <v>1.4700000000000001E-2</v>
      </c>
      <c r="BN373" s="204">
        <v>1.1339999999999999E-2</v>
      </c>
      <c r="BO373" s="204">
        <v>8.8199999999999997E-3</v>
      </c>
      <c r="BP373" s="1246"/>
      <c r="BQ373" s="1246"/>
    </row>
    <row r="374" spans="14:69" x14ac:dyDescent="0.25">
      <c r="N374" s="1271" t="s">
        <v>226</v>
      </c>
      <c r="O374" s="1271"/>
      <c r="P374" s="1271"/>
      <c r="Q374" s="1271"/>
      <c r="R374" s="1272"/>
      <c r="S374" s="1272"/>
      <c r="T374" s="1272"/>
      <c r="U374" s="1272"/>
      <c r="V374" s="1272"/>
      <c r="W374" s="1272"/>
      <c r="X374" s="1272"/>
      <c r="Y374" s="1272"/>
      <c r="Z374" s="1265"/>
      <c r="AA374" s="1265"/>
      <c r="AB374" s="1284" t="s">
        <v>226</v>
      </c>
      <c r="AC374" s="1284"/>
      <c r="AD374" s="1284"/>
      <c r="AE374" s="1284"/>
      <c r="AF374" s="1285"/>
      <c r="AG374" s="1285"/>
      <c r="AH374" s="1285"/>
      <c r="AI374" s="1285"/>
      <c r="AJ374" s="1285"/>
      <c r="AK374" s="1285"/>
      <c r="AL374" s="1285"/>
      <c r="AM374" s="1285"/>
      <c r="AN374" s="1280"/>
      <c r="AO374" s="1280"/>
      <c r="AP374" s="1294" t="s">
        <v>226</v>
      </c>
      <c r="AQ374" s="1294"/>
      <c r="AR374" s="1294"/>
      <c r="AS374" s="1294"/>
      <c r="AT374" s="1295"/>
      <c r="AU374" s="1295"/>
      <c r="AV374" s="1295"/>
      <c r="AW374" s="1295"/>
      <c r="AX374" s="1295"/>
      <c r="AY374" s="1295"/>
      <c r="AZ374" s="1295"/>
      <c r="BA374" s="1295"/>
      <c r="BB374" s="1290"/>
      <c r="BC374" s="1290"/>
      <c r="BD374" s="1250" t="s">
        <v>227</v>
      </c>
      <c r="BE374" s="1250"/>
      <c r="BF374" s="1250"/>
      <c r="BG374" s="1250"/>
      <c r="BH374" s="1251"/>
      <c r="BI374" s="1251"/>
      <c r="BJ374" s="1251"/>
      <c r="BK374" s="1251"/>
      <c r="BL374" s="1251"/>
      <c r="BM374" s="1251"/>
      <c r="BN374" s="1251"/>
      <c r="BO374" s="1251"/>
      <c r="BP374" s="1246"/>
      <c r="BQ374" s="1246"/>
    </row>
    <row r="375" spans="14:69" x14ac:dyDescent="0.25">
      <c r="N375" s="1944" t="s">
        <v>111</v>
      </c>
      <c r="O375" s="1276"/>
      <c r="P375" s="1944" t="s">
        <v>228</v>
      </c>
      <c r="Q375" s="1944"/>
      <c r="R375" s="1944"/>
      <c r="S375" s="1944"/>
      <c r="T375" s="1944"/>
      <c r="U375" s="1944"/>
      <c r="V375" s="1944"/>
      <c r="W375" s="1944"/>
      <c r="X375" s="1391"/>
      <c r="Y375" s="1391"/>
      <c r="Z375" s="1265"/>
      <c r="AA375" s="1265"/>
      <c r="AB375" s="1926" t="s">
        <v>111</v>
      </c>
      <c r="AC375" s="1366"/>
      <c r="AD375" s="1926" t="s">
        <v>228</v>
      </c>
      <c r="AE375" s="1926"/>
      <c r="AF375" s="1926"/>
      <c r="AG375" s="1926"/>
      <c r="AH375" s="1926"/>
      <c r="AI375" s="1926"/>
      <c r="AJ375" s="1926"/>
      <c r="AK375" s="1926"/>
      <c r="AL375" s="1926"/>
      <c r="AM375" s="1926"/>
      <c r="AN375" s="1280"/>
      <c r="AO375" s="1280"/>
      <c r="AP375" s="1927" t="s">
        <v>111</v>
      </c>
      <c r="AQ375" s="1367"/>
      <c r="AR375" s="1928" t="s">
        <v>228</v>
      </c>
      <c r="AS375" s="1928"/>
      <c r="AT375" s="1928"/>
      <c r="AU375" s="1928"/>
      <c r="AV375" s="1928"/>
      <c r="AW375" s="1928"/>
      <c r="AX375" s="1928"/>
      <c r="AY375" s="1928"/>
      <c r="AZ375" s="1928"/>
      <c r="BA375" s="1928"/>
      <c r="BB375" s="1290"/>
      <c r="BC375" s="1290"/>
      <c r="BD375" s="1929" t="s">
        <v>111</v>
      </c>
      <c r="BE375" s="1260"/>
      <c r="BF375" s="1930" t="s">
        <v>228</v>
      </c>
      <c r="BG375" s="1930"/>
      <c r="BH375" s="1930"/>
      <c r="BI375" s="1930"/>
      <c r="BJ375" s="1930"/>
      <c r="BK375" s="1930"/>
      <c r="BL375" s="1930"/>
      <c r="BM375" s="1930"/>
      <c r="BN375" s="1930"/>
      <c r="BO375" s="1930"/>
      <c r="BP375" s="1246"/>
      <c r="BQ375" s="1246"/>
    </row>
    <row r="376" spans="14:69" x14ac:dyDescent="0.25">
      <c r="N376" s="1944"/>
      <c r="O376" s="1276"/>
      <c r="P376" s="1407">
        <v>10</v>
      </c>
      <c r="Q376" s="1407">
        <v>20</v>
      </c>
      <c r="R376" s="1407">
        <v>50</v>
      </c>
      <c r="S376" s="1407">
        <v>100</v>
      </c>
      <c r="T376" s="1407">
        <v>200</v>
      </c>
      <c r="U376" s="1407">
        <v>500</v>
      </c>
      <c r="V376" s="1407">
        <v>1000</v>
      </c>
      <c r="W376" s="1407">
        <v>2000</v>
      </c>
      <c r="X376" s="1419"/>
      <c r="Y376" s="1373"/>
      <c r="Z376" s="1265"/>
      <c r="AA376" s="1265"/>
      <c r="AB376" s="1926"/>
      <c r="AC376" s="1366"/>
      <c r="AD376" s="1381">
        <v>10</v>
      </c>
      <c r="AE376" s="1381">
        <v>20</v>
      </c>
      <c r="AF376" s="1381">
        <v>50</v>
      </c>
      <c r="AG376" s="1381">
        <v>100</v>
      </c>
      <c r="AH376" s="1381">
        <v>200</v>
      </c>
      <c r="AI376" s="1381">
        <v>500</v>
      </c>
      <c r="AJ376" s="1381">
        <v>1000</v>
      </c>
      <c r="AK376" s="1381">
        <v>2000</v>
      </c>
      <c r="AL376" s="1381">
        <v>5000</v>
      </c>
      <c r="AM376" s="1381">
        <v>8000</v>
      </c>
      <c r="AN376" s="1280"/>
      <c r="AO376" s="1280"/>
      <c r="AP376" s="1927"/>
      <c r="AQ376" s="1367"/>
      <c r="AR376" s="1347">
        <v>7</v>
      </c>
      <c r="AS376" s="1347">
        <v>10</v>
      </c>
      <c r="AT376" s="1347">
        <v>20</v>
      </c>
      <c r="AU376" s="1347">
        <v>50</v>
      </c>
      <c r="AV376" s="1347">
        <v>100</v>
      </c>
      <c r="AW376" s="1347">
        <v>200</v>
      </c>
      <c r="AX376" s="1347">
        <v>500</v>
      </c>
      <c r="AY376" s="1347">
        <v>1000</v>
      </c>
      <c r="AZ376" s="1347">
        <v>2000</v>
      </c>
      <c r="BA376" s="1347">
        <v>5000</v>
      </c>
      <c r="BB376" s="1290"/>
      <c r="BC376" s="1290"/>
      <c r="BD376" s="1929"/>
      <c r="BE376" s="1260"/>
      <c r="BF376" s="203">
        <v>7</v>
      </c>
      <c r="BG376" s="203">
        <v>10</v>
      </c>
      <c r="BH376" s="203">
        <v>20</v>
      </c>
      <c r="BI376" s="203">
        <v>50</v>
      </c>
      <c r="BJ376" s="203">
        <v>100</v>
      </c>
      <c r="BK376" s="203">
        <v>200</v>
      </c>
      <c r="BL376" s="203">
        <v>500</v>
      </c>
      <c r="BM376" s="203">
        <v>1000</v>
      </c>
      <c r="BN376" s="203">
        <v>2000</v>
      </c>
      <c r="BO376" s="203">
        <v>5000</v>
      </c>
      <c r="BP376" s="1246"/>
      <c r="BQ376" s="1246"/>
    </row>
    <row r="377" spans="14:69" x14ac:dyDescent="0.25">
      <c r="N377" s="1276" t="s">
        <v>3661</v>
      </c>
      <c r="O377" s="1276">
        <v>1</v>
      </c>
      <c r="P377" s="1408">
        <f t="shared" ref="P377:W381" si="30">ROUND(P369*45%,3)</f>
        <v>0.16500000000000001</v>
      </c>
      <c r="Q377" s="1408">
        <f t="shared" si="30"/>
        <v>0.156</v>
      </c>
      <c r="R377" s="1408">
        <f t="shared" si="30"/>
        <v>8.1000000000000003E-2</v>
      </c>
      <c r="S377" s="1408">
        <f t="shared" si="30"/>
        <v>5.0999999999999997E-2</v>
      </c>
      <c r="T377" s="1408">
        <f t="shared" si="30"/>
        <v>4.5999999999999999E-2</v>
      </c>
      <c r="U377" s="1408">
        <f t="shared" si="30"/>
        <v>3.5999999999999997E-2</v>
      </c>
      <c r="V377" s="1408">
        <f t="shared" si="30"/>
        <v>2.5000000000000001E-2</v>
      </c>
      <c r="W377" s="1408">
        <f t="shared" si="30"/>
        <v>1.9E-2</v>
      </c>
      <c r="X377" s="1420"/>
      <c r="Y377" s="1392"/>
      <c r="Z377" s="1265"/>
      <c r="AA377" s="1265"/>
      <c r="AB377" s="1366" t="s">
        <v>112</v>
      </c>
      <c r="AC377" s="1366">
        <v>1</v>
      </c>
      <c r="AD377" s="1381">
        <v>0.1148</v>
      </c>
      <c r="AE377" s="1381">
        <v>0.10800000000000001</v>
      </c>
      <c r="AF377" s="1381">
        <v>5.6799999999999996E-2</v>
      </c>
      <c r="AG377" s="1381">
        <v>3.56E-2</v>
      </c>
      <c r="AH377" s="1381">
        <v>3.1600000000000003E-2</v>
      </c>
      <c r="AI377" s="1381">
        <v>2.6400000000000003E-2</v>
      </c>
      <c r="AJ377" s="1381">
        <v>1.7999999999999999E-2</v>
      </c>
      <c r="AK377" s="1381">
        <v>1.4000000000000002E-2</v>
      </c>
      <c r="AL377" s="1381">
        <v>1.0800000000000001E-2</v>
      </c>
      <c r="AM377" s="1381">
        <v>9.1999999999999998E-3</v>
      </c>
      <c r="AN377" s="1280"/>
      <c r="AO377" s="1280"/>
      <c r="AP377" s="1367" t="s">
        <v>112</v>
      </c>
      <c r="AQ377" s="1367">
        <v>1</v>
      </c>
      <c r="AR377" s="1296">
        <v>0.1028</v>
      </c>
      <c r="AS377" s="1296">
        <v>9.7200000000000009E-2</v>
      </c>
      <c r="AT377" s="1296">
        <v>9.1600000000000015E-2</v>
      </c>
      <c r="AU377" s="1296">
        <v>4.8000000000000001E-2</v>
      </c>
      <c r="AV377" s="1296">
        <v>3.0800000000000001E-2</v>
      </c>
      <c r="AW377" s="1296">
        <v>2.7600000000000003E-2</v>
      </c>
      <c r="AX377" s="1296">
        <v>2.3599999999999999E-2</v>
      </c>
      <c r="AY377" s="1296">
        <v>1.6E-2</v>
      </c>
      <c r="AZ377" s="1296">
        <v>1.2400000000000001E-2</v>
      </c>
      <c r="BA377" s="1296">
        <v>9.6000000000000009E-3</v>
      </c>
      <c r="BB377" s="1290"/>
      <c r="BC377" s="1290"/>
      <c r="BD377" s="1260" t="s">
        <v>112</v>
      </c>
      <c r="BE377" s="1260">
        <v>1</v>
      </c>
      <c r="BF377" s="204">
        <v>9.8280000000000006E-2</v>
      </c>
      <c r="BG377" s="204">
        <v>9.282E-2</v>
      </c>
      <c r="BH377" s="204">
        <v>8.7359999999999993E-2</v>
      </c>
      <c r="BI377" s="204">
        <v>4.5780000000000001E-2</v>
      </c>
      <c r="BJ377" s="204">
        <v>2.9400000000000003E-2</v>
      </c>
      <c r="BK377" s="204">
        <v>2.6039999999999997E-2</v>
      </c>
      <c r="BL377" s="204">
        <v>2.2259999999999999E-2</v>
      </c>
      <c r="BM377" s="204">
        <v>1.5119999999999998E-2</v>
      </c>
      <c r="BN377" s="204">
        <v>1.218E-2</v>
      </c>
      <c r="BO377" s="204">
        <v>9.2399999999999999E-3</v>
      </c>
      <c r="BP377" s="1246"/>
      <c r="BQ377" s="1246"/>
    </row>
    <row r="378" spans="14:69" x14ac:dyDescent="0.25">
      <c r="N378" s="1276" t="s">
        <v>113</v>
      </c>
      <c r="O378" s="1276">
        <v>2</v>
      </c>
      <c r="P378" s="1408">
        <f t="shared" si="30"/>
        <v>0.247</v>
      </c>
      <c r="Q378" s="1408">
        <f t="shared" si="30"/>
        <v>0.222</v>
      </c>
      <c r="R378" s="1408">
        <f t="shared" si="30"/>
        <v>0.126</v>
      </c>
      <c r="S378" s="1408">
        <f t="shared" si="30"/>
        <v>0.08</v>
      </c>
      <c r="T378" s="1408">
        <f t="shared" si="30"/>
        <v>6.8000000000000005E-2</v>
      </c>
      <c r="U378" s="1408">
        <f t="shared" si="30"/>
        <v>5.5E-2</v>
      </c>
      <c r="V378" s="1408">
        <f t="shared" si="30"/>
        <v>3.7999999999999999E-2</v>
      </c>
      <c r="W378" s="1408">
        <f t="shared" si="30"/>
        <v>0.03</v>
      </c>
      <c r="X378" s="1420"/>
      <c r="Y378" s="1392"/>
      <c r="Z378" s="1265"/>
      <c r="AA378" s="1265"/>
      <c r="AB378" s="1366" t="s">
        <v>113</v>
      </c>
      <c r="AC378" s="1366">
        <v>2</v>
      </c>
      <c r="AD378" s="1381">
        <v>0.17560000000000001</v>
      </c>
      <c r="AE378" s="1381">
        <v>0.15800000000000003</v>
      </c>
      <c r="AF378" s="1381">
        <v>8.9600000000000013E-2</v>
      </c>
      <c r="AG378" s="1381">
        <v>5.6399999999999999E-2</v>
      </c>
      <c r="AH378" s="1381">
        <v>4.8800000000000003E-2</v>
      </c>
      <c r="AI378" s="1381">
        <v>4.0000000000000008E-2</v>
      </c>
      <c r="AJ378" s="1381">
        <v>2.7200000000000002E-2</v>
      </c>
      <c r="AK378" s="1381">
        <v>2.1600000000000001E-2</v>
      </c>
      <c r="AL378" s="1381">
        <v>1.6400000000000001E-2</v>
      </c>
      <c r="AM378" s="1381">
        <v>1.44E-2</v>
      </c>
      <c r="AN378" s="1280"/>
      <c r="AO378" s="1280"/>
      <c r="AP378" s="1367" t="s">
        <v>113</v>
      </c>
      <c r="AQ378" s="1367">
        <v>2</v>
      </c>
      <c r="AR378" s="1296">
        <v>0.1636</v>
      </c>
      <c r="AS378" s="1296">
        <v>0.14880000000000002</v>
      </c>
      <c r="AT378" s="1296">
        <v>0.13400000000000001</v>
      </c>
      <c r="AU378" s="1296">
        <v>7.6000000000000012E-2</v>
      </c>
      <c r="AV378" s="1296">
        <v>4.9200000000000001E-2</v>
      </c>
      <c r="AW378" s="1296">
        <v>4.24E-2</v>
      </c>
      <c r="AX378" s="1296">
        <v>3.56E-2</v>
      </c>
      <c r="AY378" s="1296">
        <v>2.4400000000000002E-2</v>
      </c>
      <c r="AZ378" s="1296">
        <v>1.9200000000000002E-2</v>
      </c>
      <c r="BA378" s="1296">
        <v>1.4800000000000001E-2</v>
      </c>
      <c r="BB378" s="1290"/>
      <c r="BC378" s="1290"/>
      <c r="BD378" s="1260" t="s">
        <v>113</v>
      </c>
      <c r="BE378" s="1260">
        <v>2</v>
      </c>
      <c r="BF378" s="204">
        <v>0.15623999999999999</v>
      </c>
      <c r="BG378" s="204">
        <v>0.14196</v>
      </c>
      <c r="BH378" s="204">
        <v>0.12767999999999999</v>
      </c>
      <c r="BI378" s="204">
        <v>7.2239999999999985E-2</v>
      </c>
      <c r="BJ378" s="204">
        <v>4.7039999999999998E-2</v>
      </c>
      <c r="BK378" s="204">
        <v>4.0320000000000002E-2</v>
      </c>
      <c r="BL378" s="204">
        <v>3.4020000000000002E-2</v>
      </c>
      <c r="BM378" s="204">
        <v>2.3519999999999999E-2</v>
      </c>
      <c r="BN378" s="204">
        <v>1.848E-2</v>
      </c>
      <c r="BO378" s="204">
        <v>1.4280000000000001E-2</v>
      </c>
      <c r="BP378" s="1246"/>
      <c r="BQ378" s="1246"/>
    </row>
    <row r="379" spans="14:69" x14ac:dyDescent="0.25">
      <c r="N379" s="1276" t="s">
        <v>114</v>
      </c>
      <c r="O379" s="1276">
        <v>3</v>
      </c>
      <c r="P379" s="1408">
        <f t="shared" si="30"/>
        <v>0.11700000000000001</v>
      </c>
      <c r="Q379" s="1408">
        <f t="shared" si="30"/>
        <v>0.104</v>
      </c>
      <c r="R379" s="1408">
        <f t="shared" si="30"/>
        <v>5.8999999999999997E-2</v>
      </c>
      <c r="S379" s="1408">
        <f t="shared" si="30"/>
        <v>3.7999999999999999E-2</v>
      </c>
      <c r="T379" s="1408">
        <f t="shared" si="30"/>
        <v>3.3000000000000002E-2</v>
      </c>
      <c r="U379" s="1408">
        <f t="shared" si="30"/>
        <v>2.5000000000000001E-2</v>
      </c>
      <c r="V379" s="1408">
        <f t="shared" si="30"/>
        <v>1.7999999999999999E-2</v>
      </c>
      <c r="W379" s="1408">
        <f t="shared" si="30"/>
        <v>1.4E-2</v>
      </c>
      <c r="X379" s="1420"/>
      <c r="Y379" s="1392"/>
      <c r="Z379" s="1265"/>
      <c r="AA379" s="1265"/>
      <c r="AB379" s="1366" t="s">
        <v>114</v>
      </c>
      <c r="AC379" s="1366">
        <v>3</v>
      </c>
      <c r="AD379" s="1381">
        <v>8.1600000000000006E-2</v>
      </c>
      <c r="AE379" s="1381">
        <v>7.1599999999999997E-2</v>
      </c>
      <c r="AF379" s="1381">
        <v>4.1200000000000001E-2</v>
      </c>
      <c r="AG379" s="1381">
        <v>2.6400000000000003E-2</v>
      </c>
      <c r="AH379" s="1381">
        <v>2.3200000000000002E-2</v>
      </c>
      <c r="AI379" s="1381">
        <v>1.84E-2</v>
      </c>
      <c r="AJ379" s="1381">
        <v>1.2800000000000001E-2</v>
      </c>
      <c r="AK379" s="1381">
        <v>1.04E-2</v>
      </c>
      <c r="AL379" s="1381">
        <v>8.4000000000000012E-3</v>
      </c>
      <c r="AM379" s="1381">
        <v>7.6E-3</v>
      </c>
      <c r="AN379" s="1280"/>
      <c r="AO379" s="1280"/>
      <c r="AP379" s="1367" t="s">
        <v>114</v>
      </c>
      <c r="AQ379" s="1367">
        <v>3</v>
      </c>
      <c r="AR379" s="1296">
        <v>7.4800000000000005E-2</v>
      </c>
      <c r="AS379" s="1296">
        <v>6.9199999999999998E-2</v>
      </c>
      <c r="AT379" s="1296">
        <v>6.08E-2</v>
      </c>
      <c r="AU379" s="1296">
        <v>3.4799999999999998E-2</v>
      </c>
      <c r="AV379" s="1296">
        <v>2.2800000000000001E-2</v>
      </c>
      <c r="AW379" s="1296">
        <v>2.0000000000000004E-2</v>
      </c>
      <c r="AX379" s="1296">
        <v>1.6400000000000001E-2</v>
      </c>
      <c r="AY379" s="1296">
        <v>1.1600000000000001E-2</v>
      </c>
      <c r="AZ379" s="1296">
        <v>9.1999999999999998E-3</v>
      </c>
      <c r="BA379" s="1296">
        <v>7.6E-3</v>
      </c>
      <c r="BB379" s="1290"/>
      <c r="BC379" s="1290"/>
      <c r="BD379" s="1260" t="s">
        <v>114</v>
      </c>
      <c r="BE379" s="1260">
        <v>3</v>
      </c>
      <c r="BF379" s="204">
        <v>7.1400000000000005E-2</v>
      </c>
      <c r="BG379" s="204">
        <v>6.5939999999999999E-2</v>
      </c>
      <c r="BH379" s="204">
        <v>5.7960000000000005E-2</v>
      </c>
      <c r="BI379" s="204">
        <v>3.3180000000000001E-2</v>
      </c>
      <c r="BJ379" s="204">
        <v>2.1839999999999998E-2</v>
      </c>
      <c r="BK379" s="204">
        <v>1.932E-2</v>
      </c>
      <c r="BL379" s="204">
        <v>1.5959999999999998E-2</v>
      </c>
      <c r="BM379" s="204">
        <v>1.0919999999999999E-2</v>
      </c>
      <c r="BN379" s="204">
        <v>8.8199999999999997E-3</v>
      </c>
      <c r="BO379" s="204">
        <v>7.1400000000000005E-3</v>
      </c>
      <c r="BP379" s="1246"/>
      <c r="BQ379" s="1246"/>
    </row>
    <row r="380" spans="14:69" x14ac:dyDescent="0.25">
      <c r="N380" s="1276" t="s">
        <v>697</v>
      </c>
      <c r="O380" s="1276">
        <v>4</v>
      </c>
      <c r="P380" s="1408">
        <f t="shared" si="30"/>
        <v>0.126</v>
      </c>
      <c r="Q380" s="1408">
        <f t="shared" si="30"/>
        <v>0.11</v>
      </c>
      <c r="R380" s="1408">
        <f t="shared" si="30"/>
        <v>6.3E-2</v>
      </c>
      <c r="S380" s="1408">
        <f t="shared" si="30"/>
        <v>4.1000000000000002E-2</v>
      </c>
      <c r="T380" s="1408">
        <f t="shared" si="30"/>
        <v>3.5000000000000003E-2</v>
      </c>
      <c r="U380" s="1408">
        <f t="shared" si="30"/>
        <v>2.7E-2</v>
      </c>
      <c r="V380" s="1408">
        <f t="shared" si="30"/>
        <v>2.3E-2</v>
      </c>
      <c r="W380" s="1408">
        <f t="shared" si="30"/>
        <v>1.7000000000000001E-2</v>
      </c>
      <c r="X380" s="1420"/>
      <c r="Y380" s="1392"/>
      <c r="Z380" s="1265"/>
      <c r="AA380" s="1265"/>
      <c r="AB380" s="1366" t="s">
        <v>115</v>
      </c>
      <c r="AC380" s="1366">
        <v>4</v>
      </c>
      <c r="AD380" s="1381">
        <v>8.7600000000000011E-2</v>
      </c>
      <c r="AE380" s="1381">
        <v>7.640000000000001E-2</v>
      </c>
      <c r="AF380" s="1381">
        <v>4.4000000000000004E-2</v>
      </c>
      <c r="AG380" s="1381">
        <v>2.8000000000000004E-2</v>
      </c>
      <c r="AH380" s="1381">
        <v>2.4400000000000002E-2</v>
      </c>
      <c r="AI380" s="1381">
        <v>1.9600000000000003E-2</v>
      </c>
      <c r="AJ380" s="1381">
        <v>1.6E-2</v>
      </c>
      <c r="AK380" s="1381">
        <v>1.2E-2</v>
      </c>
      <c r="AL380" s="1381">
        <v>9.6000000000000009E-3</v>
      </c>
      <c r="AM380" s="1381">
        <v>8.0000000000000002E-3</v>
      </c>
      <c r="AN380" s="1280"/>
      <c r="AO380" s="1280"/>
      <c r="AP380" s="1367" t="s">
        <v>115</v>
      </c>
      <c r="AQ380" s="1367">
        <v>4</v>
      </c>
      <c r="AR380" s="1296">
        <v>8.0000000000000016E-2</v>
      </c>
      <c r="AS380" s="1296">
        <v>7.4400000000000008E-2</v>
      </c>
      <c r="AT380" s="1296">
        <v>6.480000000000001E-2</v>
      </c>
      <c r="AU380" s="1296">
        <v>3.7200000000000004E-2</v>
      </c>
      <c r="AV380" s="1296">
        <v>2.4400000000000002E-2</v>
      </c>
      <c r="AW380" s="1296">
        <v>2.12E-2</v>
      </c>
      <c r="AX380" s="1296">
        <v>1.7600000000000001E-2</v>
      </c>
      <c r="AY380" s="1296">
        <v>1.44E-2</v>
      </c>
      <c r="AZ380" s="1296">
        <v>1.0800000000000001E-2</v>
      </c>
      <c r="BA380" s="1296">
        <v>8.4000000000000012E-3</v>
      </c>
      <c r="BB380" s="1290"/>
      <c r="BC380" s="1290"/>
      <c r="BD380" s="1260" t="s">
        <v>115</v>
      </c>
      <c r="BE380" s="1260">
        <v>4</v>
      </c>
      <c r="BF380" s="204">
        <v>7.6439999999999994E-2</v>
      </c>
      <c r="BG380" s="204">
        <v>7.0980000000000001E-2</v>
      </c>
      <c r="BH380" s="204">
        <v>6.1739999999999996E-2</v>
      </c>
      <c r="BI380" s="204">
        <v>3.5700000000000003E-2</v>
      </c>
      <c r="BJ380" s="204">
        <v>2.3519999999999999E-2</v>
      </c>
      <c r="BK380" s="204">
        <v>2.0160000000000001E-2</v>
      </c>
      <c r="BL380" s="204">
        <v>1.6799999999999999E-2</v>
      </c>
      <c r="BM380" s="204">
        <v>1.3860000000000001E-2</v>
      </c>
      <c r="BN380" s="204">
        <v>1.0500000000000001E-2</v>
      </c>
      <c r="BO380" s="204">
        <v>8.3999999999999995E-3</v>
      </c>
      <c r="BP380" s="1246"/>
      <c r="BQ380" s="1246"/>
    </row>
    <row r="381" spans="14:69" ht="15.75" customHeight="1" x14ac:dyDescent="0.25">
      <c r="N381" s="1276" t="s">
        <v>116</v>
      </c>
      <c r="O381" s="1276">
        <v>5</v>
      </c>
      <c r="P381" s="1408">
        <f t="shared" si="30"/>
        <v>0.13600000000000001</v>
      </c>
      <c r="Q381" s="1408">
        <f t="shared" si="30"/>
        <v>0.11700000000000001</v>
      </c>
      <c r="R381" s="1408">
        <f t="shared" si="30"/>
        <v>7.0000000000000007E-2</v>
      </c>
      <c r="S381" s="1408">
        <f t="shared" si="30"/>
        <v>4.5999999999999999E-2</v>
      </c>
      <c r="T381" s="1408">
        <f t="shared" si="30"/>
        <v>3.9E-2</v>
      </c>
      <c r="U381" s="1408">
        <f t="shared" si="30"/>
        <v>3.1E-2</v>
      </c>
      <c r="V381" s="1408">
        <f t="shared" si="30"/>
        <v>2.4E-2</v>
      </c>
      <c r="W381" s="1408">
        <f t="shared" si="30"/>
        <v>1.7999999999999999E-2</v>
      </c>
      <c r="X381" s="1420"/>
      <c r="Y381" s="1392"/>
      <c r="Z381" s="1265"/>
      <c r="AA381" s="1265"/>
      <c r="AB381" s="1366" t="s">
        <v>116</v>
      </c>
      <c r="AC381" s="1366">
        <v>5</v>
      </c>
      <c r="AD381" s="1381">
        <v>9.4399999999999998E-2</v>
      </c>
      <c r="AE381" s="1381">
        <v>8.1200000000000008E-2</v>
      </c>
      <c r="AF381" s="1381">
        <v>4.8800000000000003E-2</v>
      </c>
      <c r="AG381" s="1381">
        <v>3.1600000000000003E-2</v>
      </c>
      <c r="AH381" s="1381">
        <v>2.7200000000000002E-2</v>
      </c>
      <c r="AI381" s="1381">
        <v>2.2400000000000003E-2</v>
      </c>
      <c r="AJ381" s="1381">
        <v>1.7600000000000001E-2</v>
      </c>
      <c r="AK381" s="1381">
        <v>1.3600000000000001E-2</v>
      </c>
      <c r="AL381" s="1381">
        <v>1.04E-2</v>
      </c>
      <c r="AM381" s="1381">
        <v>8.8000000000000005E-3</v>
      </c>
      <c r="AN381" s="1280"/>
      <c r="AO381" s="1280"/>
      <c r="AP381" s="1367" t="s">
        <v>116</v>
      </c>
      <c r="AQ381" s="1367">
        <v>5</v>
      </c>
      <c r="AR381" s="1296">
        <v>9.1600000000000015E-2</v>
      </c>
      <c r="AS381" s="1296">
        <v>8.0000000000000016E-2</v>
      </c>
      <c r="AT381" s="1296">
        <v>6.88E-2</v>
      </c>
      <c r="AU381" s="1296">
        <v>4.1200000000000001E-2</v>
      </c>
      <c r="AV381" s="1296">
        <v>2.7600000000000003E-2</v>
      </c>
      <c r="AW381" s="1296">
        <v>2.3599999999999999E-2</v>
      </c>
      <c r="AX381" s="1296">
        <v>2.0000000000000004E-2</v>
      </c>
      <c r="AY381" s="1296">
        <v>1.5600000000000001E-2</v>
      </c>
      <c r="AZ381" s="1296">
        <v>1.2E-2</v>
      </c>
      <c r="BA381" s="1296">
        <v>9.1999999999999998E-3</v>
      </c>
      <c r="BB381" s="1290"/>
      <c r="BC381" s="1290"/>
      <c r="BD381" s="1260" t="s">
        <v>116</v>
      </c>
      <c r="BE381" s="1260">
        <v>5</v>
      </c>
      <c r="BF381" s="204">
        <v>8.7359999999999993E-2</v>
      </c>
      <c r="BG381" s="204">
        <v>7.6439999999999994E-2</v>
      </c>
      <c r="BH381" s="204">
        <v>6.5519999999999995E-2</v>
      </c>
      <c r="BI381" s="204">
        <v>3.9480000000000001E-2</v>
      </c>
      <c r="BJ381" s="204">
        <v>2.6039999999999997E-2</v>
      </c>
      <c r="BK381" s="204">
        <v>2.2259999999999999E-2</v>
      </c>
      <c r="BL381" s="204">
        <v>1.932E-2</v>
      </c>
      <c r="BM381" s="204">
        <v>1.4700000000000001E-2</v>
      </c>
      <c r="BN381" s="204">
        <v>1.1339999999999999E-2</v>
      </c>
      <c r="BO381" s="204">
        <v>8.8199999999999997E-3</v>
      </c>
      <c r="BP381" s="1246"/>
      <c r="BQ381" s="1246"/>
    </row>
    <row r="382" spans="14:69" x14ac:dyDescent="0.25">
      <c r="N382" s="1271" t="s">
        <v>229</v>
      </c>
      <c r="O382" s="1271"/>
      <c r="P382" s="1271"/>
      <c r="Q382" s="1271"/>
      <c r="R382" s="1272"/>
      <c r="S382" s="1272"/>
      <c r="T382" s="1272"/>
      <c r="U382" s="1272"/>
      <c r="V382" s="1272"/>
      <c r="W382" s="1272"/>
      <c r="X382" s="1272"/>
      <c r="Y382" s="1272"/>
      <c r="Z382" s="1265"/>
      <c r="AA382" s="1265"/>
      <c r="AB382" s="1284" t="s">
        <v>229</v>
      </c>
      <c r="AC382" s="1284"/>
      <c r="AD382" s="1284"/>
      <c r="AE382" s="1284"/>
      <c r="AF382" s="1285"/>
      <c r="AG382" s="1285"/>
      <c r="AH382" s="1285"/>
      <c r="AI382" s="1285"/>
      <c r="AJ382" s="1285"/>
      <c r="AK382" s="1285"/>
      <c r="AL382" s="1285"/>
      <c r="AM382" s="1285"/>
      <c r="AN382" s="1280"/>
      <c r="AO382" s="1280"/>
      <c r="AP382" s="1294" t="s">
        <v>229</v>
      </c>
      <c r="AQ382" s="1294"/>
      <c r="AR382" s="1294"/>
      <c r="AS382" s="1294"/>
      <c r="AT382" s="1295"/>
      <c r="AU382" s="1295"/>
      <c r="AV382" s="1295"/>
      <c r="AW382" s="1295"/>
      <c r="AX382" s="1295"/>
      <c r="AY382" s="1295"/>
      <c r="AZ382" s="1295"/>
      <c r="BA382" s="1295"/>
      <c r="BB382" s="1290"/>
      <c r="BC382" s="1290"/>
      <c r="BD382" s="1250" t="s">
        <v>229</v>
      </c>
      <c r="BE382" s="1250"/>
      <c r="BF382" s="1250"/>
      <c r="BG382" s="1250"/>
      <c r="BH382" s="1251"/>
      <c r="BI382" s="1251"/>
      <c r="BJ382" s="1251"/>
      <c r="BK382" s="1251"/>
      <c r="BL382" s="1251"/>
      <c r="BM382" s="1251"/>
      <c r="BN382" s="1251"/>
      <c r="BO382" s="1251"/>
      <c r="BP382" s="1246"/>
      <c r="BQ382" s="1246"/>
    </row>
    <row r="383" spans="14:69" x14ac:dyDescent="0.25">
      <c r="N383" s="1944" t="s">
        <v>111</v>
      </c>
      <c r="O383" s="1276"/>
      <c r="P383" s="1276" t="s">
        <v>228</v>
      </c>
      <c r="Q383" s="1276"/>
      <c r="R383" s="1276"/>
      <c r="S383" s="1276"/>
      <c r="T383" s="1276"/>
      <c r="U383" s="1276"/>
      <c r="V383" s="1276"/>
      <c r="W383" s="1276"/>
      <c r="X383" s="1391"/>
      <c r="Y383" s="1391"/>
      <c r="Z383" s="1265"/>
      <c r="AA383" s="1265"/>
      <c r="AB383" s="1926" t="s">
        <v>111</v>
      </c>
      <c r="AC383" s="1366"/>
      <c r="AD383" s="1926" t="s">
        <v>228</v>
      </c>
      <c r="AE383" s="1926"/>
      <c r="AF383" s="1926"/>
      <c r="AG383" s="1926"/>
      <c r="AH383" s="1926"/>
      <c r="AI383" s="1926"/>
      <c r="AJ383" s="1926"/>
      <c r="AK383" s="1926"/>
      <c r="AL383" s="1926"/>
      <c r="AM383" s="1926"/>
      <c r="AN383" s="1280"/>
      <c r="AO383" s="1280"/>
      <c r="AP383" s="1927" t="s">
        <v>111</v>
      </c>
      <c r="AQ383" s="1367"/>
      <c r="AR383" s="1928" t="s">
        <v>228</v>
      </c>
      <c r="AS383" s="1928"/>
      <c r="AT383" s="1928"/>
      <c r="AU383" s="1928"/>
      <c r="AV383" s="1928"/>
      <c r="AW383" s="1928"/>
      <c r="AX383" s="1928"/>
      <c r="AY383" s="1928"/>
      <c r="AZ383" s="1928"/>
      <c r="BA383" s="1928"/>
      <c r="BB383" s="1290"/>
      <c r="BC383" s="1290"/>
      <c r="BD383" s="1929" t="s">
        <v>111</v>
      </c>
      <c r="BE383" s="1260"/>
      <c r="BF383" s="1930" t="s">
        <v>228</v>
      </c>
      <c r="BG383" s="1930"/>
      <c r="BH383" s="1930"/>
      <c r="BI383" s="1930"/>
      <c r="BJ383" s="1930"/>
      <c r="BK383" s="1930"/>
      <c r="BL383" s="1930"/>
      <c r="BM383" s="1930"/>
      <c r="BN383" s="1930"/>
      <c r="BO383" s="1930"/>
      <c r="BP383" s="1246"/>
      <c r="BQ383" s="1246"/>
    </row>
    <row r="384" spans="14:69" x14ac:dyDescent="0.25">
      <c r="N384" s="1944"/>
      <c r="O384" s="1276"/>
      <c r="P384" s="1407">
        <v>10</v>
      </c>
      <c r="Q384" s="1407">
        <v>20</v>
      </c>
      <c r="R384" s="1407">
        <v>50</v>
      </c>
      <c r="S384" s="1407">
        <v>100</v>
      </c>
      <c r="T384" s="1407">
        <v>200</v>
      </c>
      <c r="U384" s="1407">
        <v>500</v>
      </c>
      <c r="V384" s="1407">
        <v>1000</v>
      </c>
      <c r="W384" s="1407">
        <v>2000</v>
      </c>
      <c r="X384" s="1419"/>
      <c r="Y384" s="1373"/>
      <c r="Z384" s="1265"/>
      <c r="AA384" s="1265"/>
      <c r="AB384" s="1926"/>
      <c r="AC384" s="1366"/>
      <c r="AD384" s="1381">
        <v>10</v>
      </c>
      <c r="AE384" s="1381">
        <v>20</v>
      </c>
      <c r="AF384" s="1381">
        <v>50</v>
      </c>
      <c r="AG384" s="1381">
        <v>100</v>
      </c>
      <c r="AH384" s="1381">
        <v>200</v>
      </c>
      <c r="AI384" s="1381">
        <v>500</v>
      </c>
      <c r="AJ384" s="1381">
        <v>1000</v>
      </c>
      <c r="AK384" s="1381">
        <v>2000</v>
      </c>
      <c r="AL384" s="1381">
        <v>5000</v>
      </c>
      <c r="AM384" s="1381">
        <v>8000</v>
      </c>
      <c r="AN384" s="1280"/>
      <c r="AO384" s="1280"/>
      <c r="AP384" s="1927"/>
      <c r="AQ384" s="1367"/>
      <c r="AR384" s="1347">
        <v>7</v>
      </c>
      <c r="AS384" s="1347">
        <v>10</v>
      </c>
      <c r="AT384" s="1347">
        <v>20</v>
      </c>
      <c r="AU384" s="1347">
        <v>50</v>
      </c>
      <c r="AV384" s="1347">
        <v>100</v>
      </c>
      <c r="AW384" s="1347">
        <v>200</v>
      </c>
      <c r="AX384" s="1347">
        <v>500</v>
      </c>
      <c r="AY384" s="1347">
        <v>1000</v>
      </c>
      <c r="AZ384" s="1347">
        <v>2000</v>
      </c>
      <c r="BA384" s="1347">
        <v>5000</v>
      </c>
      <c r="BB384" s="1290"/>
      <c r="BC384" s="1290"/>
      <c r="BD384" s="1929"/>
      <c r="BE384" s="1260"/>
      <c r="BF384" s="203">
        <v>7</v>
      </c>
      <c r="BG384" s="203">
        <v>10</v>
      </c>
      <c r="BH384" s="203">
        <v>20</v>
      </c>
      <c r="BI384" s="203">
        <v>50</v>
      </c>
      <c r="BJ384" s="203">
        <v>100</v>
      </c>
      <c r="BK384" s="203">
        <v>200</v>
      </c>
      <c r="BL384" s="203">
        <v>500</v>
      </c>
      <c r="BM384" s="203">
        <v>1000</v>
      </c>
      <c r="BN384" s="203">
        <v>2000</v>
      </c>
      <c r="BO384" s="203">
        <v>5000</v>
      </c>
      <c r="BP384" s="1246"/>
      <c r="BQ384" s="1246"/>
    </row>
    <row r="385" spans="14:69" x14ac:dyDescent="0.25">
      <c r="N385" s="1276" t="s">
        <v>3661</v>
      </c>
      <c r="O385" s="1276">
        <v>1</v>
      </c>
      <c r="P385" s="1408">
        <f t="shared" ref="P385:W389" si="31">ROUND(P369*55%,3)</f>
        <v>0.20200000000000001</v>
      </c>
      <c r="Q385" s="1408">
        <f t="shared" si="31"/>
        <v>0.19</v>
      </c>
      <c r="R385" s="1408">
        <f t="shared" si="31"/>
        <v>0.1</v>
      </c>
      <c r="S385" s="1408">
        <f t="shared" si="31"/>
        <v>6.2E-2</v>
      </c>
      <c r="T385" s="1408">
        <f t="shared" si="31"/>
        <v>5.6000000000000001E-2</v>
      </c>
      <c r="U385" s="1408">
        <f t="shared" si="31"/>
        <v>4.4999999999999998E-2</v>
      </c>
      <c r="V385" s="1408">
        <f t="shared" si="31"/>
        <v>0.03</v>
      </c>
      <c r="W385" s="1408">
        <f t="shared" si="31"/>
        <v>2.4E-2</v>
      </c>
      <c r="X385" s="1420"/>
      <c r="Y385" s="1392"/>
      <c r="Z385" s="1265"/>
      <c r="AA385" s="1265"/>
      <c r="AB385" s="1366" t="s">
        <v>112</v>
      </c>
      <c r="AC385" s="1366">
        <v>1</v>
      </c>
      <c r="AD385" s="1381">
        <v>0.17219999999999999</v>
      </c>
      <c r="AE385" s="1381">
        <v>0.16200000000000001</v>
      </c>
      <c r="AF385" s="1381">
        <v>8.5199999999999984E-2</v>
      </c>
      <c r="AG385" s="1381">
        <v>5.3399999999999996E-2</v>
      </c>
      <c r="AH385" s="1381">
        <v>4.7399999999999998E-2</v>
      </c>
      <c r="AI385" s="1381">
        <v>3.9600000000000003E-2</v>
      </c>
      <c r="AJ385" s="1381">
        <v>2.7E-2</v>
      </c>
      <c r="AK385" s="1381">
        <v>2.1000000000000001E-2</v>
      </c>
      <c r="AL385" s="1381">
        <v>1.6199999999999999E-2</v>
      </c>
      <c r="AM385" s="1381">
        <v>1.38E-2</v>
      </c>
      <c r="AN385" s="1280"/>
      <c r="AO385" s="1280"/>
      <c r="AP385" s="1367" t="s">
        <v>112</v>
      </c>
      <c r="AQ385" s="1367">
        <v>1</v>
      </c>
      <c r="AR385" s="1296">
        <v>0.1542</v>
      </c>
      <c r="AS385" s="1296">
        <v>0.14579999999999999</v>
      </c>
      <c r="AT385" s="1296">
        <v>0.13739999999999999</v>
      </c>
      <c r="AU385" s="1296">
        <v>7.1999999999999995E-2</v>
      </c>
      <c r="AV385" s="1296">
        <v>4.6199999999999998E-2</v>
      </c>
      <c r="AW385" s="1296">
        <v>4.1399999999999999E-2</v>
      </c>
      <c r="AX385" s="1296">
        <v>3.5399999999999994E-2</v>
      </c>
      <c r="AY385" s="1296">
        <v>2.4E-2</v>
      </c>
      <c r="AZ385" s="1296">
        <v>1.8599999999999998E-2</v>
      </c>
      <c r="BA385" s="1296">
        <v>1.44E-2</v>
      </c>
      <c r="BB385" s="1290"/>
      <c r="BC385" s="1290"/>
      <c r="BD385" s="1260" t="s">
        <v>112</v>
      </c>
      <c r="BE385" s="1260">
        <v>1</v>
      </c>
      <c r="BF385" s="204">
        <v>0.13572000000000001</v>
      </c>
      <c r="BG385" s="204">
        <v>0.12817999999999999</v>
      </c>
      <c r="BH385" s="204">
        <v>0.12063999999999998</v>
      </c>
      <c r="BI385" s="204">
        <v>6.3219999999999998E-2</v>
      </c>
      <c r="BJ385" s="204">
        <v>4.0600000000000004E-2</v>
      </c>
      <c r="BK385" s="204">
        <v>3.5959999999999999E-2</v>
      </c>
      <c r="BL385" s="204">
        <v>3.0739999999999996E-2</v>
      </c>
      <c r="BM385" s="204">
        <v>2.0879999999999996E-2</v>
      </c>
      <c r="BN385" s="204">
        <v>1.6819999999999998E-2</v>
      </c>
      <c r="BO385" s="204">
        <v>1.2759999999999999E-2</v>
      </c>
      <c r="BP385" s="1246"/>
      <c r="BQ385" s="1246"/>
    </row>
    <row r="386" spans="14:69" x14ac:dyDescent="0.25">
      <c r="N386" s="1276" t="s">
        <v>113</v>
      </c>
      <c r="O386" s="1276">
        <v>2</v>
      </c>
      <c r="P386" s="1408">
        <f t="shared" si="31"/>
        <v>0.30199999999999999</v>
      </c>
      <c r="Q386" s="1408">
        <f t="shared" si="31"/>
        <v>0.27200000000000002</v>
      </c>
      <c r="R386" s="1408">
        <f t="shared" si="31"/>
        <v>0.154</v>
      </c>
      <c r="S386" s="1408">
        <f t="shared" si="31"/>
        <v>9.7000000000000003E-2</v>
      </c>
      <c r="T386" s="1408">
        <f t="shared" si="31"/>
        <v>8.4000000000000005E-2</v>
      </c>
      <c r="U386" s="1408">
        <f t="shared" si="31"/>
        <v>6.8000000000000005E-2</v>
      </c>
      <c r="V386" s="1408">
        <f t="shared" si="31"/>
        <v>4.5999999999999999E-2</v>
      </c>
      <c r="W386" s="1408">
        <f t="shared" si="31"/>
        <v>3.5999999999999997E-2</v>
      </c>
      <c r="X386" s="1420"/>
      <c r="Y386" s="1392"/>
      <c r="Z386" s="1265"/>
      <c r="AA386" s="1265"/>
      <c r="AB386" s="1366" t="s">
        <v>113</v>
      </c>
      <c r="AC386" s="1366">
        <v>2</v>
      </c>
      <c r="AD386" s="1381">
        <v>0.26339999999999997</v>
      </c>
      <c r="AE386" s="1381">
        <v>0.23699999999999999</v>
      </c>
      <c r="AF386" s="1381">
        <v>0.13439999999999999</v>
      </c>
      <c r="AG386" s="1381">
        <v>8.4599999999999995E-2</v>
      </c>
      <c r="AH386" s="1381">
        <v>7.3200000000000001E-2</v>
      </c>
      <c r="AI386" s="1381">
        <v>0.06</v>
      </c>
      <c r="AJ386" s="1381">
        <v>4.0800000000000003E-2</v>
      </c>
      <c r="AK386" s="1381">
        <v>3.2399999999999998E-2</v>
      </c>
      <c r="AL386" s="1381">
        <v>2.46E-2</v>
      </c>
      <c r="AM386" s="1381">
        <v>2.1599999999999998E-2</v>
      </c>
      <c r="AN386" s="1280"/>
      <c r="AO386" s="1280"/>
      <c r="AP386" s="1367" t="s">
        <v>113</v>
      </c>
      <c r="AQ386" s="1367">
        <v>2</v>
      </c>
      <c r="AR386" s="1296">
        <v>0.24539999999999998</v>
      </c>
      <c r="AS386" s="1296">
        <v>0.22319999999999998</v>
      </c>
      <c r="AT386" s="1296">
        <v>0.20100000000000001</v>
      </c>
      <c r="AU386" s="1296">
        <v>0.11399999999999999</v>
      </c>
      <c r="AV386" s="1296">
        <v>7.3799999999999991E-2</v>
      </c>
      <c r="AW386" s="1296">
        <v>6.359999999999999E-2</v>
      </c>
      <c r="AX386" s="1296">
        <v>5.3399999999999996E-2</v>
      </c>
      <c r="AY386" s="1296">
        <v>3.6600000000000001E-2</v>
      </c>
      <c r="AZ386" s="1296">
        <v>2.8799999999999999E-2</v>
      </c>
      <c r="BA386" s="1296">
        <v>2.2199999999999998E-2</v>
      </c>
      <c r="BB386" s="1290"/>
      <c r="BC386" s="1290"/>
      <c r="BD386" s="1260" t="s">
        <v>113</v>
      </c>
      <c r="BE386" s="1260">
        <v>2</v>
      </c>
      <c r="BF386" s="204">
        <v>0.21575999999999998</v>
      </c>
      <c r="BG386" s="204">
        <v>0.19603999999999999</v>
      </c>
      <c r="BH386" s="204">
        <v>0.17631999999999998</v>
      </c>
      <c r="BI386" s="204">
        <v>9.9759999999999988E-2</v>
      </c>
      <c r="BJ386" s="204">
        <v>6.495999999999999E-2</v>
      </c>
      <c r="BK386" s="204">
        <v>5.568E-2</v>
      </c>
      <c r="BL386" s="204">
        <v>4.6980000000000001E-2</v>
      </c>
      <c r="BM386" s="204">
        <v>3.2479999999999995E-2</v>
      </c>
      <c r="BN386" s="204">
        <v>2.5519999999999998E-2</v>
      </c>
      <c r="BO386" s="204">
        <v>1.9720000000000001E-2</v>
      </c>
      <c r="BP386" s="1246"/>
      <c r="BQ386" s="1246"/>
    </row>
    <row r="387" spans="14:69" x14ac:dyDescent="0.25">
      <c r="N387" s="1276" t="s">
        <v>114</v>
      </c>
      <c r="O387" s="1276">
        <v>3</v>
      </c>
      <c r="P387" s="1408">
        <f t="shared" si="31"/>
        <v>0.14399999999999999</v>
      </c>
      <c r="Q387" s="1408">
        <f t="shared" si="31"/>
        <v>0.127</v>
      </c>
      <c r="R387" s="1408">
        <f t="shared" si="31"/>
        <v>7.1999999999999995E-2</v>
      </c>
      <c r="S387" s="1408">
        <f t="shared" si="31"/>
        <v>4.5999999999999999E-2</v>
      </c>
      <c r="T387" s="1408">
        <f t="shared" si="31"/>
        <v>4.1000000000000002E-2</v>
      </c>
      <c r="U387" s="1408">
        <f t="shared" si="31"/>
        <v>3.1E-2</v>
      </c>
      <c r="V387" s="1408">
        <f t="shared" si="31"/>
        <v>2.1999999999999999E-2</v>
      </c>
      <c r="W387" s="1408">
        <f t="shared" si="31"/>
        <v>1.7999999999999999E-2</v>
      </c>
      <c r="X387" s="1420"/>
      <c r="Y387" s="1392"/>
      <c r="Z387" s="1265"/>
      <c r="AA387" s="1265"/>
      <c r="AB387" s="1366" t="s">
        <v>114</v>
      </c>
      <c r="AC387" s="1366">
        <v>3</v>
      </c>
      <c r="AD387" s="1381">
        <v>0.12239999999999998</v>
      </c>
      <c r="AE387" s="1381">
        <v>0.1074</v>
      </c>
      <c r="AF387" s="1381">
        <v>6.1799999999999994E-2</v>
      </c>
      <c r="AG387" s="1381">
        <v>3.9600000000000003E-2</v>
      </c>
      <c r="AH387" s="1381">
        <v>3.4799999999999998E-2</v>
      </c>
      <c r="AI387" s="1381">
        <v>2.76E-2</v>
      </c>
      <c r="AJ387" s="1381">
        <v>1.9199999999999998E-2</v>
      </c>
      <c r="AK387" s="1381">
        <v>1.5599999999999999E-2</v>
      </c>
      <c r="AL387" s="1381">
        <v>1.26E-2</v>
      </c>
      <c r="AM387" s="1381">
        <v>1.1399999999999999E-2</v>
      </c>
      <c r="AN387" s="1280"/>
      <c r="AO387" s="1280"/>
      <c r="AP387" s="1367" t="s">
        <v>114</v>
      </c>
      <c r="AQ387" s="1367">
        <v>3</v>
      </c>
      <c r="AR387" s="1296">
        <v>0.11219999999999999</v>
      </c>
      <c r="AS387" s="1296">
        <v>0.10379999999999999</v>
      </c>
      <c r="AT387" s="1296">
        <v>9.1199999999999989E-2</v>
      </c>
      <c r="AU387" s="1296">
        <v>5.2199999999999996E-2</v>
      </c>
      <c r="AV387" s="1296">
        <v>3.4200000000000001E-2</v>
      </c>
      <c r="AW387" s="1296">
        <v>0.03</v>
      </c>
      <c r="AX387" s="1296">
        <v>2.46E-2</v>
      </c>
      <c r="AY387" s="1296">
        <v>1.7399999999999999E-2</v>
      </c>
      <c r="AZ387" s="1296">
        <v>1.38E-2</v>
      </c>
      <c r="BA387" s="1296">
        <v>1.1399999999999999E-2</v>
      </c>
      <c r="BB387" s="1290"/>
      <c r="BC387" s="1290"/>
      <c r="BD387" s="1260" t="s">
        <v>114</v>
      </c>
      <c r="BE387" s="1260">
        <v>3</v>
      </c>
      <c r="BF387" s="204">
        <v>9.8600000000000007E-2</v>
      </c>
      <c r="BG387" s="204">
        <v>9.1059999999999988E-2</v>
      </c>
      <c r="BH387" s="204">
        <v>8.004E-2</v>
      </c>
      <c r="BI387" s="204">
        <v>4.582E-2</v>
      </c>
      <c r="BJ387" s="204">
        <v>3.0159999999999996E-2</v>
      </c>
      <c r="BK387" s="204">
        <v>2.6679999999999999E-2</v>
      </c>
      <c r="BL387" s="204">
        <v>2.2039999999999997E-2</v>
      </c>
      <c r="BM387" s="204">
        <v>1.5079999999999998E-2</v>
      </c>
      <c r="BN387" s="204">
        <v>1.218E-2</v>
      </c>
      <c r="BO387" s="204">
        <v>9.8600000000000007E-3</v>
      </c>
      <c r="BP387" s="1246"/>
      <c r="BQ387" s="1246"/>
    </row>
    <row r="388" spans="14:69" x14ac:dyDescent="0.25">
      <c r="N388" s="1276" t="s">
        <v>697</v>
      </c>
      <c r="O388" s="1276">
        <v>4</v>
      </c>
      <c r="P388" s="1408">
        <f t="shared" si="31"/>
        <v>0.155</v>
      </c>
      <c r="Q388" s="1408">
        <f t="shared" si="31"/>
        <v>0.13500000000000001</v>
      </c>
      <c r="R388" s="1408">
        <f t="shared" si="31"/>
        <v>7.6999999999999999E-2</v>
      </c>
      <c r="S388" s="1408">
        <f t="shared" si="31"/>
        <v>0.05</v>
      </c>
      <c r="T388" s="1408">
        <f t="shared" si="31"/>
        <v>4.2999999999999997E-2</v>
      </c>
      <c r="U388" s="1408">
        <f t="shared" si="31"/>
        <v>3.4000000000000002E-2</v>
      </c>
      <c r="V388" s="1408">
        <f t="shared" si="31"/>
        <v>2.8000000000000001E-2</v>
      </c>
      <c r="W388" s="1408">
        <f t="shared" si="31"/>
        <v>0.02</v>
      </c>
      <c r="X388" s="1420"/>
      <c r="Y388" s="1392"/>
      <c r="Z388" s="1265"/>
      <c r="AA388" s="1265"/>
      <c r="AB388" s="1366" t="s">
        <v>115</v>
      </c>
      <c r="AC388" s="1366">
        <v>4</v>
      </c>
      <c r="AD388" s="1381">
        <v>0.13139999999999999</v>
      </c>
      <c r="AE388" s="1381">
        <v>0.11459999999999999</v>
      </c>
      <c r="AF388" s="1381">
        <v>6.6000000000000003E-2</v>
      </c>
      <c r="AG388" s="1381">
        <v>4.2000000000000003E-2</v>
      </c>
      <c r="AH388" s="1381">
        <v>3.6600000000000001E-2</v>
      </c>
      <c r="AI388" s="1381">
        <v>2.9399999999999999E-2</v>
      </c>
      <c r="AJ388" s="1381">
        <v>2.4E-2</v>
      </c>
      <c r="AK388" s="1381">
        <v>1.7999999999999999E-2</v>
      </c>
      <c r="AL388" s="1381">
        <v>1.44E-2</v>
      </c>
      <c r="AM388" s="1381">
        <v>1.2E-2</v>
      </c>
      <c r="AN388" s="1280"/>
      <c r="AO388" s="1280"/>
      <c r="AP388" s="1367" t="s">
        <v>115</v>
      </c>
      <c r="AQ388" s="1367">
        <v>4</v>
      </c>
      <c r="AR388" s="1296">
        <v>0.12</v>
      </c>
      <c r="AS388" s="1296">
        <v>0.11159999999999999</v>
      </c>
      <c r="AT388" s="1296">
        <v>9.7199999999999995E-2</v>
      </c>
      <c r="AU388" s="1296">
        <v>5.5799999999999995E-2</v>
      </c>
      <c r="AV388" s="1296">
        <v>3.6600000000000001E-2</v>
      </c>
      <c r="AW388" s="1296">
        <v>3.1799999999999995E-2</v>
      </c>
      <c r="AX388" s="1296">
        <v>2.6399999999999996E-2</v>
      </c>
      <c r="AY388" s="1296">
        <v>2.1599999999999998E-2</v>
      </c>
      <c r="AZ388" s="1296">
        <v>1.6199999999999999E-2</v>
      </c>
      <c r="BA388" s="1296">
        <v>1.26E-2</v>
      </c>
      <c r="BB388" s="1290"/>
      <c r="BC388" s="1290"/>
      <c r="BD388" s="1260" t="s">
        <v>115</v>
      </c>
      <c r="BE388" s="1260">
        <v>4</v>
      </c>
      <c r="BF388" s="204">
        <v>0.10555999999999999</v>
      </c>
      <c r="BG388" s="204">
        <v>9.8019999999999996E-2</v>
      </c>
      <c r="BH388" s="204">
        <v>8.5259999999999989E-2</v>
      </c>
      <c r="BI388" s="204">
        <v>4.9300000000000004E-2</v>
      </c>
      <c r="BJ388" s="204">
        <v>3.2479999999999995E-2</v>
      </c>
      <c r="BK388" s="204">
        <v>2.784E-2</v>
      </c>
      <c r="BL388" s="204">
        <v>2.3199999999999998E-2</v>
      </c>
      <c r="BM388" s="204">
        <v>1.9140000000000001E-2</v>
      </c>
      <c r="BN388" s="204">
        <v>1.4499999999999999E-2</v>
      </c>
      <c r="BO388" s="204">
        <v>1.1599999999999999E-2</v>
      </c>
      <c r="BP388" s="1246"/>
      <c r="BQ388" s="1246"/>
    </row>
    <row r="389" spans="14:69" ht="15.75" customHeight="1" x14ac:dyDescent="0.25">
      <c r="N389" s="1276" t="s">
        <v>116</v>
      </c>
      <c r="O389" s="1276">
        <v>5</v>
      </c>
      <c r="P389" s="1408">
        <f t="shared" si="31"/>
        <v>0.16600000000000001</v>
      </c>
      <c r="Q389" s="1408">
        <f t="shared" si="31"/>
        <v>0.14299999999999999</v>
      </c>
      <c r="R389" s="1408">
        <f t="shared" si="31"/>
        <v>8.5999999999999993E-2</v>
      </c>
      <c r="S389" s="1408">
        <f t="shared" si="31"/>
        <v>5.6000000000000001E-2</v>
      </c>
      <c r="T389" s="1408">
        <f t="shared" si="31"/>
        <v>4.8000000000000001E-2</v>
      </c>
      <c r="U389" s="1408">
        <f t="shared" si="31"/>
        <v>3.7999999999999999E-2</v>
      </c>
      <c r="V389" s="1408">
        <f t="shared" si="31"/>
        <v>0.03</v>
      </c>
      <c r="W389" s="1408">
        <f t="shared" si="31"/>
        <v>2.3E-2</v>
      </c>
      <c r="X389" s="1420"/>
      <c r="Y389" s="1392"/>
      <c r="Z389" s="1265"/>
      <c r="AA389" s="1265"/>
      <c r="AB389" s="1366" t="s">
        <v>116</v>
      </c>
      <c r="AC389" s="1366">
        <v>5</v>
      </c>
      <c r="AD389" s="1381">
        <v>0.14159999999999998</v>
      </c>
      <c r="AE389" s="1381">
        <v>0.12180000000000001</v>
      </c>
      <c r="AF389" s="1381">
        <v>7.3200000000000001E-2</v>
      </c>
      <c r="AG389" s="1381">
        <v>4.7399999999999998E-2</v>
      </c>
      <c r="AH389" s="1381">
        <v>4.0800000000000003E-2</v>
      </c>
      <c r="AI389" s="1381">
        <v>3.3599999999999998E-2</v>
      </c>
      <c r="AJ389" s="1381">
        <v>2.6399999999999996E-2</v>
      </c>
      <c r="AK389" s="1381">
        <v>2.0400000000000001E-2</v>
      </c>
      <c r="AL389" s="1381">
        <v>1.5599999999999999E-2</v>
      </c>
      <c r="AM389" s="1381">
        <v>1.3199999999999998E-2</v>
      </c>
      <c r="AN389" s="1280"/>
      <c r="AO389" s="1280"/>
      <c r="AP389" s="1367" t="s">
        <v>116</v>
      </c>
      <c r="AQ389" s="1367">
        <v>5</v>
      </c>
      <c r="AR389" s="1296">
        <v>0.13739999999999999</v>
      </c>
      <c r="AS389" s="1296">
        <v>0.12</v>
      </c>
      <c r="AT389" s="1296">
        <v>0.10319999999999999</v>
      </c>
      <c r="AU389" s="1296">
        <v>6.1799999999999994E-2</v>
      </c>
      <c r="AV389" s="1296">
        <v>4.1399999999999999E-2</v>
      </c>
      <c r="AW389" s="1296">
        <v>3.5399999999999994E-2</v>
      </c>
      <c r="AX389" s="1296">
        <v>0.03</v>
      </c>
      <c r="AY389" s="1296">
        <v>2.3400000000000001E-2</v>
      </c>
      <c r="AZ389" s="1296">
        <v>1.7999999999999999E-2</v>
      </c>
      <c r="BA389" s="1296">
        <v>1.38E-2</v>
      </c>
      <c r="BB389" s="1290"/>
      <c r="BC389" s="1290"/>
      <c r="BD389" s="1260" t="s">
        <v>116</v>
      </c>
      <c r="BE389" s="1260">
        <v>5</v>
      </c>
      <c r="BF389" s="204">
        <v>0.12063999999999998</v>
      </c>
      <c r="BG389" s="204">
        <v>0.10555999999999999</v>
      </c>
      <c r="BH389" s="204">
        <v>9.0479999999999991E-2</v>
      </c>
      <c r="BI389" s="204">
        <v>5.4519999999999999E-2</v>
      </c>
      <c r="BJ389" s="204">
        <v>3.5959999999999999E-2</v>
      </c>
      <c r="BK389" s="204">
        <v>3.0739999999999996E-2</v>
      </c>
      <c r="BL389" s="204">
        <v>2.6679999999999999E-2</v>
      </c>
      <c r="BM389" s="204">
        <v>2.0300000000000002E-2</v>
      </c>
      <c r="BN389" s="204">
        <v>1.566E-2</v>
      </c>
      <c r="BO389" s="204">
        <v>1.218E-2</v>
      </c>
      <c r="BP389" s="1246"/>
      <c r="BQ389" s="1246"/>
    </row>
    <row r="390" spans="14:69" x14ac:dyDescent="0.25">
      <c r="N390" s="1271" t="s">
        <v>230</v>
      </c>
      <c r="O390" s="1271"/>
      <c r="P390" s="1271"/>
      <c r="Q390" s="1271"/>
      <c r="R390" s="1272"/>
      <c r="S390" s="1272"/>
      <c r="T390" s="1272"/>
      <c r="U390" s="1272"/>
      <c r="V390" s="1272"/>
      <c r="W390" s="1272"/>
      <c r="X390" s="1272"/>
      <c r="Y390" s="1272"/>
      <c r="Z390" s="1265"/>
      <c r="AA390" s="1265"/>
      <c r="AB390" s="1284" t="s">
        <v>230</v>
      </c>
      <c r="AC390" s="1284"/>
      <c r="AD390" s="1284"/>
      <c r="AE390" s="1284"/>
      <c r="AF390" s="1285"/>
      <c r="AG390" s="1285"/>
      <c r="AH390" s="1285"/>
      <c r="AI390" s="1285"/>
      <c r="AJ390" s="1285"/>
      <c r="AK390" s="1285"/>
      <c r="AL390" s="1285"/>
      <c r="AM390" s="1285"/>
      <c r="AN390" s="1280"/>
      <c r="AO390" s="1280"/>
      <c r="AP390" s="1294" t="s">
        <v>230</v>
      </c>
      <c r="AQ390" s="1294"/>
      <c r="AR390" s="1294"/>
      <c r="AS390" s="1294"/>
      <c r="AT390" s="1295"/>
      <c r="AU390" s="1295"/>
      <c r="AV390" s="1295"/>
      <c r="AW390" s="1295"/>
      <c r="AX390" s="1295"/>
      <c r="AY390" s="1295"/>
      <c r="AZ390" s="1295"/>
      <c r="BA390" s="1295"/>
      <c r="BB390" s="1290"/>
      <c r="BC390" s="1290"/>
      <c r="BD390" s="1250" t="s">
        <v>230</v>
      </c>
      <c r="BE390" s="1250"/>
      <c r="BF390" s="1250"/>
      <c r="BG390" s="1250"/>
      <c r="BH390" s="1251"/>
      <c r="BI390" s="1251"/>
      <c r="BJ390" s="1251"/>
      <c r="BK390" s="1251"/>
      <c r="BL390" s="1251"/>
      <c r="BM390" s="1251"/>
      <c r="BN390" s="1251"/>
      <c r="BO390" s="1251"/>
      <c r="BP390" s="1246"/>
      <c r="BQ390" s="1246"/>
    </row>
    <row r="391" spans="14:69" x14ac:dyDescent="0.25">
      <c r="N391" s="1944" t="s">
        <v>111</v>
      </c>
      <c r="O391" s="1276"/>
      <c r="P391" s="1945" t="s">
        <v>219</v>
      </c>
      <c r="Q391" s="1946"/>
      <c r="R391" s="1946"/>
      <c r="S391" s="1946"/>
      <c r="T391" s="1946"/>
      <c r="U391" s="1946"/>
      <c r="V391" s="1946"/>
      <c r="W391" s="1946"/>
      <c r="X391" s="1946"/>
      <c r="Y391" s="1946"/>
      <c r="Z391" s="1947"/>
      <c r="AA391" s="1265"/>
      <c r="AB391" s="1926" t="s">
        <v>111</v>
      </c>
      <c r="AC391" s="1366"/>
      <c r="AD391" s="1926" t="s">
        <v>219</v>
      </c>
      <c r="AE391" s="1926"/>
      <c r="AF391" s="1926"/>
      <c r="AG391" s="1926"/>
      <c r="AH391" s="1926"/>
      <c r="AI391" s="1926"/>
      <c r="AJ391" s="1926"/>
      <c r="AK391" s="1926"/>
      <c r="AL391" s="1926"/>
      <c r="AM391" s="1926"/>
      <c r="AN391" s="1280"/>
      <c r="AO391" s="1280"/>
      <c r="AP391" s="1927" t="s">
        <v>111</v>
      </c>
      <c r="AQ391" s="1367"/>
      <c r="AR391" s="1928" t="s">
        <v>219</v>
      </c>
      <c r="AS391" s="1928"/>
      <c r="AT391" s="1928"/>
      <c r="AU391" s="1928"/>
      <c r="AV391" s="1928"/>
      <c r="AW391" s="1928"/>
      <c r="AX391" s="1928"/>
      <c r="AY391" s="1928"/>
      <c r="AZ391" s="1928"/>
      <c r="BA391" s="1928"/>
      <c r="BB391" s="1290"/>
      <c r="BC391" s="1290"/>
      <c r="BD391" s="1929" t="s">
        <v>111</v>
      </c>
      <c r="BE391" s="1260"/>
      <c r="BF391" s="1930" t="s">
        <v>219</v>
      </c>
      <c r="BG391" s="1930"/>
      <c r="BH391" s="1930"/>
      <c r="BI391" s="1930"/>
      <c r="BJ391" s="1930"/>
      <c r="BK391" s="1930"/>
      <c r="BL391" s="1930"/>
      <c r="BM391" s="1930"/>
      <c r="BN391" s="1930"/>
      <c r="BO391" s="1930"/>
      <c r="BP391" s="1246"/>
      <c r="BQ391" s="1246"/>
    </row>
    <row r="392" spans="14:69" x14ac:dyDescent="0.25">
      <c r="N392" s="1944"/>
      <c r="O392" s="1276"/>
      <c r="P392" s="1407">
        <v>10</v>
      </c>
      <c r="Q392" s="1407">
        <v>20</v>
      </c>
      <c r="R392" s="1407">
        <v>50</v>
      </c>
      <c r="S392" s="1407">
        <v>100</v>
      </c>
      <c r="T392" s="1407">
        <v>200</v>
      </c>
      <c r="U392" s="1407">
        <v>500</v>
      </c>
      <c r="V392" s="1407">
        <v>1000</v>
      </c>
      <c r="W392" s="1407">
        <v>2000</v>
      </c>
      <c r="X392" s="1407">
        <v>5000</v>
      </c>
      <c r="Y392" s="1407">
        <v>8000</v>
      </c>
      <c r="Z392" s="1407">
        <v>10000</v>
      </c>
      <c r="AA392" s="1265"/>
      <c r="AB392" s="1926"/>
      <c r="AC392" s="1366"/>
      <c r="AD392" s="1381">
        <v>10</v>
      </c>
      <c r="AE392" s="1381">
        <v>20</v>
      </c>
      <c r="AF392" s="1381">
        <v>50</v>
      </c>
      <c r="AG392" s="1381">
        <v>100</v>
      </c>
      <c r="AH392" s="1381">
        <v>200</v>
      </c>
      <c r="AI392" s="1381">
        <v>500</v>
      </c>
      <c r="AJ392" s="1381">
        <v>1000</v>
      </c>
      <c r="AK392" s="1381">
        <v>2000</v>
      </c>
      <c r="AL392" s="1381">
        <v>5000</v>
      </c>
      <c r="AM392" s="1381">
        <v>8000</v>
      </c>
      <c r="AN392" s="1280"/>
      <c r="AO392" s="1280"/>
      <c r="AP392" s="1927"/>
      <c r="AQ392" s="1367"/>
      <c r="AR392" s="1347">
        <v>7</v>
      </c>
      <c r="AS392" s="1347">
        <v>10</v>
      </c>
      <c r="AT392" s="1347">
        <v>20</v>
      </c>
      <c r="AU392" s="1347">
        <v>50</v>
      </c>
      <c r="AV392" s="1347">
        <v>100</v>
      </c>
      <c r="AW392" s="1347">
        <v>200</v>
      </c>
      <c r="AX392" s="1347">
        <v>500</v>
      </c>
      <c r="AY392" s="1347">
        <v>1000</v>
      </c>
      <c r="AZ392" s="1347">
        <v>2000</v>
      </c>
      <c r="BA392" s="1347">
        <v>5000</v>
      </c>
      <c r="BB392" s="1290"/>
      <c r="BC392" s="1290"/>
      <c r="BD392" s="1929"/>
      <c r="BE392" s="1260"/>
      <c r="BF392" s="203">
        <v>7</v>
      </c>
      <c r="BG392" s="203">
        <v>10</v>
      </c>
      <c r="BH392" s="203">
        <v>20</v>
      </c>
      <c r="BI392" s="203">
        <v>50</v>
      </c>
      <c r="BJ392" s="203">
        <v>100</v>
      </c>
      <c r="BK392" s="203">
        <v>200</v>
      </c>
      <c r="BL392" s="203">
        <v>500</v>
      </c>
      <c r="BM392" s="203">
        <v>1000</v>
      </c>
      <c r="BN392" s="203">
        <v>2000</v>
      </c>
      <c r="BO392" s="203">
        <v>5000</v>
      </c>
      <c r="BP392" s="1246"/>
      <c r="BQ392" s="1246"/>
    </row>
    <row r="393" spans="14:69" x14ac:dyDescent="0.25">
      <c r="N393" s="1276" t="s">
        <v>3661</v>
      </c>
      <c r="O393" s="1276">
        <v>1</v>
      </c>
      <c r="P393" s="1408">
        <v>3.2850000000000001</v>
      </c>
      <c r="Q393" s="1408">
        <v>2.8530000000000002</v>
      </c>
      <c r="R393" s="1408">
        <v>2.4350000000000001</v>
      </c>
      <c r="S393" s="1408">
        <v>1.845</v>
      </c>
      <c r="T393" s="1408">
        <v>1.546</v>
      </c>
      <c r="U393" s="1408">
        <v>1.1879999999999999</v>
      </c>
      <c r="V393" s="1408">
        <v>0.79700000000000004</v>
      </c>
      <c r="W393" s="1408">
        <v>0.69399999999999995</v>
      </c>
      <c r="X393" s="1408">
        <v>0.62</v>
      </c>
      <c r="Y393" s="1408">
        <v>0.53</v>
      </c>
      <c r="Z393" s="1408">
        <v>0.47799999999999998</v>
      </c>
      <c r="AA393" s="1265"/>
      <c r="AB393" s="1366" t="s">
        <v>112</v>
      </c>
      <c r="AC393" s="1366">
        <v>1</v>
      </c>
      <c r="AD393" s="1381">
        <v>2.6280000000000001</v>
      </c>
      <c r="AE393" s="1381">
        <v>2.282</v>
      </c>
      <c r="AF393" s="1381">
        <v>1.948</v>
      </c>
      <c r="AG393" s="1381">
        <v>1.512</v>
      </c>
      <c r="AH393" s="1381">
        <v>1.2669999999999999</v>
      </c>
      <c r="AI393" s="1381">
        <v>0.97399999999999998</v>
      </c>
      <c r="AJ393" s="1381">
        <v>0.65300000000000002</v>
      </c>
      <c r="AK393" s="1381">
        <v>0.58899999999999997</v>
      </c>
      <c r="AL393" s="1381">
        <v>0.52900000000000003</v>
      </c>
      <c r="AM393" s="1381">
        <v>0.46</v>
      </c>
      <c r="AN393" s="1280"/>
      <c r="AO393" s="1280"/>
      <c r="AP393" s="1367" t="s">
        <v>112</v>
      </c>
      <c r="AQ393" s="1367">
        <v>1</v>
      </c>
      <c r="AR393" s="1296">
        <v>2.3959999999999999</v>
      </c>
      <c r="AS393" s="1296">
        <v>2.2269999999999999</v>
      </c>
      <c r="AT393" s="1296">
        <v>1.9339999999999999</v>
      </c>
      <c r="AU393" s="1296">
        <v>1.651</v>
      </c>
      <c r="AV393" s="1296">
        <v>1.3149999999999999</v>
      </c>
      <c r="AW393" s="1296">
        <v>1.1020000000000001</v>
      </c>
      <c r="AX393" s="1296">
        <v>0.84699999999999998</v>
      </c>
      <c r="AY393" s="1296">
        <v>0.59399999999999997</v>
      </c>
      <c r="AZ393" s="1296">
        <v>0.53500000000000003</v>
      </c>
      <c r="BA393" s="1296">
        <v>0.48099999999999998</v>
      </c>
      <c r="BB393" s="1290"/>
      <c r="BC393" s="1290"/>
      <c r="BD393" s="1260" t="s">
        <v>112</v>
      </c>
      <c r="BE393" s="1260">
        <v>1</v>
      </c>
      <c r="BF393" s="204">
        <v>1.9970000000000001</v>
      </c>
      <c r="BG393" s="204">
        <v>1.8560000000000001</v>
      </c>
      <c r="BH393" s="204">
        <v>1.6120000000000001</v>
      </c>
      <c r="BI393" s="204">
        <v>1.3759999999999999</v>
      </c>
      <c r="BJ393" s="204">
        <v>1.0960000000000001</v>
      </c>
      <c r="BK393" s="204">
        <v>0.91800000000000004</v>
      </c>
      <c r="BL393" s="204">
        <v>0.70599999999999996</v>
      </c>
      <c r="BM393" s="204">
        <v>0.495</v>
      </c>
      <c r="BN393" s="204">
        <v>0.44600000000000001</v>
      </c>
      <c r="BO393" s="204">
        <v>0.40100000000000002</v>
      </c>
      <c r="BP393" s="1246"/>
      <c r="BQ393" s="1246"/>
    </row>
    <row r="394" spans="14:69" x14ac:dyDescent="0.25">
      <c r="N394" s="1276" t="s">
        <v>113</v>
      </c>
      <c r="O394" s="1276">
        <v>2</v>
      </c>
      <c r="P394" s="1408">
        <v>3.508</v>
      </c>
      <c r="Q394" s="1408">
        <v>3.137</v>
      </c>
      <c r="R394" s="1408">
        <v>2.5590000000000002</v>
      </c>
      <c r="S394" s="1408">
        <v>2.0739999999999998</v>
      </c>
      <c r="T394" s="1408">
        <v>1.6040000000000001</v>
      </c>
      <c r="U394" s="1408">
        <v>1.3009999999999999</v>
      </c>
      <c r="V394" s="1408">
        <v>0.82299999999999995</v>
      </c>
      <c r="W394" s="1408">
        <v>0.71599999999999997</v>
      </c>
      <c r="X394" s="1408">
        <v>0.64</v>
      </c>
      <c r="Y394" s="1408">
        <v>0.55000000000000004</v>
      </c>
      <c r="Z394" s="1408">
        <v>0.49299999999999999</v>
      </c>
      <c r="AA394" s="1265"/>
      <c r="AB394" s="1366" t="s">
        <v>113</v>
      </c>
      <c r="AC394" s="1366">
        <v>2</v>
      </c>
      <c r="AD394" s="1381">
        <v>2.806</v>
      </c>
      <c r="AE394" s="1381">
        <v>2.5099999999999998</v>
      </c>
      <c r="AF394" s="1381">
        <v>2.0470000000000002</v>
      </c>
      <c r="AG394" s="1381">
        <v>1.7</v>
      </c>
      <c r="AH394" s="1381">
        <v>1.3140000000000001</v>
      </c>
      <c r="AI394" s="1381">
        <v>1.0660000000000001</v>
      </c>
      <c r="AJ394" s="1381">
        <v>0.67400000000000004</v>
      </c>
      <c r="AK394" s="1381">
        <v>0.60699999999999998</v>
      </c>
      <c r="AL394" s="1381">
        <v>0.54600000000000004</v>
      </c>
      <c r="AM394" s="1381">
        <v>0.47399999999999998</v>
      </c>
      <c r="AN394" s="1280"/>
      <c r="AO394" s="1280"/>
      <c r="AP394" s="1367" t="s">
        <v>113</v>
      </c>
      <c r="AQ394" s="1367">
        <v>2</v>
      </c>
      <c r="AR394" s="1296">
        <v>2.431</v>
      </c>
      <c r="AS394" s="1296">
        <v>2.3780000000000001</v>
      </c>
      <c r="AT394" s="1296">
        <v>2.1269999999999998</v>
      </c>
      <c r="AU394" s="1296">
        <v>1.7350000000000001</v>
      </c>
      <c r="AV394" s="1296">
        <v>1.478</v>
      </c>
      <c r="AW394" s="1296">
        <v>1.143</v>
      </c>
      <c r="AX394" s="1296">
        <v>0.92700000000000005</v>
      </c>
      <c r="AY394" s="1296">
        <v>0.61299999999999999</v>
      </c>
      <c r="AZ394" s="1296">
        <v>0.55200000000000005</v>
      </c>
      <c r="BA394" s="1296">
        <v>0.496</v>
      </c>
      <c r="BB394" s="1290"/>
      <c r="BC394" s="1290"/>
      <c r="BD394" s="1260" t="s">
        <v>113</v>
      </c>
      <c r="BE394" s="1260">
        <v>2</v>
      </c>
      <c r="BF394" s="204">
        <v>2.1139999999999999</v>
      </c>
      <c r="BG394" s="204">
        <v>1.8939999999999999</v>
      </c>
      <c r="BH394" s="204">
        <v>1.6759999999999999</v>
      </c>
      <c r="BI394" s="204">
        <v>1.4219999999999999</v>
      </c>
      <c r="BJ394" s="204">
        <v>1.111</v>
      </c>
      <c r="BK394" s="204">
        <v>0.99399999999999999</v>
      </c>
      <c r="BL394" s="204">
        <v>0.80600000000000005</v>
      </c>
      <c r="BM394" s="204">
        <v>0.53300000000000003</v>
      </c>
      <c r="BN394" s="204">
        <v>0.48</v>
      </c>
      <c r="BO394" s="204">
        <v>0.432</v>
      </c>
      <c r="BP394" s="1246"/>
      <c r="BQ394" s="1246"/>
    </row>
    <row r="395" spans="14:69" x14ac:dyDescent="0.25">
      <c r="N395" s="1276" t="s">
        <v>114</v>
      </c>
      <c r="O395" s="1276">
        <v>3</v>
      </c>
      <c r="P395" s="1408">
        <v>3.2029999999999998</v>
      </c>
      <c r="Q395" s="1408">
        <v>2.7</v>
      </c>
      <c r="R395" s="1408">
        <v>2.3559999999999999</v>
      </c>
      <c r="S395" s="1408">
        <v>1.714</v>
      </c>
      <c r="T395" s="1408">
        <v>1.272</v>
      </c>
      <c r="U395" s="1408">
        <v>1.0029999999999999</v>
      </c>
      <c r="V395" s="1408">
        <v>0.73099999999999998</v>
      </c>
      <c r="W395" s="1408">
        <v>0.63600000000000001</v>
      </c>
      <c r="X395" s="1408">
        <v>0.55000000000000004</v>
      </c>
      <c r="Y395" s="1408">
        <v>0.48</v>
      </c>
      <c r="Z395" s="1408">
        <v>0.438</v>
      </c>
      <c r="AA395" s="1265"/>
      <c r="AB395" s="1366" t="s">
        <v>114</v>
      </c>
      <c r="AC395" s="1366">
        <v>3</v>
      </c>
      <c r="AD395" s="1381">
        <v>2.5619999999999998</v>
      </c>
      <c r="AE395" s="1381">
        <v>2.16</v>
      </c>
      <c r="AF395" s="1381">
        <v>1.885</v>
      </c>
      <c r="AG395" s="1381">
        <v>1.405</v>
      </c>
      <c r="AH395" s="1381">
        <v>1.0429999999999999</v>
      </c>
      <c r="AI395" s="1381">
        <v>0.82199999999999995</v>
      </c>
      <c r="AJ395" s="1381">
        <v>0.59899999999999998</v>
      </c>
      <c r="AK395" s="1381">
        <v>0.53900000000000003</v>
      </c>
      <c r="AL395" s="1381">
        <v>0.48499999999999999</v>
      </c>
      <c r="AM395" s="1381">
        <v>0.42199999999999999</v>
      </c>
      <c r="AN395" s="1280"/>
      <c r="AO395" s="1280"/>
      <c r="AP395" s="1367" t="s">
        <v>114</v>
      </c>
      <c r="AQ395" s="1367">
        <v>3</v>
      </c>
      <c r="AR395" s="1296">
        <v>2.3690000000000002</v>
      </c>
      <c r="AS395" s="1296">
        <v>2.1</v>
      </c>
      <c r="AT395" s="1296">
        <v>1.728</v>
      </c>
      <c r="AU395" s="1296">
        <v>1.639</v>
      </c>
      <c r="AV395" s="1296">
        <v>1.171</v>
      </c>
      <c r="AW395" s="1296">
        <v>0.86899999999999999</v>
      </c>
      <c r="AX395" s="1296">
        <v>0.68500000000000005</v>
      </c>
      <c r="AY395" s="1296">
        <v>0.52100000000000002</v>
      </c>
      <c r="AZ395" s="1296">
        <v>0.46899999999999997</v>
      </c>
      <c r="BA395" s="1296">
        <v>0.42199999999999999</v>
      </c>
      <c r="BB395" s="1290"/>
      <c r="BC395" s="1290"/>
      <c r="BD395" s="1260" t="s">
        <v>114</v>
      </c>
      <c r="BE395" s="1260">
        <v>3</v>
      </c>
      <c r="BF395" s="204">
        <v>1.974</v>
      </c>
      <c r="BG395" s="204">
        <v>1.75</v>
      </c>
      <c r="BH395" s="204">
        <v>1.44</v>
      </c>
      <c r="BI395" s="204">
        <v>1.266</v>
      </c>
      <c r="BJ395" s="204">
        <v>0.97599999999999998</v>
      </c>
      <c r="BK395" s="204">
        <v>0.72399999999999998</v>
      </c>
      <c r="BL395" s="204">
        <v>0.57099999999999995</v>
      </c>
      <c r="BM395" s="204">
        <v>0.434</v>
      </c>
      <c r="BN395" s="204">
        <v>0.39100000000000001</v>
      </c>
      <c r="BO395" s="204">
        <v>0.35199999999999998</v>
      </c>
      <c r="BP395" s="1246"/>
      <c r="BQ395" s="1246"/>
    </row>
    <row r="396" spans="14:69" x14ac:dyDescent="0.25">
      <c r="N396" s="1276" t="s">
        <v>697</v>
      </c>
      <c r="O396" s="1276">
        <v>4</v>
      </c>
      <c r="P396" s="1408">
        <v>2.5979999999999999</v>
      </c>
      <c r="Q396" s="1408">
        <v>2.2919999999999998</v>
      </c>
      <c r="R396" s="1408">
        <v>2.0750000000000002</v>
      </c>
      <c r="S396" s="1408">
        <v>1.5449999999999999</v>
      </c>
      <c r="T396" s="1408">
        <v>1.1890000000000001</v>
      </c>
      <c r="U396" s="1408">
        <v>0.95</v>
      </c>
      <c r="V396" s="1408">
        <v>0.63100000000000001</v>
      </c>
      <c r="W396" s="1408">
        <v>0.55000000000000004</v>
      </c>
      <c r="X396" s="1408">
        <v>0.49</v>
      </c>
      <c r="Y396" s="1408">
        <v>0.42</v>
      </c>
      <c r="Z396" s="1408">
        <v>0.378</v>
      </c>
      <c r="AA396" s="1265"/>
      <c r="AB396" s="1366" t="s">
        <v>115</v>
      </c>
      <c r="AC396" s="1366">
        <v>4</v>
      </c>
      <c r="AD396" s="1381">
        <v>2.0790000000000002</v>
      </c>
      <c r="AE396" s="1381">
        <v>1.8340000000000001</v>
      </c>
      <c r="AF396" s="1381">
        <v>1.66</v>
      </c>
      <c r="AG396" s="1381">
        <v>1.266</v>
      </c>
      <c r="AH396" s="1381">
        <v>0.97399999999999998</v>
      </c>
      <c r="AI396" s="1381">
        <v>0.77900000000000003</v>
      </c>
      <c r="AJ396" s="1381">
        <v>0.51800000000000002</v>
      </c>
      <c r="AK396" s="1381">
        <v>0.46600000000000003</v>
      </c>
      <c r="AL396" s="1381">
        <v>0.41899999999999998</v>
      </c>
      <c r="AM396" s="1381">
        <v>0.36399999999999999</v>
      </c>
      <c r="AN396" s="1280"/>
      <c r="AO396" s="1280"/>
      <c r="AP396" s="1367" t="s">
        <v>115</v>
      </c>
      <c r="AQ396" s="1367">
        <v>4</v>
      </c>
      <c r="AR396" s="1296">
        <v>2.0470000000000002</v>
      </c>
      <c r="AS396" s="1296">
        <v>1.663</v>
      </c>
      <c r="AT396" s="1296">
        <v>1.4670000000000001</v>
      </c>
      <c r="AU396" s="1296">
        <v>1.3280000000000001</v>
      </c>
      <c r="AV396" s="1296">
        <v>1.0549999999999999</v>
      </c>
      <c r="AW396" s="1296">
        <v>0.81200000000000006</v>
      </c>
      <c r="AX396" s="1296">
        <v>0.64900000000000002</v>
      </c>
      <c r="AY396" s="1296">
        <v>0.45</v>
      </c>
      <c r="AZ396" s="1296">
        <v>0.40500000000000003</v>
      </c>
      <c r="BA396" s="1296">
        <v>0.36399999999999999</v>
      </c>
      <c r="BB396" s="1290"/>
      <c r="BC396" s="1290"/>
      <c r="BD396" s="1260" t="s">
        <v>115</v>
      </c>
      <c r="BE396" s="1260">
        <v>4</v>
      </c>
      <c r="BF396" s="204">
        <v>1.78</v>
      </c>
      <c r="BG396" s="204">
        <v>1.446</v>
      </c>
      <c r="BH396" s="204">
        <v>1.276</v>
      </c>
      <c r="BI396" s="204">
        <v>1.155</v>
      </c>
      <c r="BJ396" s="204">
        <v>0.91700000000000004</v>
      </c>
      <c r="BK396" s="204">
        <v>0.70599999999999996</v>
      </c>
      <c r="BL396" s="204">
        <v>0.56399999999999995</v>
      </c>
      <c r="BM396" s="204">
        <v>0.39100000000000001</v>
      </c>
      <c r="BN396" s="204">
        <v>0.35199999999999998</v>
      </c>
      <c r="BO396" s="204">
        <v>0.317</v>
      </c>
      <c r="BP396" s="1246"/>
      <c r="BQ396" s="1246"/>
    </row>
    <row r="397" spans="14:69" ht="15.75" customHeight="1" x14ac:dyDescent="0.25">
      <c r="N397" s="1276" t="s">
        <v>116</v>
      </c>
      <c r="O397" s="1276">
        <v>5</v>
      </c>
      <c r="P397" s="1408">
        <v>2.5659999999999998</v>
      </c>
      <c r="Q397" s="1408">
        <v>2.2559999999999998</v>
      </c>
      <c r="R397" s="1408">
        <v>1.984</v>
      </c>
      <c r="S397" s="1408">
        <v>1.4610000000000001</v>
      </c>
      <c r="T397" s="1408">
        <v>1.1419999999999999</v>
      </c>
      <c r="U397" s="1408">
        <v>0.91200000000000003</v>
      </c>
      <c r="V397" s="1408">
        <v>0.58399999999999996</v>
      </c>
      <c r="W397" s="1408">
        <v>0.50900000000000001</v>
      </c>
      <c r="X397" s="1408">
        <v>0.45200000000000001</v>
      </c>
      <c r="Y397" s="1408">
        <v>0.39</v>
      </c>
      <c r="Z397" s="1408">
        <v>0.35</v>
      </c>
      <c r="AA397" s="1265"/>
      <c r="AB397" s="1366" t="s">
        <v>116</v>
      </c>
      <c r="AC397" s="1366">
        <v>5</v>
      </c>
      <c r="AD397" s="1381">
        <v>2.0529999999999999</v>
      </c>
      <c r="AE397" s="1381">
        <v>1.8049999999999999</v>
      </c>
      <c r="AF397" s="1381">
        <v>1.5880000000000001</v>
      </c>
      <c r="AG397" s="1381">
        <v>1.198</v>
      </c>
      <c r="AH397" s="1381">
        <v>0.93600000000000005</v>
      </c>
      <c r="AI397" s="1381">
        <v>0.748</v>
      </c>
      <c r="AJ397" s="1381">
        <v>0.47799999999999998</v>
      </c>
      <c r="AK397" s="1381">
        <v>0.43099999999999999</v>
      </c>
      <c r="AL397" s="1381">
        <v>0.38800000000000001</v>
      </c>
      <c r="AM397" s="1381">
        <v>0.33700000000000002</v>
      </c>
      <c r="AN397" s="1280"/>
      <c r="AO397" s="1280"/>
      <c r="AP397" s="1367" t="s">
        <v>116</v>
      </c>
      <c r="AQ397" s="1367">
        <v>5</v>
      </c>
      <c r="AR397" s="1296">
        <v>1.964</v>
      </c>
      <c r="AS397" s="1296">
        <v>1.6419999999999999</v>
      </c>
      <c r="AT397" s="1296">
        <v>1.444</v>
      </c>
      <c r="AU397" s="1296">
        <v>1.27</v>
      </c>
      <c r="AV397" s="1296">
        <v>0.998</v>
      </c>
      <c r="AW397" s="1296">
        <v>0.78</v>
      </c>
      <c r="AX397" s="1296">
        <v>0.623</v>
      </c>
      <c r="AY397" s="1296">
        <v>0.41599999999999998</v>
      </c>
      <c r="AZ397" s="1296">
        <v>0.375</v>
      </c>
      <c r="BA397" s="1296">
        <v>0.33700000000000002</v>
      </c>
      <c r="BB397" s="1290"/>
      <c r="BC397" s="1290"/>
      <c r="BD397" s="1260" t="s">
        <v>116</v>
      </c>
      <c r="BE397" s="1260">
        <v>5</v>
      </c>
      <c r="BF397" s="204">
        <v>1.708</v>
      </c>
      <c r="BG397" s="204">
        <v>1.4279999999999999</v>
      </c>
      <c r="BH397" s="204">
        <v>1.256</v>
      </c>
      <c r="BI397" s="204">
        <v>1.1040000000000001</v>
      </c>
      <c r="BJ397" s="204">
        <v>0.86799999999999999</v>
      </c>
      <c r="BK397" s="204">
        <v>0.67800000000000005</v>
      </c>
      <c r="BL397" s="204">
        <v>0.54200000000000004</v>
      </c>
      <c r="BM397" s="204">
        <v>0.36199999999999999</v>
      </c>
      <c r="BN397" s="204">
        <v>0.32600000000000001</v>
      </c>
      <c r="BO397" s="204">
        <v>0.29299999999999998</v>
      </c>
      <c r="BP397" s="1246"/>
      <c r="BQ397" s="1246"/>
    </row>
    <row r="398" spans="14:69" x14ac:dyDescent="0.25">
      <c r="N398" s="1271" t="s">
        <v>231</v>
      </c>
      <c r="O398" s="1271"/>
      <c r="P398" s="1271"/>
      <c r="Q398" s="1271"/>
      <c r="R398" s="1272"/>
      <c r="S398" s="1272"/>
      <c r="T398" s="1272"/>
      <c r="U398" s="1272"/>
      <c r="V398" s="1272"/>
      <c r="W398" s="1272"/>
      <c r="X398" s="1272"/>
      <c r="Y398" s="1272"/>
      <c r="Z398" s="1265"/>
      <c r="AA398" s="1265"/>
      <c r="AB398" s="1284" t="s">
        <v>231</v>
      </c>
      <c r="AC398" s="1284"/>
      <c r="AD398" s="1284"/>
      <c r="AE398" s="1284"/>
      <c r="AF398" s="1285"/>
      <c r="AG398" s="1285"/>
      <c r="AH398" s="1285"/>
      <c r="AI398" s="1285"/>
      <c r="AJ398" s="1285"/>
      <c r="AK398" s="1285"/>
      <c r="AL398" s="1285"/>
      <c r="AM398" s="1285"/>
      <c r="AN398" s="1280"/>
      <c r="AO398" s="1280"/>
      <c r="AP398" s="1294" t="s">
        <v>231</v>
      </c>
      <c r="AQ398" s="1294"/>
      <c r="AR398" s="1294"/>
      <c r="AS398" s="1294"/>
      <c r="AT398" s="1295"/>
      <c r="AU398" s="1295"/>
      <c r="AV398" s="1295"/>
      <c r="AW398" s="1295"/>
      <c r="AX398" s="1295"/>
      <c r="AY398" s="1295"/>
      <c r="AZ398" s="1295"/>
      <c r="BA398" s="1295"/>
      <c r="BB398" s="1290"/>
      <c r="BC398" s="1290"/>
      <c r="BD398" s="1250" t="s">
        <v>231</v>
      </c>
      <c r="BE398" s="1250"/>
      <c r="BF398" s="1250"/>
      <c r="BG398" s="1250"/>
      <c r="BH398" s="1251"/>
      <c r="BI398" s="1251"/>
      <c r="BJ398" s="1251"/>
      <c r="BK398" s="1251"/>
      <c r="BL398" s="1251"/>
      <c r="BM398" s="1251"/>
      <c r="BN398" s="1251"/>
      <c r="BO398" s="1251"/>
      <c r="BP398" s="1246"/>
      <c r="BQ398" s="1246"/>
    </row>
    <row r="399" spans="14:69" x14ac:dyDescent="0.25">
      <c r="N399" s="1944" t="s">
        <v>111</v>
      </c>
      <c r="O399" s="1276"/>
      <c r="P399" s="1945" t="s">
        <v>228</v>
      </c>
      <c r="Q399" s="1946"/>
      <c r="R399" s="1946"/>
      <c r="S399" s="1946"/>
      <c r="T399" s="1946"/>
      <c r="U399" s="1946"/>
      <c r="V399" s="1946"/>
      <c r="W399" s="1946"/>
      <c r="X399" s="1946"/>
      <c r="Y399" s="1946"/>
      <c r="Z399" s="1947"/>
      <c r="AA399" s="1265"/>
      <c r="AB399" s="1926" t="s">
        <v>111</v>
      </c>
      <c r="AC399" s="1366"/>
      <c r="AD399" s="1926" t="s">
        <v>228</v>
      </c>
      <c r="AE399" s="1926"/>
      <c r="AF399" s="1926"/>
      <c r="AG399" s="1926"/>
      <c r="AH399" s="1926"/>
      <c r="AI399" s="1926"/>
      <c r="AJ399" s="1926"/>
      <c r="AK399" s="1926"/>
      <c r="AL399" s="1926"/>
      <c r="AM399" s="1926"/>
      <c r="AN399" s="1280"/>
      <c r="AO399" s="1280"/>
      <c r="AP399" s="1927" t="s">
        <v>111</v>
      </c>
      <c r="AQ399" s="1367"/>
      <c r="AR399" s="1928" t="s">
        <v>228</v>
      </c>
      <c r="AS399" s="1928"/>
      <c r="AT399" s="1928"/>
      <c r="AU399" s="1928"/>
      <c r="AV399" s="1928"/>
      <c r="AW399" s="1928"/>
      <c r="AX399" s="1928"/>
      <c r="AY399" s="1928"/>
      <c r="AZ399" s="1928"/>
      <c r="BA399" s="1928"/>
      <c r="BB399" s="1290"/>
      <c r="BC399" s="1290"/>
      <c r="BD399" s="1929" t="s">
        <v>111</v>
      </c>
      <c r="BE399" s="1260"/>
      <c r="BF399" s="1930" t="s">
        <v>228</v>
      </c>
      <c r="BG399" s="1930"/>
      <c r="BH399" s="1930"/>
      <c r="BI399" s="1930"/>
      <c r="BJ399" s="1930"/>
      <c r="BK399" s="1930"/>
      <c r="BL399" s="1930"/>
      <c r="BM399" s="1930"/>
      <c r="BN399" s="1930"/>
      <c r="BO399" s="1930"/>
      <c r="BP399" s="1246"/>
      <c r="BQ399" s="1246"/>
    </row>
    <row r="400" spans="14:69" x14ac:dyDescent="0.25">
      <c r="N400" s="1944"/>
      <c r="O400" s="1276"/>
      <c r="P400" s="1407">
        <v>10</v>
      </c>
      <c r="Q400" s="1407">
        <v>20</v>
      </c>
      <c r="R400" s="1407">
        <v>50</v>
      </c>
      <c r="S400" s="1407">
        <v>100</v>
      </c>
      <c r="T400" s="1407">
        <v>200</v>
      </c>
      <c r="U400" s="1407">
        <v>500</v>
      </c>
      <c r="V400" s="1407">
        <v>1000</v>
      </c>
      <c r="W400" s="1407">
        <v>2000</v>
      </c>
      <c r="X400" s="1407">
        <v>5000</v>
      </c>
      <c r="Y400" s="1407">
        <v>8000</v>
      </c>
      <c r="Z400" s="1407">
        <v>10000</v>
      </c>
      <c r="AA400" s="1265"/>
      <c r="AB400" s="1926"/>
      <c r="AC400" s="1366"/>
      <c r="AD400" s="1381">
        <v>10</v>
      </c>
      <c r="AE400" s="1381">
        <v>20</v>
      </c>
      <c r="AF400" s="1381">
        <v>50</v>
      </c>
      <c r="AG400" s="1381">
        <v>100</v>
      </c>
      <c r="AH400" s="1381">
        <v>200</v>
      </c>
      <c r="AI400" s="1381">
        <v>500</v>
      </c>
      <c r="AJ400" s="1381">
        <v>1000</v>
      </c>
      <c r="AK400" s="1381">
        <v>2000</v>
      </c>
      <c r="AL400" s="1381">
        <v>5000</v>
      </c>
      <c r="AM400" s="1381">
        <v>8000</v>
      </c>
      <c r="AN400" s="1280"/>
      <c r="AO400" s="1280"/>
      <c r="AP400" s="1927"/>
      <c r="AQ400" s="1367"/>
      <c r="AR400" s="1347">
        <v>7</v>
      </c>
      <c r="AS400" s="1347">
        <v>10</v>
      </c>
      <c r="AT400" s="1347">
        <v>20</v>
      </c>
      <c r="AU400" s="1347">
        <v>50</v>
      </c>
      <c r="AV400" s="1347">
        <v>100</v>
      </c>
      <c r="AW400" s="1347">
        <v>200</v>
      </c>
      <c r="AX400" s="1347">
        <v>500</v>
      </c>
      <c r="AY400" s="1347">
        <v>1000</v>
      </c>
      <c r="AZ400" s="1347">
        <v>2000</v>
      </c>
      <c r="BA400" s="1347">
        <v>5000</v>
      </c>
      <c r="BB400" s="1290"/>
      <c r="BC400" s="1290"/>
      <c r="BD400" s="1929"/>
      <c r="BE400" s="1260"/>
      <c r="BF400" s="203">
        <v>7</v>
      </c>
      <c r="BG400" s="203">
        <v>10</v>
      </c>
      <c r="BH400" s="203">
        <v>20</v>
      </c>
      <c r="BI400" s="203">
        <v>50</v>
      </c>
      <c r="BJ400" s="203">
        <v>100</v>
      </c>
      <c r="BK400" s="203">
        <v>200</v>
      </c>
      <c r="BL400" s="203">
        <v>500</v>
      </c>
      <c r="BM400" s="203">
        <v>1000</v>
      </c>
      <c r="BN400" s="203">
        <v>2000</v>
      </c>
      <c r="BO400" s="203">
        <v>5000</v>
      </c>
      <c r="BP400" s="1246"/>
      <c r="BQ400" s="1246"/>
    </row>
    <row r="401" spans="2:69" x14ac:dyDescent="0.25">
      <c r="N401" s="1276" t="s">
        <v>3661</v>
      </c>
      <c r="O401" s="1276">
        <v>1</v>
      </c>
      <c r="P401" s="1408">
        <v>0.84399999999999997</v>
      </c>
      <c r="Q401" s="1408">
        <v>0.71499999999999997</v>
      </c>
      <c r="R401" s="1408">
        <v>0.59599999999999997</v>
      </c>
      <c r="S401" s="1408">
        <v>0.39400000000000002</v>
      </c>
      <c r="T401" s="1408">
        <v>0.30499999999999999</v>
      </c>
      <c r="U401" s="1408">
        <v>0.26100000000000001</v>
      </c>
      <c r="V401" s="1408">
        <v>0.17599999999999999</v>
      </c>
      <c r="W401" s="1408">
        <v>0.153</v>
      </c>
      <c r="X401" s="1408">
        <v>0.13200000000000001</v>
      </c>
      <c r="Y401" s="1408">
        <v>0.112</v>
      </c>
      <c r="Z401" s="1408">
        <v>0.11</v>
      </c>
      <c r="AA401" s="1265"/>
      <c r="AB401" s="1366" t="s">
        <v>112</v>
      </c>
      <c r="AC401" s="1366">
        <v>1</v>
      </c>
      <c r="AD401" s="1381">
        <v>0.67500000000000004</v>
      </c>
      <c r="AE401" s="1381">
        <v>0.57199999999999995</v>
      </c>
      <c r="AF401" s="1381">
        <v>0.47699999999999998</v>
      </c>
      <c r="AG401" s="1381">
        <v>0.315</v>
      </c>
      <c r="AH401" s="1381">
        <v>0.25</v>
      </c>
      <c r="AI401" s="1381">
        <v>0.214</v>
      </c>
      <c r="AJ401" s="1381">
        <v>0.14399999999999999</v>
      </c>
      <c r="AK401" s="1381">
        <v>0.13</v>
      </c>
      <c r="AL401" s="1381">
        <v>0.11700000000000001</v>
      </c>
      <c r="AM401" s="1381">
        <v>0.10199999999999999</v>
      </c>
      <c r="AN401" s="1280"/>
      <c r="AO401" s="1280"/>
      <c r="AP401" s="1367" t="s">
        <v>112</v>
      </c>
      <c r="AQ401" s="1367">
        <v>1</v>
      </c>
      <c r="AR401" s="1296">
        <v>0.76300000000000001</v>
      </c>
      <c r="AS401" s="1296">
        <v>0.64300000000000002</v>
      </c>
      <c r="AT401" s="1296">
        <v>0.54500000000000004</v>
      </c>
      <c r="AU401" s="1296">
        <v>0.45400000000000001</v>
      </c>
      <c r="AV401" s="1296">
        <v>0.3</v>
      </c>
      <c r="AW401" s="1296">
        <v>0.25</v>
      </c>
      <c r="AX401" s="1296">
        <v>0.214</v>
      </c>
      <c r="AY401" s="1296">
        <v>0.14399999999999999</v>
      </c>
      <c r="AZ401" s="1296">
        <v>0.13</v>
      </c>
      <c r="BA401" s="1296">
        <v>0.11700000000000001</v>
      </c>
      <c r="BB401" s="1290"/>
      <c r="BC401" s="1290"/>
      <c r="BD401" s="1260" t="s">
        <v>112</v>
      </c>
      <c r="BE401" s="1260">
        <v>1</v>
      </c>
      <c r="BF401" s="204">
        <v>0.63600000000000001</v>
      </c>
      <c r="BG401" s="204">
        <v>0.53600000000000003</v>
      </c>
      <c r="BH401" s="204">
        <v>0.45400000000000001</v>
      </c>
      <c r="BI401" s="204">
        <v>0.378</v>
      </c>
      <c r="BJ401" s="204">
        <v>0.25</v>
      </c>
      <c r="BK401" s="204">
        <v>0.20799999999999999</v>
      </c>
      <c r="BL401" s="204">
        <v>0.17799999999999999</v>
      </c>
      <c r="BM401" s="204">
        <v>0.12</v>
      </c>
      <c r="BN401" s="204">
        <v>0.108</v>
      </c>
      <c r="BO401" s="204">
        <v>9.7000000000000003E-2</v>
      </c>
      <c r="BP401" s="1246"/>
      <c r="BQ401" s="1246"/>
    </row>
    <row r="402" spans="2:69" x14ac:dyDescent="0.25">
      <c r="N402" s="1276" t="s">
        <v>113</v>
      </c>
      <c r="O402" s="1276">
        <v>2</v>
      </c>
      <c r="P402" s="1408">
        <v>1.147</v>
      </c>
      <c r="Q402" s="1408">
        <v>1.0049999999999999</v>
      </c>
      <c r="R402" s="1408">
        <v>0.95799999999999996</v>
      </c>
      <c r="S402" s="1408">
        <v>0.81100000000000005</v>
      </c>
      <c r="T402" s="1408">
        <v>0.49</v>
      </c>
      <c r="U402" s="1408">
        <v>0.42199999999999999</v>
      </c>
      <c r="V402" s="1408">
        <v>0.35599999999999998</v>
      </c>
      <c r="W402" s="1408">
        <v>0.309</v>
      </c>
      <c r="X402" s="1408">
        <v>0.27</v>
      </c>
      <c r="Y402" s="1408">
        <v>0.23</v>
      </c>
      <c r="Z402" s="1408">
        <v>0.21</v>
      </c>
      <c r="AA402" s="1265"/>
      <c r="AB402" s="1366" t="s">
        <v>113</v>
      </c>
      <c r="AC402" s="1366">
        <v>2</v>
      </c>
      <c r="AD402" s="1381">
        <v>0.91800000000000004</v>
      </c>
      <c r="AE402" s="1381">
        <v>0.80400000000000005</v>
      </c>
      <c r="AF402" s="1381">
        <v>0.76700000000000002</v>
      </c>
      <c r="AG402" s="1381">
        <v>0.64900000000000002</v>
      </c>
      <c r="AH402" s="1381">
        <v>0.40200000000000002</v>
      </c>
      <c r="AI402" s="1381">
        <v>0.34599999999999997</v>
      </c>
      <c r="AJ402" s="1381">
        <v>0.29199999999999998</v>
      </c>
      <c r="AK402" s="1381">
        <v>0.26200000000000001</v>
      </c>
      <c r="AL402" s="1381">
        <v>0.23499999999999999</v>
      </c>
      <c r="AM402" s="1381">
        <v>0.20399999999999999</v>
      </c>
      <c r="AN402" s="1280"/>
      <c r="AO402" s="1280"/>
      <c r="AP402" s="1367" t="s">
        <v>113</v>
      </c>
      <c r="AQ402" s="1367">
        <v>2</v>
      </c>
      <c r="AR402" s="1296">
        <v>1.0900000000000001</v>
      </c>
      <c r="AS402" s="1296">
        <v>0.874</v>
      </c>
      <c r="AT402" s="1296">
        <v>0.76600000000000001</v>
      </c>
      <c r="AU402" s="1296">
        <v>0.73</v>
      </c>
      <c r="AV402" s="1296">
        <v>0.61799999999999999</v>
      </c>
      <c r="AW402" s="1296">
        <v>0.40200000000000002</v>
      </c>
      <c r="AX402" s="1296">
        <v>0.34599999999999997</v>
      </c>
      <c r="AY402" s="1296">
        <v>0.29199999999999998</v>
      </c>
      <c r="AZ402" s="1296">
        <v>0.26200000000000001</v>
      </c>
      <c r="BA402" s="1296">
        <v>0.23499999999999999</v>
      </c>
      <c r="BB402" s="1290"/>
      <c r="BC402" s="1290"/>
      <c r="BD402" s="1260" t="s">
        <v>113</v>
      </c>
      <c r="BE402" s="1260">
        <v>2</v>
      </c>
      <c r="BF402" s="204">
        <v>0.90800000000000003</v>
      </c>
      <c r="BG402" s="204">
        <v>0.72799999999999998</v>
      </c>
      <c r="BH402" s="204">
        <v>0.63800000000000001</v>
      </c>
      <c r="BI402" s="204">
        <v>0.60799999999999998</v>
      </c>
      <c r="BJ402" s="204">
        <v>0.51500000000000001</v>
      </c>
      <c r="BK402" s="204">
        <v>0.33500000000000002</v>
      </c>
      <c r="BL402" s="204">
        <v>0.28799999999999998</v>
      </c>
      <c r="BM402" s="204">
        <v>0.24299999999999999</v>
      </c>
      <c r="BN402" s="204">
        <v>0.218</v>
      </c>
      <c r="BO402" s="204">
        <v>0.19600000000000001</v>
      </c>
      <c r="BP402" s="1246"/>
      <c r="BQ402" s="1246"/>
    </row>
    <row r="403" spans="2:69" x14ac:dyDescent="0.25">
      <c r="N403" s="1276" t="s">
        <v>114</v>
      </c>
      <c r="O403" s="1276">
        <v>3</v>
      </c>
      <c r="P403" s="1408">
        <v>0.67700000000000005</v>
      </c>
      <c r="Q403" s="1408">
        <v>0.57999999999999996</v>
      </c>
      <c r="R403" s="1408">
        <v>0.48599999999999999</v>
      </c>
      <c r="S403" s="1408">
        <v>0.32</v>
      </c>
      <c r="T403" s="1408">
        <v>0.26100000000000001</v>
      </c>
      <c r="U403" s="1408">
        <v>0.217</v>
      </c>
      <c r="V403" s="1408">
        <v>0.14599999999999999</v>
      </c>
      <c r="W403" s="1408">
        <v>0.127</v>
      </c>
      <c r="X403" s="1408">
        <v>0.11</v>
      </c>
      <c r="Y403" s="1408">
        <v>9.1999999999999998E-2</v>
      </c>
      <c r="Z403" s="1408">
        <v>8.5000000000000006E-2</v>
      </c>
      <c r="AA403" s="1265"/>
      <c r="AB403" s="1366" t="s">
        <v>114</v>
      </c>
      <c r="AC403" s="1366">
        <v>3</v>
      </c>
      <c r="AD403" s="1381">
        <v>0.54200000000000004</v>
      </c>
      <c r="AE403" s="1381">
        <v>0.46400000000000002</v>
      </c>
      <c r="AF403" s="1381">
        <v>0.38900000000000001</v>
      </c>
      <c r="AG403" s="1381">
        <v>0.25600000000000001</v>
      </c>
      <c r="AH403" s="1381">
        <v>0.214</v>
      </c>
      <c r="AI403" s="1381">
        <v>0.17799999999999999</v>
      </c>
      <c r="AJ403" s="1381">
        <v>0.12</v>
      </c>
      <c r="AK403" s="1381">
        <v>0.108</v>
      </c>
      <c r="AL403" s="1381">
        <v>9.7000000000000003E-2</v>
      </c>
      <c r="AM403" s="1381">
        <v>8.4000000000000005E-2</v>
      </c>
      <c r="AN403" s="1280"/>
      <c r="AO403" s="1280"/>
      <c r="AP403" s="1367" t="s">
        <v>114</v>
      </c>
      <c r="AQ403" s="1367">
        <v>3</v>
      </c>
      <c r="AR403" s="1296">
        <v>0.64600000000000002</v>
      </c>
      <c r="AS403" s="1296">
        <v>0.51600000000000001</v>
      </c>
      <c r="AT403" s="1296">
        <v>0.442</v>
      </c>
      <c r="AU403" s="1296">
        <v>0.37</v>
      </c>
      <c r="AV403" s="1296">
        <v>0.24399999999999999</v>
      </c>
      <c r="AW403" s="1296">
        <v>0.214</v>
      </c>
      <c r="AX403" s="1296">
        <v>0.17799999999999999</v>
      </c>
      <c r="AY403" s="1296">
        <v>0.12</v>
      </c>
      <c r="AZ403" s="1296">
        <v>0.108</v>
      </c>
      <c r="BA403" s="1296">
        <v>9.7000000000000003E-2</v>
      </c>
      <c r="BB403" s="1290"/>
      <c r="BC403" s="1290"/>
      <c r="BD403" s="1260" t="s">
        <v>114</v>
      </c>
      <c r="BE403" s="1260">
        <v>3</v>
      </c>
      <c r="BF403" s="204">
        <v>0.53800000000000003</v>
      </c>
      <c r="BG403" s="204">
        <v>0.43</v>
      </c>
      <c r="BH403" s="204">
        <v>0.36799999999999999</v>
      </c>
      <c r="BI403" s="204">
        <v>0.308</v>
      </c>
      <c r="BJ403" s="204">
        <v>0.20300000000000001</v>
      </c>
      <c r="BK403" s="204">
        <v>0.17799999999999999</v>
      </c>
      <c r="BL403" s="204">
        <v>0.14799999999999999</v>
      </c>
      <c r="BM403" s="204">
        <v>0.1</v>
      </c>
      <c r="BN403" s="204">
        <v>0.09</v>
      </c>
      <c r="BO403" s="204">
        <v>8.1000000000000003E-2</v>
      </c>
      <c r="BP403" s="1246"/>
      <c r="BQ403" s="1246"/>
    </row>
    <row r="404" spans="2:69" x14ac:dyDescent="0.25">
      <c r="N404" s="1276" t="s">
        <v>697</v>
      </c>
      <c r="O404" s="1276">
        <v>4</v>
      </c>
      <c r="P404" s="1408">
        <v>0.71799999999999997</v>
      </c>
      <c r="Q404" s="1408">
        <v>0.58499999999999996</v>
      </c>
      <c r="R404" s="1408">
        <v>0.52</v>
      </c>
      <c r="S404" s="1408">
        <v>0.34399999999999997</v>
      </c>
      <c r="T404" s="1408">
        <v>0.27600000000000002</v>
      </c>
      <c r="U404" s="1408">
        <v>0.23200000000000001</v>
      </c>
      <c r="V404" s="1408">
        <v>0.159</v>
      </c>
      <c r="W404" s="1408">
        <v>0.13800000000000001</v>
      </c>
      <c r="X404" s="1408">
        <v>0.12</v>
      </c>
      <c r="Y404" s="1408">
        <v>9.8000000000000004E-2</v>
      </c>
      <c r="Z404" s="1408">
        <v>9.0999999999999998E-2</v>
      </c>
      <c r="AA404" s="1265"/>
      <c r="AB404" s="1366" t="s">
        <v>115</v>
      </c>
      <c r="AC404" s="1366">
        <v>4</v>
      </c>
      <c r="AD404" s="1381">
        <v>0.57399999999999995</v>
      </c>
      <c r="AE404" s="1381">
        <v>0.46800000000000003</v>
      </c>
      <c r="AF404" s="1381">
        <v>0.41599999999999998</v>
      </c>
      <c r="AG404" s="1381">
        <v>0.27500000000000002</v>
      </c>
      <c r="AH404" s="1381">
        <v>0.22600000000000001</v>
      </c>
      <c r="AI404" s="1381">
        <v>0.19</v>
      </c>
      <c r="AJ404" s="1381">
        <v>0.13</v>
      </c>
      <c r="AK404" s="1381">
        <v>0.11700000000000001</v>
      </c>
      <c r="AL404" s="1381">
        <v>0.105</v>
      </c>
      <c r="AM404" s="1381">
        <v>9.0999999999999998E-2</v>
      </c>
      <c r="AN404" s="1280"/>
      <c r="AO404" s="1280"/>
      <c r="AP404" s="1367" t="s">
        <v>115</v>
      </c>
      <c r="AQ404" s="1367">
        <v>4</v>
      </c>
      <c r="AR404" s="1296">
        <v>0.69399999999999995</v>
      </c>
      <c r="AS404" s="1296">
        <v>0.54700000000000004</v>
      </c>
      <c r="AT404" s="1296">
        <v>0.44600000000000001</v>
      </c>
      <c r="AU404" s="1296">
        <v>0.39600000000000002</v>
      </c>
      <c r="AV404" s="1296">
        <v>0.26200000000000001</v>
      </c>
      <c r="AW404" s="1296">
        <v>0.22600000000000001</v>
      </c>
      <c r="AX404" s="1296">
        <v>0.19</v>
      </c>
      <c r="AY404" s="1296">
        <v>0.13</v>
      </c>
      <c r="AZ404" s="1296">
        <v>0.11700000000000001</v>
      </c>
      <c r="BA404" s="1296">
        <v>0.105</v>
      </c>
      <c r="BB404" s="1290"/>
      <c r="BC404" s="1290"/>
      <c r="BD404" s="1260" t="s">
        <v>115</v>
      </c>
      <c r="BE404" s="1260">
        <v>4</v>
      </c>
      <c r="BF404" s="204">
        <v>0.57799999999999996</v>
      </c>
      <c r="BG404" s="204">
        <v>0.45600000000000002</v>
      </c>
      <c r="BH404" s="204">
        <v>0.372</v>
      </c>
      <c r="BI404" s="204">
        <v>0.33</v>
      </c>
      <c r="BJ404" s="204">
        <v>0.218</v>
      </c>
      <c r="BK404" s="204">
        <v>0.188</v>
      </c>
      <c r="BL404" s="204">
        <v>0.158</v>
      </c>
      <c r="BM404" s="204">
        <v>0.108</v>
      </c>
      <c r="BN404" s="204">
        <v>9.7000000000000003E-2</v>
      </c>
      <c r="BO404" s="204">
        <v>8.6999999999999994E-2</v>
      </c>
      <c r="BP404" s="1246"/>
      <c r="BQ404" s="1246"/>
    </row>
    <row r="405" spans="2:69" x14ac:dyDescent="0.25">
      <c r="N405" s="1276" t="s">
        <v>116</v>
      </c>
      <c r="O405" s="1276">
        <v>5</v>
      </c>
      <c r="P405" s="1408">
        <v>0.80300000000000005</v>
      </c>
      <c r="Q405" s="1408">
        <v>0.69</v>
      </c>
      <c r="R405" s="1408">
        <v>0.57499999999999996</v>
      </c>
      <c r="S405" s="1408">
        <v>0.38300000000000001</v>
      </c>
      <c r="T405" s="1408">
        <v>0.3</v>
      </c>
      <c r="U405" s="1408">
        <v>0.26100000000000001</v>
      </c>
      <c r="V405" s="1408">
        <v>0.17299999999999999</v>
      </c>
      <c r="W405" s="1408">
        <v>0.15</v>
      </c>
      <c r="X405" s="1408">
        <v>0.126</v>
      </c>
      <c r="Y405" s="1408">
        <v>0.105</v>
      </c>
      <c r="Z405" s="1408">
        <v>9.5000000000000001E-2</v>
      </c>
      <c r="AA405" s="1265"/>
      <c r="AB405" s="1366" t="s">
        <v>116</v>
      </c>
      <c r="AC405" s="1366">
        <v>5</v>
      </c>
      <c r="AD405" s="1381">
        <v>0.64300000000000002</v>
      </c>
      <c r="AE405" s="1381">
        <v>0.55200000000000005</v>
      </c>
      <c r="AF405" s="1381">
        <v>0.46</v>
      </c>
      <c r="AG405" s="1381">
        <v>0.307</v>
      </c>
      <c r="AH405" s="1381">
        <v>0.246</v>
      </c>
      <c r="AI405" s="1381">
        <v>0.214</v>
      </c>
      <c r="AJ405" s="1381">
        <v>0.14199999999999999</v>
      </c>
      <c r="AK405" s="1381">
        <v>0.127</v>
      </c>
      <c r="AL405" s="1381">
        <v>0.114</v>
      </c>
      <c r="AM405" s="1381">
        <v>9.9000000000000005E-2</v>
      </c>
      <c r="AN405" s="1280"/>
      <c r="AO405" s="1280"/>
      <c r="AP405" s="1367" t="s">
        <v>116</v>
      </c>
      <c r="AQ405" s="1367">
        <v>5</v>
      </c>
      <c r="AR405" s="1296">
        <v>0.76800000000000002</v>
      </c>
      <c r="AS405" s="1296">
        <v>0.61199999999999999</v>
      </c>
      <c r="AT405" s="1296">
        <v>0.52600000000000002</v>
      </c>
      <c r="AU405" s="1296">
        <v>0.438</v>
      </c>
      <c r="AV405" s="1296">
        <v>0.29199999999999998</v>
      </c>
      <c r="AW405" s="1296">
        <v>0.246</v>
      </c>
      <c r="AX405" s="1296">
        <v>0.214</v>
      </c>
      <c r="AY405" s="1296">
        <v>0.14199999999999999</v>
      </c>
      <c r="AZ405" s="1296">
        <v>0.127</v>
      </c>
      <c r="BA405" s="1296">
        <v>0.114</v>
      </c>
      <c r="BB405" s="1290"/>
      <c r="BC405" s="1290"/>
      <c r="BD405" s="1260" t="s">
        <v>116</v>
      </c>
      <c r="BE405" s="1260">
        <v>5</v>
      </c>
      <c r="BF405" s="204">
        <v>0.64</v>
      </c>
      <c r="BG405" s="204">
        <v>0.51</v>
      </c>
      <c r="BH405" s="204">
        <v>0.438</v>
      </c>
      <c r="BI405" s="204">
        <v>0.36499999999999999</v>
      </c>
      <c r="BJ405" s="204">
        <v>0.24299999999999999</v>
      </c>
      <c r="BK405" s="204">
        <v>0.20499999999999999</v>
      </c>
      <c r="BL405" s="204">
        <v>0.17799999999999999</v>
      </c>
      <c r="BM405" s="204">
        <v>0.11799999999999999</v>
      </c>
      <c r="BN405" s="204">
        <v>0.106</v>
      </c>
      <c r="BO405" s="204">
        <v>9.5000000000000001E-2</v>
      </c>
      <c r="BP405" s="1246"/>
      <c r="BQ405" s="1246"/>
    </row>
    <row r="406" spans="2:69" x14ac:dyDescent="0.25">
      <c r="N406" s="1265"/>
      <c r="O406" s="1265"/>
      <c r="P406" s="1265"/>
      <c r="Q406" s="1265"/>
      <c r="R406" s="1265"/>
      <c r="S406" s="1265"/>
      <c r="T406" s="1265"/>
      <c r="U406" s="1265"/>
      <c r="V406" s="1265"/>
      <c r="W406" s="1265"/>
      <c r="X406" s="1265"/>
      <c r="Y406" s="1265"/>
      <c r="Z406" s="1265"/>
      <c r="AA406" s="1265"/>
      <c r="AB406" s="1280"/>
      <c r="AC406" s="1280"/>
      <c r="AD406" s="1280"/>
      <c r="AE406" s="1280"/>
      <c r="AF406" s="1280"/>
      <c r="AG406" s="1280"/>
      <c r="AH406" s="1280"/>
      <c r="AI406" s="1280"/>
      <c r="AJ406" s="1280"/>
      <c r="AK406" s="1280"/>
      <c r="AL406" s="1280"/>
      <c r="AM406" s="1280"/>
      <c r="AP406" s="1290"/>
      <c r="AQ406" s="1290"/>
      <c r="AR406" s="1290"/>
      <c r="AS406" s="1290"/>
      <c r="AT406" s="1290"/>
      <c r="AU406" s="1290"/>
      <c r="AV406" s="1290"/>
      <c r="AW406" s="1290"/>
      <c r="AX406" s="1290"/>
      <c r="AY406" s="1290"/>
      <c r="AZ406" s="1290"/>
      <c r="BA406" s="1290"/>
      <c r="BB406" s="1290"/>
      <c r="BC406" s="1290"/>
      <c r="BD406" s="1246"/>
      <c r="BE406" s="1246"/>
      <c r="BF406" s="1246"/>
      <c r="BG406" s="1246"/>
      <c r="BH406" s="1246"/>
      <c r="BI406" s="1246"/>
      <c r="BJ406" s="1246"/>
      <c r="BK406" s="1246"/>
      <c r="BL406" s="1246"/>
      <c r="BM406" s="1246"/>
      <c r="BN406" s="1246"/>
      <c r="BO406" s="1246"/>
    </row>
    <row r="407" spans="2:69" x14ac:dyDescent="0.25">
      <c r="N407" s="1271" t="s">
        <v>701</v>
      </c>
      <c r="O407" s="1369"/>
      <c r="P407" s="1369"/>
      <c r="Q407" s="1369"/>
      <c r="R407" s="1369"/>
      <c r="S407" s="1369"/>
      <c r="T407" s="1369"/>
      <c r="U407" s="1369"/>
      <c r="V407" s="1369"/>
      <c r="W407" s="1265"/>
      <c r="AB407" s="1299" t="s">
        <v>701</v>
      </c>
      <c r="AC407" s="1457"/>
      <c r="AD407" s="1457"/>
      <c r="AE407" s="1457"/>
      <c r="AF407" s="1457"/>
      <c r="AG407" s="1457"/>
      <c r="AH407" s="1457"/>
      <c r="AI407" s="1457"/>
      <c r="AJ407" s="1457"/>
      <c r="AK407" s="1289"/>
      <c r="AL407" s="1456"/>
      <c r="AM407" s="1456"/>
      <c r="AP407" s="1288" t="s">
        <v>701</v>
      </c>
      <c r="AQ407" s="1455"/>
      <c r="AR407" s="1455"/>
      <c r="AS407" s="1455"/>
      <c r="AT407" s="1455"/>
      <c r="AU407" s="1455"/>
      <c r="AV407" s="1455"/>
      <c r="AW407" s="1455"/>
      <c r="AX407" s="1455"/>
      <c r="AY407" s="1289"/>
      <c r="AZ407" s="1457"/>
      <c r="BA407" s="1457"/>
      <c r="BD407" s="1250" t="s">
        <v>701</v>
      </c>
      <c r="BE407" s="1254"/>
      <c r="BF407" s="1254"/>
      <c r="BG407" s="1254"/>
      <c r="BH407" s="1254"/>
      <c r="BI407" s="1254"/>
      <c r="BJ407" s="1254"/>
      <c r="BK407" s="1254"/>
      <c r="BL407" s="1254"/>
      <c r="BM407" s="1246"/>
    </row>
    <row r="408" spans="2:69" x14ac:dyDescent="0.25">
      <c r="N408" s="1952" t="s">
        <v>3290</v>
      </c>
      <c r="O408" s="1952"/>
      <c r="P408" s="1952"/>
      <c r="Q408" s="1952"/>
      <c r="R408" s="1952"/>
      <c r="S408" s="1952"/>
      <c r="T408" s="1952"/>
      <c r="U408" s="1952"/>
      <c r="V408" s="1952"/>
      <c r="AB408" s="1928" t="s">
        <v>500</v>
      </c>
      <c r="AC408" s="1928"/>
      <c r="AD408" s="1928"/>
      <c r="AE408" s="1928"/>
      <c r="AF408" s="1928"/>
      <c r="AG408" s="1928"/>
      <c r="AH408" s="1928"/>
      <c r="AI408" s="1928"/>
      <c r="AJ408" s="1928"/>
      <c r="AP408" s="1461" t="s">
        <v>496</v>
      </c>
      <c r="AQ408" s="1462"/>
      <c r="AR408" s="1926" t="s">
        <v>497</v>
      </c>
      <c r="AS408" s="1926"/>
      <c r="AT408" s="1926"/>
      <c r="AU408" s="1926"/>
      <c r="AV408" s="1926"/>
      <c r="AW408" s="1926"/>
      <c r="AX408" s="1926"/>
      <c r="AY408" s="1926"/>
      <c r="BD408" s="1463" t="s">
        <v>3290</v>
      </c>
      <c r="BE408" s="1464"/>
      <c r="BF408" s="1464"/>
      <c r="BG408" s="1464"/>
      <c r="BH408" s="1464"/>
      <c r="BI408" s="1464"/>
      <c r="BJ408" s="1464"/>
      <c r="BK408" s="1464"/>
      <c r="BL408" s="1465"/>
      <c r="BM408" s="1246"/>
    </row>
    <row r="409" spans="2:69" x14ac:dyDescent="0.25">
      <c r="N409" s="1388" t="s">
        <v>497</v>
      </c>
      <c r="O409" s="1373"/>
      <c r="P409" s="1373">
        <v>5</v>
      </c>
      <c r="Q409" s="1373">
        <v>10</v>
      </c>
      <c r="R409" s="1373">
        <v>50</v>
      </c>
      <c r="S409" s="1373">
        <v>100</v>
      </c>
      <c r="T409" s="1373">
        <v>500</v>
      </c>
      <c r="U409" s="1373">
        <v>1000</v>
      </c>
      <c r="V409" s="1373">
        <v>10001</v>
      </c>
      <c r="AB409" s="1460" t="s">
        <v>497</v>
      </c>
      <c r="AC409" s="1460"/>
      <c r="AD409" s="1460">
        <v>5</v>
      </c>
      <c r="AE409" s="1460">
        <v>10</v>
      </c>
      <c r="AF409" s="1460">
        <v>50</v>
      </c>
      <c r="AG409" s="1460">
        <v>100</v>
      </c>
      <c r="AH409" s="1460">
        <v>500</v>
      </c>
      <c r="AI409" s="1460">
        <v>1000</v>
      </c>
      <c r="AJ409" s="1460">
        <v>10001</v>
      </c>
      <c r="AP409" s="1432"/>
      <c r="AQ409" s="1461"/>
      <c r="AR409" s="1461">
        <v>5</v>
      </c>
      <c r="AS409" s="1461">
        <v>10</v>
      </c>
      <c r="AT409" s="1461">
        <v>50</v>
      </c>
      <c r="AU409" s="1461">
        <v>100</v>
      </c>
      <c r="AV409" s="1461">
        <v>500</v>
      </c>
      <c r="AW409" s="1461">
        <v>1000</v>
      </c>
      <c r="AX409" s="1461">
        <v>10000</v>
      </c>
      <c r="AY409" s="1461">
        <v>20000</v>
      </c>
      <c r="BD409" s="1260" t="s">
        <v>497</v>
      </c>
      <c r="BE409" s="204"/>
      <c r="BF409" s="204">
        <v>5</v>
      </c>
      <c r="BG409" s="204">
        <v>10</v>
      </c>
      <c r="BH409" s="204">
        <v>50</v>
      </c>
      <c r="BI409" s="204">
        <v>100</v>
      </c>
      <c r="BJ409" s="204">
        <v>500</v>
      </c>
      <c r="BK409" s="204">
        <v>1000</v>
      </c>
      <c r="BL409" s="204">
        <v>10001</v>
      </c>
      <c r="BM409" s="201"/>
    </row>
    <row r="410" spans="2:69" x14ac:dyDescent="0.25">
      <c r="N410" s="1422" t="s">
        <v>498</v>
      </c>
      <c r="O410" s="1373">
        <v>1</v>
      </c>
      <c r="P410" s="1373">
        <v>0.95</v>
      </c>
      <c r="Q410" s="1373">
        <v>0.65</v>
      </c>
      <c r="R410" s="1373">
        <v>0.47499999999999998</v>
      </c>
      <c r="S410" s="1373">
        <v>0.375</v>
      </c>
      <c r="T410" s="1373">
        <v>0.22500000000000001</v>
      </c>
      <c r="U410" s="1373">
        <v>0.15</v>
      </c>
      <c r="V410" s="1373">
        <v>0.08</v>
      </c>
      <c r="AB410" s="1460" t="s">
        <v>501</v>
      </c>
      <c r="AC410" s="1460">
        <v>1</v>
      </c>
      <c r="AD410" s="1460">
        <v>0.38</v>
      </c>
      <c r="AE410" s="1460">
        <v>0.26</v>
      </c>
      <c r="AF410" s="1460">
        <v>0.19</v>
      </c>
      <c r="AG410" s="1460">
        <v>0.15</v>
      </c>
      <c r="AH410" s="1460">
        <v>0.09</v>
      </c>
      <c r="AI410" s="1460">
        <v>0.06</v>
      </c>
      <c r="AJ410" s="1460">
        <v>3.2000000000000001E-2</v>
      </c>
      <c r="AP410" s="1441" t="s">
        <v>498</v>
      </c>
      <c r="AQ410" s="1461">
        <v>1</v>
      </c>
      <c r="AR410" s="1461">
        <v>0.32</v>
      </c>
      <c r="AS410" s="1461">
        <v>0.21</v>
      </c>
      <c r="AT410" s="1461">
        <v>0.16</v>
      </c>
      <c r="AU410" s="1461">
        <v>0.13</v>
      </c>
      <c r="AV410" s="1461">
        <v>0.06</v>
      </c>
      <c r="AW410" s="1461">
        <v>0.04</v>
      </c>
      <c r="AX410" s="1461">
        <v>1.2E-2</v>
      </c>
      <c r="AY410" s="1461">
        <v>8.0000000000000002E-3</v>
      </c>
      <c r="BD410" s="1458" t="s">
        <v>498</v>
      </c>
      <c r="BE410" s="204">
        <v>1</v>
      </c>
      <c r="BF410" s="204">
        <v>0.95</v>
      </c>
      <c r="BG410" s="204">
        <v>0.65</v>
      </c>
      <c r="BH410" s="204">
        <v>0.47499999999999998</v>
      </c>
      <c r="BI410" s="204">
        <v>0.375</v>
      </c>
      <c r="BJ410" s="204">
        <v>0.22500000000000001</v>
      </c>
      <c r="BK410" s="204">
        <v>0.15</v>
      </c>
      <c r="BL410" s="204">
        <v>0.08</v>
      </c>
      <c r="BM410" s="201"/>
    </row>
    <row r="411" spans="2:69" x14ac:dyDescent="0.25">
      <c r="N411" s="1422" t="s">
        <v>499</v>
      </c>
      <c r="O411" s="1373">
        <v>2</v>
      </c>
      <c r="P411" s="1373">
        <v>1.6</v>
      </c>
      <c r="Q411" s="1373">
        <v>1.075</v>
      </c>
      <c r="R411" s="1373">
        <v>0.75</v>
      </c>
      <c r="S411" s="1373">
        <v>0.57499999999999996</v>
      </c>
      <c r="T411" s="1373">
        <v>0.32500000000000001</v>
      </c>
      <c r="U411" s="1373">
        <v>0.215</v>
      </c>
      <c r="V411" s="1373">
        <v>0.115</v>
      </c>
      <c r="AB411" s="1460" t="s">
        <v>499</v>
      </c>
      <c r="AC411" s="1460">
        <v>2</v>
      </c>
      <c r="AD411" s="1460">
        <v>0.64</v>
      </c>
      <c r="AE411" s="1460">
        <v>0.43</v>
      </c>
      <c r="AF411" s="1460">
        <v>0.3</v>
      </c>
      <c r="AG411" s="1460">
        <v>0.23</v>
      </c>
      <c r="AH411" s="1460">
        <v>0.13</v>
      </c>
      <c r="AI411" s="1460">
        <v>8.5999999999999993E-2</v>
      </c>
      <c r="AJ411" s="1460">
        <v>4.5999999999999999E-2</v>
      </c>
      <c r="AP411" s="1441" t="s">
        <v>499</v>
      </c>
      <c r="AQ411" s="1461">
        <v>2</v>
      </c>
      <c r="AR411" s="1461">
        <v>0.5</v>
      </c>
      <c r="AS411" s="1461">
        <v>0.34</v>
      </c>
      <c r="AT411" s="1461">
        <v>0.24</v>
      </c>
      <c r="AU411" s="1461">
        <v>0.18</v>
      </c>
      <c r="AV411" s="1461">
        <v>0.1</v>
      </c>
      <c r="AW411" s="1461">
        <v>0.03</v>
      </c>
      <c r="AX411" s="1461">
        <v>0.02</v>
      </c>
      <c r="AY411" s="1461">
        <v>1.2E-2</v>
      </c>
      <c r="BD411" s="1458" t="s">
        <v>499</v>
      </c>
      <c r="BE411" s="204">
        <v>2</v>
      </c>
      <c r="BF411" s="204">
        <v>1.6</v>
      </c>
      <c r="BG411" s="204">
        <v>1.075</v>
      </c>
      <c r="BH411" s="204">
        <v>0.75</v>
      </c>
      <c r="BI411" s="204">
        <v>0.57499999999999996</v>
      </c>
      <c r="BJ411" s="204">
        <v>0.32500000000000001</v>
      </c>
      <c r="BK411" s="204">
        <v>0.215</v>
      </c>
      <c r="BL411" s="204">
        <v>0.115</v>
      </c>
      <c r="BM411" s="201"/>
    </row>
    <row r="412" spans="2:69" s="319" customFormat="1" x14ac:dyDescent="0.25">
      <c r="B412" s="320"/>
      <c r="C412" s="320"/>
      <c r="D412" s="320"/>
      <c r="E412" s="320"/>
      <c r="F412" s="320"/>
      <c r="G412" s="1319"/>
      <c r="H412" s="1343"/>
      <c r="I412" s="1365"/>
      <c r="J412" s="320"/>
      <c r="K412" s="320"/>
      <c r="L412" s="320"/>
      <c r="M412" s="320"/>
      <c r="N412" s="1400"/>
      <c r="O412" s="1400"/>
      <c r="P412" s="1400"/>
      <c r="Q412" s="1400"/>
      <c r="R412" s="1400"/>
      <c r="S412" s="1400"/>
      <c r="T412" s="1400"/>
      <c r="U412" s="1400"/>
      <c r="V412" s="1400"/>
      <c r="W412" s="1265"/>
      <c r="X412" s="1400"/>
      <c r="Y412" s="1400"/>
      <c r="Z412" s="1400"/>
      <c r="AA412" s="1400"/>
      <c r="AB412" s="1401"/>
      <c r="AC412" s="1401"/>
      <c r="AD412" s="1401"/>
      <c r="AE412" s="1401"/>
      <c r="AF412" s="1401"/>
      <c r="AG412" s="1401"/>
      <c r="AH412" s="1401"/>
      <c r="AI412" s="1401"/>
      <c r="AJ412" s="1401"/>
      <c r="AK412" s="1280"/>
      <c r="AL412" s="1401"/>
      <c r="AM412" s="1401"/>
      <c r="AN412" s="1401"/>
      <c r="AO412" s="1401"/>
      <c r="AP412" s="1402"/>
      <c r="AQ412" s="1402"/>
      <c r="AR412" s="1402"/>
      <c r="AS412" s="1402"/>
      <c r="AT412" s="1402"/>
      <c r="AU412" s="1402"/>
      <c r="AV412" s="1402"/>
      <c r="AW412" s="1402"/>
      <c r="AX412" s="1402"/>
      <c r="AY412" s="1402"/>
      <c r="AZ412" s="1402"/>
      <c r="BA412" s="1402"/>
      <c r="BB412" s="1402"/>
      <c r="BC412" s="1402"/>
      <c r="BD412" s="1403"/>
      <c r="BE412" s="1403"/>
      <c r="BF412" s="1403"/>
      <c r="BG412" s="1403"/>
      <c r="BH412" s="1403"/>
      <c r="BI412" s="1403"/>
      <c r="BJ412" s="1403"/>
      <c r="BK412" s="1403"/>
      <c r="BL412" s="1403"/>
      <c r="BM412" s="1403"/>
      <c r="BN412" s="1403"/>
      <c r="BO412" s="1403"/>
      <c r="BP412" s="1404"/>
      <c r="BQ412" s="1261"/>
    </row>
    <row r="413" spans="2:69" ht="18.75" customHeight="1" x14ac:dyDescent="0.25">
      <c r="W413" s="1265"/>
      <c r="AK413" s="1280"/>
      <c r="AN413" s="1289"/>
      <c r="AO413" s="1289"/>
      <c r="AP413" s="1299"/>
      <c r="AQ413" s="1299"/>
      <c r="AR413" s="1299"/>
      <c r="AS413" s="1299"/>
      <c r="AT413" s="1300"/>
      <c r="AU413" s="1300"/>
      <c r="AV413" s="1300"/>
      <c r="AW413" s="1300"/>
      <c r="AX413" s="1300"/>
      <c r="AY413" s="1300"/>
      <c r="AZ413" s="1300"/>
      <c r="BA413" s="1300"/>
      <c r="BB413" s="1300"/>
      <c r="BC413" s="1300"/>
      <c r="BD413" s="1262"/>
      <c r="BE413" s="1262"/>
      <c r="BF413" s="1262"/>
      <c r="BG413" s="1262"/>
      <c r="BH413" s="1263"/>
      <c r="BI413" s="1263"/>
      <c r="BJ413" s="1263"/>
      <c r="BK413" s="1263"/>
      <c r="BL413" s="1263"/>
      <c r="BM413" s="1263"/>
      <c r="BN413" s="1263"/>
      <c r="BO413" s="1263"/>
      <c r="BP413" s="1263"/>
      <c r="BQ413" s="1263"/>
    </row>
    <row r="414" spans="2:69" x14ac:dyDescent="0.25">
      <c r="N414" s="1278" t="s">
        <v>696</v>
      </c>
      <c r="O414" s="1278"/>
      <c r="P414" s="1278"/>
      <c r="Q414" s="1278"/>
      <c r="R414" s="1279"/>
      <c r="S414" s="1279"/>
      <c r="T414" s="1279"/>
      <c r="U414" s="1279"/>
      <c r="V414" s="1279"/>
      <c r="W414" s="1279"/>
      <c r="X414" s="1279"/>
      <c r="Y414" s="1279"/>
      <c r="Z414" s="1279"/>
      <c r="AA414" s="1279"/>
      <c r="AB414" s="1288" t="s">
        <v>696</v>
      </c>
      <c r="AC414" s="1288"/>
      <c r="AD414" s="1288"/>
      <c r="AE414" s="1288"/>
      <c r="AF414" s="1289"/>
      <c r="AG414" s="1289"/>
      <c r="AH414" s="1289"/>
      <c r="AI414" s="1289"/>
      <c r="AJ414" s="1289"/>
      <c r="AK414" s="1289"/>
      <c r="AL414" s="1289"/>
      <c r="AM414" s="1289"/>
    </row>
    <row r="415" spans="2:69" x14ac:dyDescent="0.25">
      <c r="N415" s="1401" t="s">
        <v>3771</v>
      </c>
      <c r="O415" s="1395"/>
      <c r="P415" s="1395"/>
      <c r="Q415" s="1395"/>
      <c r="R415" s="1395"/>
      <c r="S415" s="1395"/>
      <c r="T415" s="1395"/>
      <c r="U415" s="1395"/>
      <c r="V415" s="1395"/>
      <c r="W415" s="1395"/>
      <c r="X415" s="1395"/>
      <c r="Y415" s="1395"/>
      <c r="AB415" s="1411" t="s">
        <v>691</v>
      </c>
      <c r="AC415" s="1396"/>
      <c r="AD415" s="1396"/>
      <c r="AE415" s="1396"/>
      <c r="AF415" s="1396"/>
      <c r="AG415" s="1396"/>
      <c r="AH415" s="1396"/>
      <c r="AI415" s="1396"/>
      <c r="AJ415" s="1396"/>
      <c r="AK415" s="1396"/>
      <c r="AL415" s="1396"/>
      <c r="AM415" s="1396"/>
    </row>
    <row r="416" spans="2:69" x14ac:dyDescent="0.25">
      <c r="N416" s="1410" t="s">
        <v>3772</v>
      </c>
      <c r="O416" s="1395"/>
      <c r="P416" s="1395"/>
      <c r="Q416" s="1395"/>
      <c r="R416" s="1395"/>
      <c r="S416" s="1395"/>
      <c r="T416" s="1395"/>
      <c r="U416" s="1395"/>
      <c r="V416" s="1395"/>
      <c r="W416" s="1395"/>
      <c r="X416" s="1395"/>
      <c r="Y416" s="1395"/>
      <c r="AB416" s="1396"/>
      <c r="AC416" s="1396"/>
      <c r="AD416" s="1396"/>
      <c r="AE416" s="1396"/>
      <c r="AF416" s="1396"/>
      <c r="AG416" s="1396"/>
      <c r="AH416" s="1396"/>
      <c r="AI416" s="1396"/>
      <c r="AJ416" s="1396"/>
      <c r="AK416" s="1396"/>
      <c r="AL416" s="1396"/>
      <c r="AM416" s="1396"/>
    </row>
    <row r="417" spans="14:39" x14ac:dyDescent="0.25">
      <c r="N417" s="1412" t="s">
        <v>3773</v>
      </c>
      <c r="P417" s="1395"/>
      <c r="Q417" s="1395"/>
      <c r="R417" s="1395"/>
      <c r="S417" s="1395"/>
      <c r="T417" s="1395"/>
      <c r="U417" s="1395"/>
      <c r="V417" s="1395"/>
      <c r="W417" s="1395"/>
      <c r="X417" s="1395" t="s">
        <v>693</v>
      </c>
      <c r="Y417" s="1395"/>
      <c r="AB417" s="1413" t="s">
        <v>692</v>
      </c>
      <c r="AD417" s="1396"/>
      <c r="AE417" s="1396"/>
      <c r="AF417" s="1396"/>
      <c r="AG417" s="1396"/>
      <c r="AH417" s="1396"/>
      <c r="AI417" s="1396"/>
      <c r="AJ417" s="1396"/>
      <c r="AK417" s="1396"/>
      <c r="AL417" s="1396" t="s">
        <v>693</v>
      </c>
      <c r="AM417" s="1396"/>
    </row>
    <row r="418" spans="14:39" x14ac:dyDescent="0.25">
      <c r="N418" s="1942" t="s">
        <v>111</v>
      </c>
      <c r="O418" s="1418"/>
      <c r="P418" s="1938" t="s">
        <v>694</v>
      </c>
      <c r="Q418" s="1939"/>
      <c r="R418" s="1939"/>
      <c r="S418" s="1939"/>
      <c r="T418" s="1939"/>
      <c r="U418" s="1939"/>
      <c r="V418" s="1939"/>
      <c r="W418" s="1939"/>
      <c r="X418" s="1940"/>
      <c r="Y418" s="1395"/>
      <c r="AB418" s="1980" t="s">
        <v>111</v>
      </c>
      <c r="AC418" s="1432"/>
      <c r="AD418" s="1442" t="s">
        <v>694</v>
      </c>
      <c r="AE418" s="1442"/>
      <c r="AF418" s="1442"/>
      <c r="AG418" s="1442"/>
      <c r="AH418" s="1442"/>
      <c r="AI418" s="1442"/>
      <c r="AJ418" s="1442"/>
      <c r="AK418" s="1442"/>
      <c r="AL418" s="1442"/>
      <c r="AM418" s="1396"/>
    </row>
    <row r="419" spans="14:39" x14ac:dyDescent="0.25">
      <c r="N419" s="1943"/>
      <c r="O419" s="1418"/>
      <c r="P419" s="1424">
        <v>15</v>
      </c>
      <c r="Q419" s="1424">
        <v>50</v>
      </c>
      <c r="R419" s="1424">
        <v>100</v>
      </c>
      <c r="S419" s="1424">
        <v>200</v>
      </c>
      <c r="T419" s="1424">
        <v>500</v>
      </c>
      <c r="U419" s="1424">
        <v>1000</v>
      </c>
      <c r="V419" s="1424">
        <v>2000</v>
      </c>
      <c r="W419" s="1424">
        <v>5000</v>
      </c>
      <c r="X419" s="1424">
        <v>8000</v>
      </c>
      <c r="Y419" s="1395"/>
      <c r="AB419" s="1981"/>
      <c r="AC419" s="1432"/>
      <c r="AD419" s="1442">
        <v>15</v>
      </c>
      <c r="AE419" s="1442">
        <v>50</v>
      </c>
      <c r="AF419" s="1442">
        <v>100</v>
      </c>
      <c r="AG419" s="1442">
        <v>200</v>
      </c>
      <c r="AH419" s="1442">
        <v>500</v>
      </c>
      <c r="AI419" s="1442">
        <v>1000</v>
      </c>
      <c r="AJ419" s="1442">
        <v>2000</v>
      </c>
      <c r="AK419" s="1442">
        <v>5000</v>
      </c>
      <c r="AL419" s="1442">
        <v>8000</v>
      </c>
      <c r="AM419" s="1396"/>
    </row>
    <row r="420" spans="14:39" x14ac:dyDescent="0.25">
      <c r="N420" s="1423" t="s">
        <v>112</v>
      </c>
      <c r="O420" s="1418">
        <v>1</v>
      </c>
      <c r="P420" s="1397">
        <v>0.16500000000000001</v>
      </c>
      <c r="Q420" s="1397">
        <v>0.11</v>
      </c>
      <c r="R420" s="1397">
        <v>8.5000000000000006E-2</v>
      </c>
      <c r="S420" s="1397">
        <v>6.5000000000000002E-2</v>
      </c>
      <c r="T420" s="1397">
        <v>0.05</v>
      </c>
      <c r="U420" s="1397">
        <v>4.1000000000000002E-2</v>
      </c>
      <c r="V420" s="1397">
        <v>2.9000000000000001E-2</v>
      </c>
      <c r="W420" s="1397">
        <v>2.1999999999999999E-2</v>
      </c>
      <c r="X420" s="1397">
        <v>1.9E-2</v>
      </c>
      <c r="Y420" s="1395"/>
      <c r="AB420" s="1442" t="s">
        <v>112</v>
      </c>
      <c r="AC420" s="1432">
        <v>1</v>
      </c>
      <c r="AD420" s="1442">
        <v>0.16500000000000001</v>
      </c>
      <c r="AE420" s="1442">
        <v>0.11</v>
      </c>
      <c r="AF420" s="1442">
        <v>8.5000000000000006E-2</v>
      </c>
      <c r="AG420" s="1442">
        <v>6.5000000000000002E-2</v>
      </c>
      <c r="AH420" s="1442">
        <v>0.05</v>
      </c>
      <c r="AI420" s="1442">
        <v>4.1000000000000002E-2</v>
      </c>
      <c r="AJ420" s="1442">
        <v>2.9000000000000001E-2</v>
      </c>
      <c r="AK420" s="1442">
        <v>2.1999999999999999E-2</v>
      </c>
      <c r="AL420" s="1442">
        <v>1.9E-2</v>
      </c>
      <c r="AM420" s="1396"/>
    </row>
    <row r="421" spans="14:39" x14ac:dyDescent="0.25">
      <c r="N421" s="1423" t="s">
        <v>113</v>
      </c>
      <c r="O421" s="1418">
        <v>2</v>
      </c>
      <c r="P421" s="1397">
        <v>0.19</v>
      </c>
      <c r="Q421" s="1397">
        <v>0.126</v>
      </c>
      <c r="R421" s="1397">
        <v>9.7000000000000003E-2</v>
      </c>
      <c r="S421" s="1397">
        <v>7.4999999999999997E-2</v>
      </c>
      <c r="T421" s="1397">
        <v>5.8000000000000003E-2</v>
      </c>
      <c r="U421" s="1397">
        <v>4.3999999999999997E-2</v>
      </c>
      <c r="V421" s="1397">
        <v>3.5000000000000003E-2</v>
      </c>
      <c r="W421" s="1397">
        <v>2.5999999999999999E-2</v>
      </c>
      <c r="X421" s="1397">
        <v>2.1999999999999999E-2</v>
      </c>
      <c r="Y421" s="1395"/>
      <c r="AB421" s="1442" t="s">
        <v>113</v>
      </c>
      <c r="AC421" s="1432">
        <v>2</v>
      </c>
      <c r="AD421" s="1442">
        <v>0.19</v>
      </c>
      <c r="AE421" s="1442">
        <v>0.126</v>
      </c>
      <c r="AF421" s="1442">
        <v>9.7000000000000003E-2</v>
      </c>
      <c r="AG421" s="1442">
        <v>7.4999999999999997E-2</v>
      </c>
      <c r="AH421" s="1442">
        <v>5.8000000000000003E-2</v>
      </c>
      <c r="AI421" s="1442">
        <v>4.3999999999999997E-2</v>
      </c>
      <c r="AJ421" s="1442">
        <v>3.5000000000000003E-2</v>
      </c>
      <c r="AK421" s="1442">
        <v>2.5999999999999999E-2</v>
      </c>
      <c r="AL421" s="1442">
        <v>2.1999999999999999E-2</v>
      </c>
      <c r="AM421" s="1396"/>
    </row>
    <row r="422" spans="14:39" x14ac:dyDescent="0.25">
      <c r="N422" s="1423" t="s">
        <v>114</v>
      </c>
      <c r="O422" s="1418">
        <v>3</v>
      </c>
      <c r="P422" s="1397">
        <v>0.109</v>
      </c>
      <c r="Q422" s="1397">
        <v>7.1999999999999995E-2</v>
      </c>
      <c r="R422" s="1397">
        <v>5.5E-2</v>
      </c>
      <c r="S422" s="1397">
        <v>4.2999999999999997E-2</v>
      </c>
      <c r="T422" s="1397">
        <v>3.3000000000000002E-2</v>
      </c>
      <c r="U422" s="1397">
        <v>2.5000000000000001E-2</v>
      </c>
      <c r="V422" s="1397">
        <v>2.1000000000000001E-2</v>
      </c>
      <c r="W422" s="1397">
        <v>1.6E-2</v>
      </c>
      <c r="X422" s="1397">
        <v>1.4E-2</v>
      </c>
      <c r="Y422" s="1395"/>
      <c r="AB422" s="1442" t="s">
        <v>114</v>
      </c>
      <c r="AC422" s="1432">
        <v>3</v>
      </c>
      <c r="AD422" s="1442">
        <v>0.109</v>
      </c>
      <c r="AE422" s="1442">
        <v>7.1999999999999995E-2</v>
      </c>
      <c r="AF422" s="1442">
        <v>5.5E-2</v>
      </c>
      <c r="AG422" s="1442">
        <v>4.2999999999999997E-2</v>
      </c>
      <c r="AH422" s="1442">
        <v>3.3000000000000002E-2</v>
      </c>
      <c r="AI422" s="1442">
        <v>2.5000000000000001E-2</v>
      </c>
      <c r="AJ422" s="1442">
        <v>2.1000000000000001E-2</v>
      </c>
      <c r="AK422" s="1442">
        <v>1.6E-2</v>
      </c>
      <c r="AL422" s="1442">
        <v>1.4E-2</v>
      </c>
      <c r="AM422" s="1396"/>
    </row>
    <row r="423" spans="14:39" x14ac:dyDescent="0.25">
      <c r="N423" s="1423" t="s">
        <v>697</v>
      </c>
      <c r="O423" s="1418">
        <v>4</v>
      </c>
      <c r="P423" s="1397">
        <v>0.121</v>
      </c>
      <c r="Q423" s="1397">
        <v>0.08</v>
      </c>
      <c r="R423" s="1397">
        <v>6.0999999999999999E-2</v>
      </c>
      <c r="S423" s="1397">
        <v>4.8000000000000001E-2</v>
      </c>
      <c r="T423" s="1397">
        <v>3.6999999999999998E-2</v>
      </c>
      <c r="U423" s="1397">
        <v>2.8000000000000001E-2</v>
      </c>
      <c r="V423" s="1397">
        <v>2.3E-2</v>
      </c>
      <c r="W423" s="1397">
        <v>1.7000000000000001E-2</v>
      </c>
      <c r="X423" s="1397">
        <v>1.4E-2</v>
      </c>
      <c r="Y423" s="1395"/>
      <c r="AB423" s="1442" t="s">
        <v>697</v>
      </c>
      <c r="AC423" s="1432">
        <v>4</v>
      </c>
      <c r="AD423" s="1442">
        <v>0.121</v>
      </c>
      <c r="AE423" s="1442">
        <v>0.08</v>
      </c>
      <c r="AF423" s="1442">
        <v>6.0999999999999999E-2</v>
      </c>
      <c r="AG423" s="1442">
        <v>4.8000000000000001E-2</v>
      </c>
      <c r="AH423" s="1442">
        <v>3.6999999999999998E-2</v>
      </c>
      <c r="AI423" s="1442">
        <v>2.8000000000000001E-2</v>
      </c>
      <c r="AJ423" s="1442">
        <v>2.3E-2</v>
      </c>
      <c r="AK423" s="1442">
        <v>1.7000000000000001E-2</v>
      </c>
      <c r="AL423" s="1442">
        <v>1.4999999999999999E-2</v>
      </c>
      <c r="AM423" s="1396"/>
    </row>
    <row r="424" spans="14:39" x14ac:dyDescent="0.25">
      <c r="N424" s="1423" t="s">
        <v>116</v>
      </c>
      <c r="O424" s="1418">
        <v>5</v>
      </c>
      <c r="P424" s="1397">
        <v>0.126</v>
      </c>
      <c r="Q424" s="1397">
        <v>8.5000000000000006E-2</v>
      </c>
      <c r="R424" s="1397">
        <v>6.5000000000000002E-2</v>
      </c>
      <c r="S424" s="1397">
        <v>0.05</v>
      </c>
      <c r="T424" s="1397">
        <v>3.9E-2</v>
      </c>
      <c r="U424" s="1397">
        <v>0.03</v>
      </c>
      <c r="V424" s="1397">
        <v>2.5999999999999999E-2</v>
      </c>
      <c r="W424" s="1397">
        <v>1.9E-2</v>
      </c>
      <c r="X424" s="1397">
        <v>1.7000000000000001E-2</v>
      </c>
      <c r="Y424" s="1395"/>
      <c r="AB424" s="1442" t="s">
        <v>116</v>
      </c>
      <c r="AC424" s="1432">
        <v>5</v>
      </c>
      <c r="AD424" s="1442">
        <v>0.126</v>
      </c>
      <c r="AE424" s="1442">
        <v>8.5000000000000006E-2</v>
      </c>
      <c r="AF424" s="1442">
        <v>6.5000000000000002E-2</v>
      </c>
      <c r="AG424" s="1442">
        <v>0.05</v>
      </c>
      <c r="AH424" s="1442">
        <v>3.9E-2</v>
      </c>
      <c r="AI424" s="1442">
        <v>0.03</v>
      </c>
      <c r="AJ424" s="1442">
        <v>2.5999999999999999E-2</v>
      </c>
      <c r="AK424" s="1442">
        <v>1.9E-2</v>
      </c>
      <c r="AL424" s="1442">
        <v>1.7000000000000001E-2</v>
      </c>
      <c r="AM424" s="1396"/>
    </row>
    <row r="425" spans="14:39" x14ac:dyDescent="0.25">
      <c r="N425" s="1395"/>
      <c r="O425" s="1395"/>
      <c r="P425" s="1395"/>
      <c r="Q425" s="1395"/>
      <c r="R425" s="1395"/>
      <c r="S425" s="1395"/>
      <c r="T425" s="1395"/>
      <c r="U425" s="1395"/>
      <c r="V425" s="1395"/>
      <c r="W425" s="1395"/>
      <c r="X425" s="1395"/>
      <c r="Y425" s="1395"/>
      <c r="AB425" s="1396"/>
      <c r="AC425" s="1396"/>
      <c r="AD425" s="1396"/>
      <c r="AE425" s="1396"/>
      <c r="AF425" s="1396"/>
      <c r="AG425" s="1396"/>
      <c r="AH425" s="1396"/>
      <c r="AI425" s="1396"/>
      <c r="AJ425" s="1396"/>
      <c r="AK425" s="1396"/>
      <c r="AL425" s="1396"/>
      <c r="AM425" s="1396"/>
    </row>
    <row r="426" spans="14:39" x14ac:dyDescent="0.25">
      <c r="N426" s="1412" t="s">
        <v>3774</v>
      </c>
      <c r="P426" s="1395"/>
      <c r="Q426" s="1395"/>
      <c r="R426" s="1395"/>
      <c r="S426" s="1395"/>
      <c r="T426" s="1395"/>
      <c r="U426" s="1395"/>
      <c r="V426" s="1395"/>
      <c r="W426" s="1395"/>
      <c r="X426" s="1395"/>
      <c r="Y426" s="1395"/>
      <c r="AB426" s="1413" t="s">
        <v>695</v>
      </c>
      <c r="AD426" s="1396"/>
      <c r="AE426" s="1396"/>
      <c r="AF426" s="1396"/>
      <c r="AG426" s="1396"/>
      <c r="AH426" s="1396"/>
      <c r="AI426" s="1396"/>
      <c r="AJ426" s="1396"/>
      <c r="AK426" s="1396"/>
      <c r="AL426" s="1396"/>
      <c r="AM426" s="1396"/>
    </row>
    <row r="427" spans="14:39" x14ac:dyDescent="0.25">
      <c r="N427" s="1395"/>
      <c r="O427" s="1395"/>
      <c r="P427" s="1395"/>
      <c r="Q427" s="1395"/>
      <c r="R427" s="1395"/>
      <c r="S427" s="1395"/>
      <c r="T427" s="1395"/>
      <c r="U427" s="1395"/>
      <c r="V427" s="1395"/>
      <c r="Y427" s="1395"/>
      <c r="AB427" s="1396"/>
      <c r="AC427" s="1396"/>
      <c r="AD427" s="1396"/>
      <c r="AE427" s="1396"/>
      <c r="AF427" s="1396"/>
      <c r="AG427" s="1396"/>
      <c r="AH427" s="1396"/>
      <c r="AI427" s="1396"/>
      <c r="AJ427" s="1396"/>
      <c r="AM427" s="1396"/>
    </row>
    <row r="428" spans="14:39" x14ac:dyDescent="0.25">
      <c r="N428" s="1942" t="s">
        <v>111</v>
      </c>
      <c r="O428" s="1418"/>
      <c r="P428" s="1938" t="s">
        <v>694</v>
      </c>
      <c r="Q428" s="1939"/>
      <c r="R428" s="1939"/>
      <c r="S428" s="1939"/>
      <c r="T428" s="1939"/>
      <c r="U428" s="1939"/>
      <c r="V428" s="1939"/>
      <c r="W428" s="1939"/>
      <c r="X428" s="1940"/>
      <c r="Y428" s="1395"/>
      <c r="AB428" s="1980" t="s">
        <v>111</v>
      </c>
      <c r="AC428" s="1432"/>
      <c r="AD428" s="1442" t="s">
        <v>694</v>
      </c>
      <c r="AE428" s="1442"/>
      <c r="AF428" s="1442"/>
      <c r="AG428" s="1442"/>
      <c r="AH428" s="1442"/>
      <c r="AI428" s="1442"/>
      <c r="AJ428" s="1442"/>
      <c r="AK428" s="1442"/>
      <c r="AL428" s="1442"/>
      <c r="AM428" s="1396"/>
    </row>
    <row r="429" spans="14:39" x14ac:dyDescent="0.25">
      <c r="N429" s="1943"/>
      <c r="O429" s="1418"/>
      <c r="P429" s="1423">
        <v>15</v>
      </c>
      <c r="Q429" s="1423">
        <v>50</v>
      </c>
      <c r="R429" s="1423">
        <v>100</v>
      </c>
      <c r="S429" s="1423">
        <v>200</v>
      </c>
      <c r="T429" s="1423">
        <v>500</v>
      </c>
      <c r="U429" s="1423">
        <v>1000</v>
      </c>
      <c r="V429" s="1423">
        <v>2000</v>
      </c>
      <c r="W429" s="1423">
        <v>5000</v>
      </c>
      <c r="X429" s="1423">
        <v>8000</v>
      </c>
      <c r="Y429" s="1395"/>
      <c r="AB429" s="1981"/>
      <c r="AC429" s="1432"/>
      <c r="AD429" s="1442">
        <v>15</v>
      </c>
      <c r="AE429" s="1442">
        <v>50</v>
      </c>
      <c r="AF429" s="1442">
        <v>100</v>
      </c>
      <c r="AG429" s="1442">
        <v>200</v>
      </c>
      <c r="AH429" s="1442">
        <v>500</v>
      </c>
      <c r="AI429" s="1442">
        <v>1000</v>
      </c>
      <c r="AJ429" s="1442">
        <v>2000</v>
      </c>
      <c r="AK429" s="1442">
        <v>5000</v>
      </c>
      <c r="AL429" s="1442">
        <v>8000</v>
      </c>
      <c r="AM429" s="1396"/>
    </row>
    <row r="430" spans="14:39" x14ac:dyDescent="0.25">
      <c r="N430" s="1423" t="s">
        <v>112</v>
      </c>
      <c r="O430" s="1418">
        <v>1</v>
      </c>
      <c r="P430" s="1397">
        <v>0.16</v>
      </c>
      <c r="Q430" s="1397">
        <v>0.106</v>
      </c>
      <c r="R430" s="1397">
        <v>8.3000000000000004E-2</v>
      </c>
      <c r="S430" s="1397">
        <v>6.2E-2</v>
      </c>
      <c r="T430" s="1397">
        <v>4.5999999999999999E-2</v>
      </c>
      <c r="U430" s="1397">
        <v>3.7999999999999999E-2</v>
      </c>
      <c r="V430" s="1397">
        <v>2.8000000000000001E-2</v>
      </c>
      <c r="W430" s="1397">
        <v>2.1000000000000001E-2</v>
      </c>
      <c r="X430" s="1397">
        <v>1.7999999999999999E-2</v>
      </c>
      <c r="Y430" s="1395"/>
      <c r="AB430" s="1442" t="s">
        <v>112</v>
      </c>
      <c r="AC430" s="1432">
        <v>1</v>
      </c>
      <c r="AD430" s="1442">
        <v>0.16</v>
      </c>
      <c r="AE430" s="1442">
        <v>0.106</v>
      </c>
      <c r="AF430" s="1442">
        <v>8.3000000000000004E-2</v>
      </c>
      <c r="AG430" s="1442">
        <v>6.2E-2</v>
      </c>
      <c r="AH430" s="1442">
        <v>4.5999999999999999E-2</v>
      </c>
      <c r="AI430" s="1442">
        <v>3.7999999999999999E-2</v>
      </c>
      <c r="AJ430" s="1442">
        <v>2.8000000000000001E-2</v>
      </c>
      <c r="AK430" s="1442">
        <v>2.1000000000000001E-2</v>
      </c>
      <c r="AL430" s="1442">
        <v>1.7999999999999999E-2</v>
      </c>
      <c r="AM430" s="1396"/>
    </row>
    <row r="431" spans="14:39" x14ac:dyDescent="0.25">
      <c r="N431" s="1423" t="s">
        <v>113</v>
      </c>
      <c r="O431" s="1418">
        <v>2</v>
      </c>
      <c r="P431" s="1397">
        <v>0.185</v>
      </c>
      <c r="Q431" s="1397">
        <v>0.121</v>
      </c>
      <c r="R431" s="1397">
        <v>9.4E-2</v>
      </c>
      <c r="S431" s="1397">
        <v>7.1999999999999995E-2</v>
      </c>
      <c r="T431" s="1397">
        <v>5.5E-2</v>
      </c>
      <c r="U431" s="1397">
        <v>4.1000000000000002E-2</v>
      </c>
      <c r="V431" s="1397">
        <v>3.3000000000000002E-2</v>
      </c>
      <c r="W431" s="1397">
        <v>2.3E-2</v>
      </c>
      <c r="X431" s="1397">
        <v>0.02</v>
      </c>
      <c r="Y431" s="1395"/>
      <c r="AB431" s="1442" t="s">
        <v>113</v>
      </c>
      <c r="AC431" s="1432">
        <v>2</v>
      </c>
      <c r="AD431" s="1442">
        <v>0.185</v>
      </c>
      <c r="AE431" s="1442">
        <v>0.121</v>
      </c>
      <c r="AF431" s="1442">
        <v>9.4E-2</v>
      </c>
      <c r="AG431" s="1442">
        <v>7.1999999999999995E-2</v>
      </c>
      <c r="AH431" s="1442">
        <v>5.5E-2</v>
      </c>
      <c r="AI431" s="1442">
        <v>4.1000000000000002E-2</v>
      </c>
      <c r="AJ431" s="1442">
        <v>3.3000000000000002E-2</v>
      </c>
      <c r="AK431" s="1442">
        <v>2.3E-2</v>
      </c>
      <c r="AL431" s="1442">
        <v>0.02</v>
      </c>
      <c r="AM431" s="1396"/>
    </row>
    <row r="432" spans="14:39" x14ac:dyDescent="0.25">
      <c r="N432" s="1423" t="s">
        <v>114</v>
      </c>
      <c r="O432" s="1418">
        <v>3</v>
      </c>
      <c r="P432" s="1397">
        <v>0.106</v>
      </c>
      <c r="Q432" s="1397">
        <v>6.8000000000000005E-2</v>
      </c>
      <c r="R432" s="1397">
        <v>5.3999999999999999E-2</v>
      </c>
      <c r="S432" s="1397">
        <v>4.1000000000000002E-2</v>
      </c>
      <c r="T432" s="1397">
        <v>3.1E-2</v>
      </c>
      <c r="U432" s="1397">
        <v>2.4E-2</v>
      </c>
      <c r="V432" s="1397">
        <v>0.02</v>
      </c>
      <c r="W432" s="1397">
        <v>1.4E-2</v>
      </c>
      <c r="X432" s="1397">
        <v>1.2E-2</v>
      </c>
      <c r="Y432" s="1395"/>
      <c r="AB432" s="1442" t="s">
        <v>114</v>
      </c>
      <c r="AC432" s="1432">
        <v>3</v>
      </c>
      <c r="AD432" s="1442">
        <v>0.106</v>
      </c>
      <c r="AE432" s="1442">
        <v>6.8000000000000005E-2</v>
      </c>
      <c r="AF432" s="1442">
        <v>5.3999999999999999E-2</v>
      </c>
      <c r="AG432" s="1442">
        <v>4.1000000000000002E-2</v>
      </c>
      <c r="AH432" s="1442">
        <v>3.1E-2</v>
      </c>
      <c r="AI432" s="1442">
        <v>2.4E-2</v>
      </c>
      <c r="AJ432" s="1442">
        <v>0.02</v>
      </c>
      <c r="AK432" s="1442">
        <v>1.4E-2</v>
      </c>
      <c r="AL432" s="1442">
        <v>1.2E-2</v>
      </c>
      <c r="AM432" s="1396"/>
    </row>
    <row r="433" spans="14:39" x14ac:dyDescent="0.25">
      <c r="N433" s="1423" t="s">
        <v>697</v>
      </c>
      <c r="O433" s="1418">
        <v>4</v>
      </c>
      <c r="P433" s="1397">
        <v>0.11700000000000001</v>
      </c>
      <c r="Q433" s="1397">
        <v>7.5999999999999998E-2</v>
      </c>
      <c r="R433" s="1397">
        <v>0.06</v>
      </c>
      <c r="S433" s="1397">
        <v>4.5999999999999999E-2</v>
      </c>
      <c r="T433" s="1397">
        <v>3.5000000000000003E-2</v>
      </c>
      <c r="U433" s="1397">
        <v>2.5999999999999999E-2</v>
      </c>
      <c r="V433" s="1397">
        <v>2.1999999999999999E-2</v>
      </c>
      <c r="W433" s="1397">
        <v>1.6E-2</v>
      </c>
      <c r="X433" s="1397">
        <v>1.4E-2</v>
      </c>
      <c r="Y433" s="1395"/>
      <c r="AB433" s="1442" t="s">
        <v>697</v>
      </c>
      <c r="AC433" s="1432">
        <v>4</v>
      </c>
      <c r="AD433" s="1442">
        <v>0.11700000000000001</v>
      </c>
      <c r="AE433" s="1442">
        <v>7.5999999999999998E-2</v>
      </c>
      <c r="AF433" s="1442">
        <v>0.06</v>
      </c>
      <c r="AG433" s="1442">
        <v>4.5999999999999999E-2</v>
      </c>
      <c r="AH433" s="1442">
        <v>3.5000000000000003E-2</v>
      </c>
      <c r="AI433" s="1442">
        <v>2.5999999999999999E-2</v>
      </c>
      <c r="AJ433" s="1442">
        <v>2.1999999999999999E-2</v>
      </c>
      <c r="AK433" s="1442">
        <v>1.6E-2</v>
      </c>
      <c r="AL433" s="1442">
        <v>1.4E-2</v>
      </c>
      <c r="AM433" s="1396"/>
    </row>
    <row r="434" spans="14:39" x14ac:dyDescent="0.25">
      <c r="N434" s="1423" t="s">
        <v>116</v>
      </c>
      <c r="O434" s="1418">
        <v>5</v>
      </c>
      <c r="P434" s="1397">
        <v>0.122</v>
      </c>
      <c r="Q434" s="1397">
        <v>8.2000000000000003E-2</v>
      </c>
      <c r="R434" s="1397">
        <v>6.2E-2</v>
      </c>
      <c r="S434" s="1397">
        <v>4.7E-2</v>
      </c>
      <c r="T434" s="1397">
        <v>3.6999999999999998E-2</v>
      </c>
      <c r="U434" s="1397">
        <v>2.9000000000000001E-2</v>
      </c>
      <c r="V434" s="1397">
        <v>2.4E-2</v>
      </c>
      <c r="W434" s="1397">
        <v>1.7000000000000001E-2</v>
      </c>
      <c r="X434" s="1397">
        <v>1.4E-2</v>
      </c>
      <c r="Y434" s="1395"/>
      <c r="AB434" s="1442" t="s">
        <v>116</v>
      </c>
      <c r="AC434" s="1432">
        <v>5</v>
      </c>
      <c r="AD434" s="1442">
        <v>0.122</v>
      </c>
      <c r="AE434" s="1442">
        <v>8.2000000000000003E-2</v>
      </c>
      <c r="AF434" s="1442">
        <v>6.2E-2</v>
      </c>
      <c r="AG434" s="1442">
        <v>4.7E-2</v>
      </c>
      <c r="AH434" s="1442">
        <v>3.6999999999999998E-2</v>
      </c>
      <c r="AI434" s="1442">
        <v>2.9000000000000001E-2</v>
      </c>
      <c r="AJ434" s="1442">
        <v>2.4E-2</v>
      </c>
      <c r="AK434" s="1442">
        <v>1.7000000000000001E-2</v>
      </c>
      <c r="AL434" s="1442">
        <v>1.4999999999999999E-2</v>
      </c>
      <c r="AM434" s="1396"/>
    </row>
    <row r="435" spans="14:39" x14ac:dyDescent="0.25">
      <c r="N435" s="1410" t="s">
        <v>3775</v>
      </c>
      <c r="O435" s="1395"/>
      <c r="P435" s="1395"/>
      <c r="Q435" s="1395"/>
      <c r="R435" s="1395"/>
      <c r="S435" s="1395"/>
      <c r="T435" s="1395"/>
      <c r="U435" s="1395"/>
      <c r="V435" s="1395"/>
      <c r="W435" s="1395"/>
      <c r="X435" s="1395"/>
      <c r="AB435" s="1411" t="s">
        <v>698</v>
      </c>
      <c r="AC435" s="1396"/>
      <c r="AD435" s="1396"/>
      <c r="AE435" s="1396"/>
      <c r="AF435" s="1396"/>
      <c r="AG435" s="1396"/>
      <c r="AH435" s="1396"/>
      <c r="AI435" s="1396"/>
      <c r="AJ435" s="1396"/>
      <c r="AK435" s="1396"/>
      <c r="AL435" s="1396"/>
    </row>
    <row r="436" spans="14:39" x14ac:dyDescent="0.25">
      <c r="N436" s="1395"/>
      <c r="O436" s="1395"/>
      <c r="P436" s="1395"/>
      <c r="Q436" s="1395"/>
      <c r="R436" s="1395"/>
      <c r="S436" s="1395"/>
      <c r="T436" s="1395"/>
      <c r="U436" s="1395"/>
      <c r="V436" s="1395"/>
      <c r="W436" s="1395"/>
      <c r="X436" s="1395"/>
      <c r="AB436" s="1396"/>
      <c r="AC436" s="1396"/>
      <c r="AD436" s="1396"/>
      <c r="AE436" s="1396"/>
      <c r="AF436" s="1396"/>
      <c r="AG436" s="1396"/>
      <c r="AH436" s="1396"/>
      <c r="AI436" s="1396"/>
      <c r="AJ436" s="1396"/>
      <c r="AK436" s="1396"/>
      <c r="AL436" s="1396"/>
    </row>
    <row r="437" spans="14:39" x14ac:dyDescent="0.25">
      <c r="N437" s="1412" t="s">
        <v>3776</v>
      </c>
      <c r="P437" s="1395"/>
      <c r="Q437" s="1395"/>
      <c r="R437" s="1395"/>
      <c r="S437" s="1395"/>
      <c r="T437" s="1395"/>
      <c r="U437" s="1395"/>
      <c r="V437" s="1395"/>
      <c r="W437" s="1395"/>
      <c r="X437" s="1395" t="s">
        <v>693</v>
      </c>
      <c r="AB437" s="1413" t="s">
        <v>692</v>
      </c>
      <c r="AD437" s="1396"/>
      <c r="AE437" s="1396"/>
      <c r="AF437" s="1396"/>
      <c r="AG437" s="1396"/>
      <c r="AH437" s="1396"/>
      <c r="AI437" s="1396"/>
      <c r="AJ437" s="1396"/>
      <c r="AK437" s="1396"/>
      <c r="AL437" s="1396" t="s">
        <v>693</v>
      </c>
    </row>
    <row r="438" spans="14:39" x14ac:dyDescent="0.25">
      <c r="N438" s="1942" t="s">
        <v>111</v>
      </c>
      <c r="O438" s="1418"/>
      <c r="P438" s="1941" t="s">
        <v>694</v>
      </c>
      <c r="Q438" s="1941"/>
      <c r="R438" s="1941"/>
      <c r="S438" s="1941"/>
      <c r="T438" s="1941"/>
      <c r="U438" s="1941"/>
      <c r="V438" s="1941"/>
      <c r="W438" s="1941"/>
      <c r="X438" s="1941"/>
      <c r="AB438" s="1982" t="s">
        <v>111</v>
      </c>
      <c r="AC438" s="1432"/>
      <c r="AD438" s="1442" t="s">
        <v>694</v>
      </c>
      <c r="AE438" s="1442"/>
      <c r="AF438" s="1442"/>
      <c r="AG438" s="1442"/>
      <c r="AH438" s="1442"/>
      <c r="AI438" s="1442"/>
      <c r="AJ438" s="1442"/>
      <c r="AK438" s="1442"/>
      <c r="AL438" s="1442"/>
    </row>
    <row r="439" spans="14:39" x14ac:dyDescent="0.25">
      <c r="N439" s="1943"/>
      <c r="O439" s="1418"/>
      <c r="P439" s="1423">
        <v>15</v>
      </c>
      <c r="Q439" s="1423">
        <v>50</v>
      </c>
      <c r="R439" s="1423">
        <v>100</v>
      </c>
      <c r="S439" s="1423">
        <v>200</v>
      </c>
      <c r="T439" s="1423">
        <v>500</v>
      </c>
      <c r="U439" s="1423">
        <v>1000</v>
      </c>
      <c r="V439" s="1423">
        <v>2000</v>
      </c>
      <c r="W439" s="1423">
        <v>5000</v>
      </c>
      <c r="X439" s="1423">
        <v>8000</v>
      </c>
      <c r="AB439" s="1982"/>
      <c r="AC439" s="1432"/>
      <c r="AD439" s="1442">
        <v>15</v>
      </c>
      <c r="AE439" s="1442">
        <v>50</v>
      </c>
      <c r="AF439" s="1442">
        <v>100</v>
      </c>
      <c r="AG439" s="1442">
        <v>200</v>
      </c>
      <c r="AH439" s="1442">
        <v>500</v>
      </c>
      <c r="AI439" s="1442">
        <v>1000</v>
      </c>
      <c r="AJ439" s="1442">
        <v>2000</v>
      </c>
      <c r="AK439" s="1442">
        <v>5000</v>
      </c>
      <c r="AL439" s="1442">
        <v>8000</v>
      </c>
    </row>
    <row r="440" spans="14:39" x14ac:dyDescent="0.25">
      <c r="N440" s="1423" t="s">
        <v>112</v>
      </c>
      <c r="O440" s="1418">
        <v>1</v>
      </c>
      <c r="P440" s="1397">
        <v>4.9500000000000002E-2</v>
      </c>
      <c r="Q440" s="1397">
        <v>3.3000000000000002E-2</v>
      </c>
      <c r="R440" s="1397">
        <v>2.5499999999999998E-2</v>
      </c>
      <c r="S440" s="1397">
        <v>1.95E-2</v>
      </c>
      <c r="T440" s="1397">
        <v>1.4999999999999999E-2</v>
      </c>
      <c r="U440" s="1397">
        <v>1.23E-2</v>
      </c>
      <c r="V440" s="1397">
        <v>8.6999999999999994E-3</v>
      </c>
      <c r="W440" s="1397">
        <v>6.6E-3</v>
      </c>
      <c r="X440" s="1397">
        <v>5.7000000000000002E-3</v>
      </c>
      <c r="AB440" s="1442" t="s">
        <v>112</v>
      </c>
      <c r="AC440" s="1432">
        <v>1</v>
      </c>
      <c r="AD440" s="1442">
        <v>4.9500000000000002E-2</v>
      </c>
      <c r="AE440" s="1442">
        <v>3.3000000000000002E-2</v>
      </c>
      <c r="AF440" s="1442">
        <v>2.5499999999999998E-2</v>
      </c>
      <c r="AG440" s="1442">
        <v>1.95E-2</v>
      </c>
      <c r="AH440" s="1442">
        <v>1.4999999999999999E-2</v>
      </c>
      <c r="AI440" s="1442">
        <v>1.23E-2</v>
      </c>
      <c r="AJ440" s="1442">
        <v>8.6999999999999994E-3</v>
      </c>
      <c r="AK440" s="1442">
        <v>6.6E-3</v>
      </c>
      <c r="AL440" s="1442">
        <v>5.7000000000000002E-3</v>
      </c>
    </row>
    <row r="441" spans="14:39" x14ac:dyDescent="0.25">
      <c r="N441" s="1423" t="s">
        <v>113</v>
      </c>
      <c r="O441" s="1418">
        <v>2</v>
      </c>
      <c r="P441" s="1397">
        <v>5.7000000000000002E-2</v>
      </c>
      <c r="Q441" s="1397">
        <v>3.78E-2</v>
      </c>
      <c r="R441" s="1397">
        <v>2.9100000000000001E-2</v>
      </c>
      <c r="S441" s="1397">
        <v>2.2499999999999999E-2</v>
      </c>
      <c r="T441" s="1397">
        <v>1.7399999999999999E-2</v>
      </c>
      <c r="U441" s="1397">
        <v>1.32E-2</v>
      </c>
      <c r="V441" s="1397">
        <v>1.0500000000000001E-2</v>
      </c>
      <c r="W441" s="1397">
        <v>7.7999999999999996E-3</v>
      </c>
      <c r="X441" s="1397">
        <v>6.6E-3</v>
      </c>
      <c r="AB441" s="1442" t="s">
        <v>113</v>
      </c>
      <c r="AC441" s="1432">
        <v>2</v>
      </c>
      <c r="AD441" s="1442">
        <v>5.7000000000000002E-2</v>
      </c>
      <c r="AE441" s="1442">
        <v>3.78E-2</v>
      </c>
      <c r="AF441" s="1442">
        <v>2.9100000000000001E-2</v>
      </c>
      <c r="AG441" s="1442">
        <v>2.2499999999999999E-2</v>
      </c>
      <c r="AH441" s="1442">
        <v>1.7399999999999999E-2</v>
      </c>
      <c r="AI441" s="1442">
        <v>1.32E-2</v>
      </c>
      <c r="AJ441" s="1442">
        <v>1.0500000000000001E-2</v>
      </c>
      <c r="AK441" s="1442">
        <v>7.7999999999999996E-3</v>
      </c>
      <c r="AL441" s="1442">
        <v>6.6E-3</v>
      </c>
    </row>
    <row r="442" spans="14:39" x14ac:dyDescent="0.25">
      <c r="N442" s="1423" t="s">
        <v>114</v>
      </c>
      <c r="O442" s="1418">
        <v>3</v>
      </c>
      <c r="P442" s="1397">
        <v>3.27E-2</v>
      </c>
      <c r="Q442" s="1397">
        <v>2.1600000000000001E-2</v>
      </c>
      <c r="R442" s="1397">
        <v>1.6500000000000001E-2</v>
      </c>
      <c r="S442" s="1397">
        <v>1.29E-2</v>
      </c>
      <c r="T442" s="1397">
        <v>9.9000000000000008E-3</v>
      </c>
      <c r="U442" s="1397">
        <v>7.4999999999999997E-3</v>
      </c>
      <c r="V442" s="1397">
        <v>6.3E-3</v>
      </c>
      <c r="W442" s="1397">
        <v>4.7999999999999996E-3</v>
      </c>
      <c r="X442" s="1397">
        <v>4.1999999999999997E-3</v>
      </c>
      <c r="AB442" s="1442" t="s">
        <v>114</v>
      </c>
      <c r="AC442" s="1432">
        <v>3</v>
      </c>
      <c r="AD442" s="1442">
        <v>3.27E-2</v>
      </c>
      <c r="AE442" s="1442">
        <v>2.1600000000000001E-2</v>
      </c>
      <c r="AF442" s="1442">
        <v>1.6500000000000001E-2</v>
      </c>
      <c r="AG442" s="1442">
        <v>1.29E-2</v>
      </c>
      <c r="AH442" s="1442">
        <v>9.9000000000000008E-3</v>
      </c>
      <c r="AI442" s="1442">
        <v>7.4999999999999997E-3</v>
      </c>
      <c r="AJ442" s="1442">
        <v>6.3E-3</v>
      </c>
      <c r="AK442" s="1442">
        <v>4.7999999999999996E-3</v>
      </c>
      <c r="AL442" s="1442">
        <v>4.1999999999999997E-3</v>
      </c>
    </row>
    <row r="443" spans="14:39" x14ac:dyDescent="0.25">
      <c r="N443" s="1423" t="s">
        <v>697</v>
      </c>
      <c r="O443" s="1418">
        <v>4</v>
      </c>
      <c r="P443" s="1397">
        <v>3.6299999999999999E-2</v>
      </c>
      <c r="Q443" s="1397">
        <v>2.4E-2</v>
      </c>
      <c r="R443" s="1397">
        <v>1.83E-2</v>
      </c>
      <c r="S443" s="1397">
        <v>1.44E-2</v>
      </c>
      <c r="T443" s="1397">
        <v>1.11E-2</v>
      </c>
      <c r="U443" s="1397">
        <v>8.3999999999999995E-3</v>
      </c>
      <c r="V443" s="1397">
        <v>6.8999999999999999E-3</v>
      </c>
      <c r="W443" s="1397">
        <v>5.1000000000000004E-3</v>
      </c>
      <c r="X443" s="1397">
        <v>4.1999999999999997E-3</v>
      </c>
      <c r="AB443" s="1442" t="s">
        <v>697</v>
      </c>
      <c r="AC443" s="1432">
        <v>4</v>
      </c>
      <c r="AD443" s="1442">
        <v>3.6299999999999999E-2</v>
      </c>
      <c r="AE443" s="1442">
        <v>2.4E-2</v>
      </c>
      <c r="AF443" s="1442">
        <v>1.83E-2</v>
      </c>
      <c r="AG443" s="1442">
        <v>1.44E-2</v>
      </c>
      <c r="AH443" s="1442">
        <v>1.11E-2</v>
      </c>
      <c r="AI443" s="1442">
        <v>8.3999999999999995E-3</v>
      </c>
      <c r="AJ443" s="1442">
        <v>6.8999999999999999E-3</v>
      </c>
      <c r="AK443" s="1442">
        <v>5.1000000000000004E-3</v>
      </c>
      <c r="AL443" s="1442">
        <v>4.3E-3</v>
      </c>
    </row>
    <row r="444" spans="14:39" x14ac:dyDescent="0.25">
      <c r="N444" s="1423" t="s">
        <v>116</v>
      </c>
      <c r="O444" s="1418">
        <v>5</v>
      </c>
      <c r="P444" s="1397">
        <v>3.78E-2</v>
      </c>
      <c r="Q444" s="1397">
        <v>2.5499999999999998E-2</v>
      </c>
      <c r="R444" s="1397">
        <v>1.95E-2</v>
      </c>
      <c r="S444" s="1397">
        <v>1.4999999999999999E-2</v>
      </c>
      <c r="T444" s="1397">
        <v>1.17E-2</v>
      </c>
      <c r="U444" s="1397">
        <v>8.9999999999999993E-3</v>
      </c>
      <c r="V444" s="1397">
        <v>7.8E-2</v>
      </c>
      <c r="W444" s="1397">
        <v>5.7000000000000002E-3</v>
      </c>
      <c r="X444" s="1397">
        <v>5.1000000000000004E-3</v>
      </c>
      <c r="AB444" s="1442" t="s">
        <v>116</v>
      </c>
      <c r="AC444" s="1432">
        <v>5</v>
      </c>
      <c r="AD444" s="1442">
        <v>3.78E-2</v>
      </c>
      <c r="AE444" s="1442">
        <v>2.5499999999999998E-2</v>
      </c>
      <c r="AF444" s="1442">
        <v>1.95E-2</v>
      </c>
      <c r="AG444" s="1442">
        <v>1.4999999999999999E-2</v>
      </c>
      <c r="AH444" s="1442">
        <v>1.17E-2</v>
      </c>
      <c r="AI444" s="1442">
        <v>8.9999999999999993E-3</v>
      </c>
      <c r="AJ444" s="1442">
        <v>7.8E-2</v>
      </c>
      <c r="AK444" s="1442">
        <v>5.7000000000000002E-3</v>
      </c>
      <c r="AL444" s="1442">
        <v>5.1000000000000004E-3</v>
      </c>
    </row>
    <row r="445" spans="14:39" x14ac:dyDescent="0.25">
      <c r="N445" s="1395"/>
      <c r="O445" s="1395"/>
      <c r="P445" s="1395"/>
      <c r="Q445" s="1395"/>
      <c r="R445" s="1395"/>
      <c r="S445" s="1395"/>
      <c r="T445" s="1395"/>
      <c r="U445" s="1395"/>
      <c r="V445" s="1395"/>
      <c r="W445" s="1395"/>
      <c r="X445" s="1395"/>
      <c r="AB445" s="1396"/>
      <c r="AC445" s="1396"/>
      <c r="AD445" s="1396"/>
      <c r="AE445" s="1396"/>
      <c r="AF445" s="1396"/>
      <c r="AG445" s="1396"/>
      <c r="AH445" s="1396"/>
      <c r="AI445" s="1396"/>
      <c r="AJ445" s="1396"/>
      <c r="AK445" s="1396"/>
      <c r="AL445" s="1396"/>
    </row>
    <row r="446" spans="14:39" x14ac:dyDescent="0.25">
      <c r="N446" s="1412" t="s">
        <v>3774</v>
      </c>
      <c r="P446" s="1395"/>
      <c r="Q446" s="1395"/>
      <c r="R446" s="1395"/>
      <c r="S446" s="1395"/>
      <c r="T446" s="1395"/>
      <c r="U446" s="1395"/>
      <c r="V446" s="1395"/>
      <c r="W446" s="1395"/>
      <c r="X446" s="1395"/>
      <c r="AB446" s="1413" t="s">
        <v>695</v>
      </c>
      <c r="AD446" s="1396"/>
      <c r="AE446" s="1396"/>
      <c r="AF446" s="1396"/>
      <c r="AG446" s="1396"/>
      <c r="AH446" s="1396"/>
      <c r="AI446" s="1396"/>
      <c r="AJ446" s="1396"/>
      <c r="AK446" s="1396"/>
      <c r="AL446" s="1396"/>
    </row>
    <row r="447" spans="14:39" x14ac:dyDescent="0.25">
      <c r="N447" s="1395"/>
      <c r="O447" s="1395"/>
      <c r="P447" s="1395"/>
      <c r="Q447" s="1395"/>
      <c r="R447" s="1395"/>
      <c r="S447" s="1395"/>
      <c r="T447" s="1395"/>
      <c r="U447" s="1395"/>
      <c r="V447" s="1395"/>
      <c r="AB447" s="1396"/>
      <c r="AC447" s="1396"/>
      <c r="AD447" s="1396"/>
      <c r="AE447" s="1396"/>
      <c r="AF447" s="1396"/>
      <c r="AG447" s="1396"/>
      <c r="AH447" s="1396"/>
      <c r="AI447" s="1396"/>
      <c r="AJ447" s="1396"/>
    </row>
    <row r="448" spans="14:39" x14ac:dyDescent="0.25">
      <c r="N448" s="1960" t="s">
        <v>111</v>
      </c>
      <c r="O448" s="1418"/>
      <c r="P448" s="1423" t="s">
        <v>694</v>
      </c>
      <c r="Q448" s="1423"/>
      <c r="R448" s="1423"/>
      <c r="S448" s="1423"/>
      <c r="T448" s="1423"/>
      <c r="U448" s="1423"/>
      <c r="V448" s="1423"/>
      <c r="W448" s="1423"/>
      <c r="X448" s="1423"/>
      <c r="AB448" s="1982" t="s">
        <v>111</v>
      </c>
      <c r="AC448" s="1432"/>
      <c r="AD448" s="1442" t="s">
        <v>694</v>
      </c>
      <c r="AE448" s="1442"/>
      <c r="AF448" s="1442"/>
      <c r="AG448" s="1442"/>
      <c r="AH448" s="1442"/>
      <c r="AI448" s="1442"/>
      <c r="AJ448" s="1442"/>
      <c r="AK448" s="1442"/>
      <c r="AL448" s="1442"/>
    </row>
    <row r="449" spans="14:38" x14ac:dyDescent="0.25">
      <c r="N449" s="1960"/>
      <c r="O449" s="1418"/>
      <c r="P449" s="1423">
        <v>15</v>
      </c>
      <c r="Q449" s="1423">
        <v>50</v>
      </c>
      <c r="R449" s="1423">
        <v>100</v>
      </c>
      <c r="S449" s="1423">
        <v>200</v>
      </c>
      <c r="T449" s="1423">
        <v>500</v>
      </c>
      <c r="U449" s="1423">
        <v>1000</v>
      </c>
      <c r="V449" s="1423">
        <v>2000</v>
      </c>
      <c r="W449" s="1423">
        <v>5000</v>
      </c>
      <c r="X449" s="1423">
        <v>8000</v>
      </c>
      <c r="AB449" s="1982"/>
      <c r="AC449" s="1432"/>
      <c r="AD449" s="1442">
        <v>15</v>
      </c>
      <c r="AE449" s="1442">
        <v>50</v>
      </c>
      <c r="AF449" s="1442">
        <v>100</v>
      </c>
      <c r="AG449" s="1442">
        <v>200</v>
      </c>
      <c r="AH449" s="1442">
        <v>500</v>
      </c>
      <c r="AI449" s="1442">
        <v>1000</v>
      </c>
      <c r="AJ449" s="1442">
        <v>2000</v>
      </c>
      <c r="AK449" s="1442">
        <v>5000</v>
      </c>
      <c r="AL449" s="1442">
        <v>8000</v>
      </c>
    </row>
    <row r="450" spans="14:38" x14ac:dyDescent="0.25">
      <c r="N450" s="1423" t="s">
        <v>112</v>
      </c>
      <c r="O450" s="1418">
        <v>1</v>
      </c>
      <c r="P450" s="1397">
        <v>4.8000000000000001E-2</v>
      </c>
      <c r="Q450" s="1397">
        <v>3.1800000000000002E-2</v>
      </c>
      <c r="R450" s="1397">
        <v>2.4899999999999999E-2</v>
      </c>
      <c r="S450" s="1397">
        <v>1.8599999999999998E-2</v>
      </c>
      <c r="T450" s="1397">
        <v>1.38E-2</v>
      </c>
      <c r="U450" s="1397">
        <v>1.14E-2</v>
      </c>
      <c r="V450" s="1397">
        <v>8.3999999999999995E-3</v>
      </c>
      <c r="W450" s="1397">
        <v>6.3E-3</v>
      </c>
      <c r="X450" s="1397">
        <v>5.4000000000000003E-3</v>
      </c>
      <c r="AB450" s="1442" t="s">
        <v>112</v>
      </c>
      <c r="AC450" s="1432">
        <v>1</v>
      </c>
      <c r="AD450" s="1442">
        <v>4.8000000000000001E-2</v>
      </c>
      <c r="AE450" s="1442">
        <v>3.1800000000000002E-2</v>
      </c>
      <c r="AF450" s="1442">
        <v>2.4899999999999999E-2</v>
      </c>
      <c r="AG450" s="1442">
        <v>1.8599999999999998E-2</v>
      </c>
      <c r="AH450" s="1442">
        <v>1.38E-2</v>
      </c>
      <c r="AI450" s="1442">
        <v>1.14E-2</v>
      </c>
      <c r="AJ450" s="1442">
        <v>8.3999999999999995E-3</v>
      </c>
      <c r="AK450" s="1442">
        <v>6.3E-3</v>
      </c>
      <c r="AL450" s="1442">
        <v>5.4000000000000003E-3</v>
      </c>
    </row>
    <row r="451" spans="14:38" x14ac:dyDescent="0.25">
      <c r="N451" s="1423" t="s">
        <v>113</v>
      </c>
      <c r="O451" s="1418">
        <v>2</v>
      </c>
      <c r="P451" s="1397">
        <v>5.5500000000000001E-2</v>
      </c>
      <c r="Q451" s="1397">
        <v>3.6299999999999999E-2</v>
      </c>
      <c r="R451" s="1397">
        <v>2.8199999999999999E-2</v>
      </c>
      <c r="S451" s="1397">
        <v>2.1600000000000001E-2</v>
      </c>
      <c r="T451" s="1397">
        <v>1.6500000000000001E-2</v>
      </c>
      <c r="U451" s="1397">
        <v>1.23E-2</v>
      </c>
      <c r="V451" s="1397">
        <v>9.9000000000000008E-3</v>
      </c>
      <c r="W451" s="1397">
        <v>6.8999999999999999E-3</v>
      </c>
      <c r="X451" s="1397">
        <v>6.0000000000000001E-3</v>
      </c>
      <c r="AB451" s="1442" t="s">
        <v>113</v>
      </c>
      <c r="AC451" s="1432">
        <v>2</v>
      </c>
      <c r="AD451" s="1442">
        <v>5.5500000000000001E-2</v>
      </c>
      <c r="AE451" s="1442">
        <v>3.6299999999999999E-2</v>
      </c>
      <c r="AF451" s="1442">
        <v>2.8199999999999999E-2</v>
      </c>
      <c r="AG451" s="1442">
        <v>2.1600000000000001E-2</v>
      </c>
      <c r="AH451" s="1442">
        <v>1.6500000000000001E-2</v>
      </c>
      <c r="AI451" s="1442">
        <v>1.23E-2</v>
      </c>
      <c r="AJ451" s="1442">
        <v>9.9000000000000008E-3</v>
      </c>
      <c r="AK451" s="1442">
        <v>6.8999999999999999E-3</v>
      </c>
      <c r="AL451" s="1442">
        <v>6.0000000000000001E-3</v>
      </c>
    </row>
    <row r="452" spans="14:38" x14ac:dyDescent="0.25">
      <c r="N452" s="1423" t="s">
        <v>114</v>
      </c>
      <c r="O452" s="1418">
        <v>3</v>
      </c>
      <c r="P452" s="1397">
        <v>3.1800000000000002E-2</v>
      </c>
      <c r="Q452" s="1397">
        <v>2.0400000000000001E-2</v>
      </c>
      <c r="R452" s="1397">
        <v>1.6199999999999999E-2</v>
      </c>
      <c r="S452" s="1397">
        <v>1.23E-2</v>
      </c>
      <c r="T452" s="1397">
        <v>9.2999999999999992E-3</v>
      </c>
      <c r="U452" s="1397">
        <v>7.1999999999999998E-3</v>
      </c>
      <c r="V452" s="1397">
        <v>6.0000000000000001E-3</v>
      </c>
      <c r="W452" s="1397">
        <v>4.1999999999999997E-3</v>
      </c>
      <c r="X452" s="1397">
        <v>3.5999999999999999E-3</v>
      </c>
      <c r="AB452" s="1442" t="s">
        <v>114</v>
      </c>
      <c r="AC452" s="1432">
        <v>3</v>
      </c>
      <c r="AD452" s="1442">
        <v>3.1800000000000002E-2</v>
      </c>
      <c r="AE452" s="1442">
        <v>2.0400000000000001E-2</v>
      </c>
      <c r="AF452" s="1442">
        <v>1.6199999999999999E-2</v>
      </c>
      <c r="AG452" s="1442">
        <v>1.23E-2</v>
      </c>
      <c r="AH452" s="1442">
        <v>9.2999999999999992E-3</v>
      </c>
      <c r="AI452" s="1442">
        <v>7.1999999999999998E-3</v>
      </c>
      <c r="AJ452" s="1442">
        <v>6.0000000000000001E-3</v>
      </c>
      <c r="AK452" s="1442">
        <v>4.1999999999999997E-3</v>
      </c>
      <c r="AL452" s="1442">
        <v>3.5999999999999999E-3</v>
      </c>
    </row>
    <row r="453" spans="14:38" x14ac:dyDescent="0.25">
      <c r="N453" s="1423" t="s">
        <v>697</v>
      </c>
      <c r="O453" s="1418">
        <v>4</v>
      </c>
      <c r="P453" s="1397">
        <v>3.5099999999999999E-2</v>
      </c>
      <c r="Q453" s="1397">
        <v>2.2800000000000001E-2</v>
      </c>
      <c r="R453" s="1397">
        <v>1.7999999999999999E-2</v>
      </c>
      <c r="S453" s="1397">
        <v>1.38E-2</v>
      </c>
      <c r="T453" s="1397">
        <v>1.0500000000000001E-2</v>
      </c>
      <c r="U453" s="1397">
        <v>7.7999999999999996E-3</v>
      </c>
      <c r="V453" s="1397">
        <v>6.6E-3</v>
      </c>
      <c r="W453" s="1397">
        <v>4.7999999999999996E-3</v>
      </c>
      <c r="X453" s="1397">
        <v>4.1999999999999997E-3</v>
      </c>
      <c r="AB453" s="1442" t="s">
        <v>697</v>
      </c>
      <c r="AC453" s="1432">
        <v>4</v>
      </c>
      <c r="AD453" s="1442">
        <v>3.5099999999999999E-2</v>
      </c>
      <c r="AE453" s="1442">
        <v>2.2800000000000001E-2</v>
      </c>
      <c r="AF453" s="1442">
        <v>1.7999999999999999E-2</v>
      </c>
      <c r="AG453" s="1442">
        <v>1.38E-2</v>
      </c>
      <c r="AH453" s="1442">
        <v>1.0500000000000001E-2</v>
      </c>
      <c r="AI453" s="1442">
        <v>7.7999999999999996E-3</v>
      </c>
      <c r="AJ453" s="1442">
        <v>6.6E-3</v>
      </c>
      <c r="AK453" s="1442">
        <v>4.7999999999999996E-3</v>
      </c>
      <c r="AL453" s="1442">
        <v>4.1999999999999997E-3</v>
      </c>
    </row>
    <row r="454" spans="14:38" x14ac:dyDescent="0.25">
      <c r="N454" s="1423" t="s">
        <v>116</v>
      </c>
      <c r="O454" s="1418">
        <v>5</v>
      </c>
      <c r="P454" s="1397">
        <v>3.6600000000000001E-2</v>
      </c>
      <c r="Q454" s="1397">
        <v>2.46E-2</v>
      </c>
      <c r="R454" s="1397">
        <v>1.8599999999999998E-2</v>
      </c>
      <c r="S454" s="1397">
        <v>1.41E-2</v>
      </c>
      <c r="T454" s="1397">
        <v>1.11E-2</v>
      </c>
      <c r="U454" s="1397">
        <v>8.6999999999999994E-3</v>
      </c>
      <c r="V454" s="1397">
        <v>7.1999999999999998E-3</v>
      </c>
      <c r="W454" s="1397">
        <v>5.1000000000000004E-3</v>
      </c>
      <c r="X454" s="1397">
        <v>4.1999999999999997E-3</v>
      </c>
      <c r="AB454" s="1442" t="s">
        <v>116</v>
      </c>
      <c r="AC454" s="1432">
        <v>5</v>
      </c>
      <c r="AD454" s="1442">
        <v>3.6600000000000001E-2</v>
      </c>
      <c r="AE454" s="1442">
        <v>2.46E-2</v>
      </c>
      <c r="AF454" s="1442">
        <v>1.8599999999999998E-2</v>
      </c>
      <c r="AG454" s="1442">
        <v>1.41E-2</v>
      </c>
      <c r="AH454" s="1442">
        <v>1.11E-2</v>
      </c>
      <c r="AI454" s="1442">
        <v>8.6999999999999994E-3</v>
      </c>
      <c r="AJ454" s="1442">
        <v>7.1999999999999998E-3</v>
      </c>
      <c r="AK454" s="1442">
        <v>5.1000000000000004E-3</v>
      </c>
      <c r="AL454" s="1442">
        <v>4.3E-3</v>
      </c>
    </row>
    <row r="455" spans="14:38" x14ac:dyDescent="0.25">
      <c r="N455" s="1467" t="s">
        <v>3777</v>
      </c>
      <c r="O455" s="1468"/>
      <c r="P455" s="1468"/>
      <c r="Q455" s="1468"/>
      <c r="R455" s="1468"/>
      <c r="S455" s="1468"/>
      <c r="T455" s="1468"/>
      <c r="U455" s="1468"/>
      <c r="V455" s="1468"/>
      <c r="W455" s="1468"/>
      <c r="X455" s="1469"/>
      <c r="AB455" s="1411" t="s">
        <v>699</v>
      </c>
      <c r="AC455" s="1396"/>
      <c r="AD455" s="1396"/>
      <c r="AE455" s="1396"/>
      <c r="AF455" s="1396"/>
      <c r="AG455" s="1396"/>
      <c r="AH455" s="1396"/>
      <c r="AI455" s="1396"/>
      <c r="AJ455" s="1396"/>
      <c r="AK455" s="1396"/>
    </row>
    <row r="456" spans="14:38" x14ac:dyDescent="0.25">
      <c r="N456" s="1468"/>
      <c r="O456" s="1468"/>
      <c r="P456" s="1468"/>
      <c r="Q456" s="1468"/>
      <c r="R456" s="1468"/>
      <c r="S456" s="1468"/>
      <c r="T456" s="1468"/>
      <c r="U456" s="1468"/>
      <c r="V456" s="1468"/>
      <c r="W456" s="1468"/>
      <c r="X456" s="1469"/>
      <c r="AB456" s="1396"/>
      <c r="AC456" s="1396"/>
      <c r="AD456" s="1396"/>
      <c r="AE456" s="1396"/>
      <c r="AF456" s="1396"/>
      <c r="AG456" s="1396"/>
      <c r="AH456" s="1396"/>
      <c r="AI456" s="1396"/>
      <c r="AJ456" s="1396"/>
      <c r="AK456" s="1396"/>
    </row>
    <row r="457" spans="14:38" x14ac:dyDescent="0.25">
      <c r="N457" s="1470" t="s">
        <v>700</v>
      </c>
      <c r="O457" s="1469"/>
      <c r="P457" s="1468"/>
      <c r="Q457" s="1468"/>
      <c r="R457" s="1468"/>
      <c r="S457" s="1468"/>
      <c r="T457" s="1468"/>
      <c r="U457" s="1468"/>
      <c r="V457" s="1468"/>
      <c r="W457" s="1468"/>
      <c r="X457" s="1469"/>
      <c r="AB457" s="1413" t="s">
        <v>700</v>
      </c>
      <c r="AD457" s="1396"/>
      <c r="AE457" s="1396"/>
      <c r="AF457" s="1396"/>
      <c r="AG457" s="1396"/>
      <c r="AH457" s="1396"/>
      <c r="AI457" s="1396"/>
      <c r="AJ457" s="1396"/>
      <c r="AK457" s="1396"/>
    </row>
    <row r="458" spans="14:38" x14ac:dyDescent="0.25">
      <c r="N458" s="1961" t="s">
        <v>111</v>
      </c>
      <c r="O458" s="1471"/>
      <c r="P458" s="1472" t="s">
        <v>694</v>
      </c>
      <c r="Q458" s="1472"/>
      <c r="R458" s="1472"/>
      <c r="S458" s="1472"/>
      <c r="T458" s="1472"/>
      <c r="U458" s="1472"/>
      <c r="V458" s="1472"/>
      <c r="W458" s="1472"/>
      <c r="X458" s="1472"/>
      <c r="AB458" s="1982" t="s">
        <v>111</v>
      </c>
      <c r="AC458" s="1432"/>
      <c r="AD458" s="1442" t="s">
        <v>694</v>
      </c>
      <c r="AE458" s="1442"/>
      <c r="AF458" s="1442"/>
      <c r="AG458" s="1442"/>
      <c r="AH458" s="1442"/>
      <c r="AI458" s="1442"/>
      <c r="AJ458" s="1442"/>
      <c r="AK458" s="1442"/>
      <c r="AL458" s="1442"/>
    </row>
    <row r="459" spans="14:38" x14ac:dyDescent="0.25">
      <c r="N459" s="1961"/>
      <c r="O459" s="1471"/>
      <c r="P459" s="1472">
        <v>15</v>
      </c>
      <c r="Q459" s="1472">
        <v>50</v>
      </c>
      <c r="R459" s="1472">
        <v>100</v>
      </c>
      <c r="S459" s="1472">
        <v>200</v>
      </c>
      <c r="T459" s="1472">
        <v>500</v>
      </c>
      <c r="U459" s="1472">
        <v>1000</v>
      </c>
      <c r="V459" s="1472">
        <v>2000</v>
      </c>
      <c r="W459" s="1472">
        <v>5000</v>
      </c>
      <c r="X459" s="1472">
        <v>8000</v>
      </c>
      <c r="AB459" s="1982"/>
      <c r="AC459" s="1432"/>
      <c r="AD459" s="1442">
        <v>15</v>
      </c>
      <c r="AE459" s="1442">
        <v>50</v>
      </c>
      <c r="AF459" s="1442">
        <v>100</v>
      </c>
      <c r="AG459" s="1442">
        <v>200</v>
      </c>
      <c r="AH459" s="1442">
        <v>500</v>
      </c>
      <c r="AI459" s="1442">
        <v>1000</v>
      </c>
      <c r="AJ459" s="1442">
        <v>2000</v>
      </c>
      <c r="AK459" s="1442">
        <v>5000</v>
      </c>
      <c r="AL459" s="1442">
        <v>8000</v>
      </c>
    </row>
    <row r="460" spans="14:38" x14ac:dyDescent="0.25">
      <c r="N460" s="1472" t="s">
        <v>112</v>
      </c>
      <c r="O460" s="1471">
        <v>1</v>
      </c>
      <c r="P460" s="1472">
        <v>9.9000000000000005E-2</v>
      </c>
      <c r="Q460" s="1472">
        <v>6.6000000000000003E-2</v>
      </c>
      <c r="R460" s="1472">
        <v>5.0999999999999997E-2</v>
      </c>
      <c r="S460" s="1472">
        <v>3.9E-2</v>
      </c>
      <c r="T460" s="1472">
        <v>0.03</v>
      </c>
      <c r="U460" s="1472">
        <v>2.4E-2</v>
      </c>
      <c r="V460" s="1472">
        <v>1.7000000000000001E-2</v>
      </c>
      <c r="W460" s="1472">
        <v>1.2999999999999999E-2</v>
      </c>
      <c r="X460" s="1472">
        <v>1.2E-2</v>
      </c>
      <c r="AB460" s="1442" t="s">
        <v>112</v>
      </c>
      <c r="AC460" s="1432">
        <v>1</v>
      </c>
      <c r="AD460" s="1442">
        <v>9.9000000000000005E-2</v>
      </c>
      <c r="AE460" s="1442">
        <v>6.6000000000000003E-2</v>
      </c>
      <c r="AF460" s="1442">
        <v>5.0999999999999997E-2</v>
      </c>
      <c r="AG460" s="1442">
        <v>3.9E-2</v>
      </c>
      <c r="AH460" s="1442">
        <v>0.03</v>
      </c>
      <c r="AI460" s="1442">
        <v>2.4E-2</v>
      </c>
      <c r="AJ460" s="1442">
        <v>1.7000000000000001E-2</v>
      </c>
      <c r="AK460" s="1442">
        <v>1.2999999999999999E-2</v>
      </c>
      <c r="AL460" s="1442">
        <v>1.2E-2</v>
      </c>
    </row>
    <row r="461" spans="14:38" x14ac:dyDescent="0.25">
      <c r="N461" s="1472" t="s">
        <v>113</v>
      </c>
      <c r="O461" s="1471">
        <v>2</v>
      </c>
      <c r="P461" s="1472">
        <v>0.114</v>
      </c>
      <c r="Q461" s="1472">
        <v>7.5999999999999998E-2</v>
      </c>
      <c r="R461" s="1472">
        <v>5.8000000000000003E-2</v>
      </c>
      <c r="S461" s="1472">
        <v>4.4999999999999998E-2</v>
      </c>
      <c r="T461" s="1472">
        <v>3.5000000000000003E-2</v>
      </c>
      <c r="U461" s="1472">
        <v>2.5999999999999999E-2</v>
      </c>
      <c r="V461" s="1472">
        <v>2.1000000000000001E-2</v>
      </c>
      <c r="W461" s="1472">
        <v>1.6E-2</v>
      </c>
      <c r="X461" s="1472">
        <v>1.2999999999999999E-2</v>
      </c>
      <c r="AB461" s="1442" t="s">
        <v>113</v>
      </c>
      <c r="AC461" s="1432">
        <v>2</v>
      </c>
      <c r="AD461" s="1442">
        <v>0.114</v>
      </c>
      <c r="AE461" s="1442">
        <v>7.5999999999999998E-2</v>
      </c>
      <c r="AF461" s="1442">
        <v>5.8000000000000003E-2</v>
      </c>
      <c r="AG461" s="1442">
        <v>4.4999999999999998E-2</v>
      </c>
      <c r="AH461" s="1442">
        <v>3.5000000000000003E-2</v>
      </c>
      <c r="AI461" s="1442">
        <v>2.5999999999999999E-2</v>
      </c>
      <c r="AJ461" s="1442">
        <v>2.1000000000000001E-2</v>
      </c>
      <c r="AK461" s="1442">
        <v>1.6E-2</v>
      </c>
      <c r="AL461" s="1442">
        <v>1.2999999999999999E-2</v>
      </c>
    </row>
    <row r="462" spans="14:38" x14ac:dyDescent="0.25">
      <c r="N462" s="1472" t="s">
        <v>114</v>
      </c>
      <c r="O462" s="1471">
        <v>3</v>
      </c>
      <c r="P462" s="1472">
        <v>6.5000000000000002E-2</v>
      </c>
      <c r="Q462" s="1472">
        <v>4.2999999999999997E-2</v>
      </c>
      <c r="R462" s="1472">
        <v>3.3000000000000002E-2</v>
      </c>
      <c r="S462" s="1472">
        <v>2.5999999999999999E-2</v>
      </c>
      <c r="T462" s="1472">
        <v>0.02</v>
      </c>
      <c r="U462" s="1472">
        <v>1.4999999999999999E-2</v>
      </c>
      <c r="V462" s="1472">
        <v>1.2E-2</v>
      </c>
      <c r="W462" s="1472">
        <v>0.01</v>
      </c>
      <c r="X462" s="1472">
        <v>8.0000000000000002E-3</v>
      </c>
      <c r="AB462" s="1442" t="s">
        <v>114</v>
      </c>
      <c r="AC462" s="1432">
        <v>3</v>
      </c>
      <c r="AD462" s="1442">
        <v>6.5000000000000002E-2</v>
      </c>
      <c r="AE462" s="1442">
        <v>4.2999999999999997E-2</v>
      </c>
      <c r="AF462" s="1442">
        <v>3.3000000000000002E-2</v>
      </c>
      <c r="AG462" s="1442">
        <v>2.5999999999999999E-2</v>
      </c>
      <c r="AH462" s="1442">
        <v>0.02</v>
      </c>
      <c r="AI462" s="1442">
        <v>1.4999999999999999E-2</v>
      </c>
      <c r="AJ462" s="1442">
        <v>1.2E-2</v>
      </c>
      <c r="AK462" s="1442">
        <v>0.01</v>
      </c>
      <c r="AL462" s="1442">
        <v>8.0000000000000002E-3</v>
      </c>
    </row>
    <row r="463" spans="14:38" x14ac:dyDescent="0.25">
      <c r="N463" s="1472" t="s">
        <v>697</v>
      </c>
      <c r="O463" s="1471">
        <v>4</v>
      </c>
      <c r="P463" s="1472">
        <v>7.1999999999999995E-2</v>
      </c>
      <c r="Q463" s="1472">
        <v>4.8000000000000001E-2</v>
      </c>
      <c r="R463" s="1472">
        <v>3.5999999999999997E-2</v>
      </c>
      <c r="S463" s="1472">
        <v>2.9000000000000001E-2</v>
      </c>
      <c r="T463" s="1472">
        <v>2.1999999999999999E-2</v>
      </c>
      <c r="U463" s="1472">
        <v>1.7000000000000001E-2</v>
      </c>
      <c r="V463" s="1472">
        <v>1.4E-2</v>
      </c>
      <c r="W463" s="1472">
        <v>0.01</v>
      </c>
      <c r="X463" s="1472">
        <v>8.9999999999999993E-3</v>
      </c>
      <c r="AB463" s="1442" t="s">
        <v>697</v>
      </c>
      <c r="AC463" s="1432">
        <v>4</v>
      </c>
      <c r="AD463" s="1442">
        <v>7.1999999999999995E-2</v>
      </c>
      <c r="AE463" s="1442">
        <v>4.8000000000000001E-2</v>
      </c>
      <c r="AF463" s="1442">
        <v>3.5999999999999997E-2</v>
      </c>
      <c r="AG463" s="1442">
        <v>2.9000000000000001E-2</v>
      </c>
      <c r="AH463" s="1442">
        <v>2.1999999999999999E-2</v>
      </c>
      <c r="AI463" s="1442">
        <v>1.7000000000000001E-2</v>
      </c>
      <c r="AJ463" s="1442">
        <v>1.4E-2</v>
      </c>
      <c r="AK463" s="1442">
        <v>0.01</v>
      </c>
      <c r="AL463" s="1442">
        <v>8.9999999999999993E-3</v>
      </c>
    </row>
    <row r="464" spans="14:38" x14ac:dyDescent="0.25">
      <c r="N464" s="1472" t="s">
        <v>116</v>
      </c>
      <c r="O464" s="1471">
        <v>5</v>
      </c>
      <c r="P464" s="1472">
        <v>7.5999999999999998E-2</v>
      </c>
      <c r="Q464" s="1472">
        <v>5.0999999999999997E-2</v>
      </c>
      <c r="R464" s="1472">
        <v>3.9E-2</v>
      </c>
      <c r="S464" s="1472">
        <v>0.03</v>
      </c>
      <c r="T464" s="1472">
        <v>2.4E-2</v>
      </c>
      <c r="U464" s="1472">
        <v>1.7999999999999999E-2</v>
      </c>
      <c r="V464" s="1472">
        <v>1.6E-2</v>
      </c>
      <c r="W464" s="1472">
        <v>1.2E-2</v>
      </c>
      <c r="X464" s="1472">
        <v>0.01</v>
      </c>
      <c r="AB464" s="1442" t="s">
        <v>116</v>
      </c>
      <c r="AC464" s="1432">
        <v>5</v>
      </c>
      <c r="AD464" s="1442">
        <v>7.5999999999999998E-2</v>
      </c>
      <c r="AE464" s="1442">
        <v>5.0999999999999997E-2</v>
      </c>
      <c r="AF464" s="1442">
        <v>3.9E-2</v>
      </c>
      <c r="AG464" s="1442">
        <v>0.03</v>
      </c>
      <c r="AH464" s="1442">
        <v>2.4E-2</v>
      </c>
      <c r="AI464" s="1442">
        <v>1.7999999999999999E-2</v>
      </c>
      <c r="AJ464" s="1442">
        <v>1.6E-2</v>
      </c>
      <c r="AK464" s="1442">
        <v>1.2E-2</v>
      </c>
      <c r="AL464" s="1442">
        <v>0.01</v>
      </c>
    </row>
    <row r="467" spans="13:69" x14ac:dyDescent="0.25">
      <c r="N467" s="1271" t="s">
        <v>711</v>
      </c>
      <c r="O467" s="1369"/>
      <c r="P467" s="1369"/>
      <c r="Q467" s="1369"/>
      <c r="R467" s="1369"/>
      <c r="S467" s="1369"/>
      <c r="T467" s="1369"/>
      <c r="U467" s="1369"/>
      <c r="V467" s="1369"/>
      <c r="W467" s="1265"/>
      <c r="AB467" s="1284" t="s">
        <v>711</v>
      </c>
      <c r="AC467" s="1368"/>
      <c r="AD467" s="1368"/>
      <c r="AE467" s="1368"/>
      <c r="AF467" s="1368"/>
      <c r="AG467" s="1368"/>
      <c r="AH467" s="1368"/>
      <c r="AI467" s="1368"/>
      <c r="AJ467" s="1368"/>
      <c r="AK467" s="1280"/>
    </row>
    <row r="468" spans="13:69" x14ac:dyDescent="0.25">
      <c r="N468" s="1944" t="s">
        <v>3658</v>
      </c>
      <c r="O468" s="1944"/>
      <c r="P468" s="1944"/>
      <c r="Q468" s="1944"/>
      <c r="R468" s="1944"/>
      <c r="S468" s="1944"/>
      <c r="T468" s="1944"/>
      <c r="U468" s="1944"/>
      <c r="V468" s="1944"/>
      <c r="W468" s="1944"/>
      <c r="X468" s="1944"/>
      <c r="Y468" s="1944"/>
      <c r="AB468" s="1970" t="s">
        <v>3763</v>
      </c>
      <c r="AC468" s="1970"/>
      <c r="AD468" s="1970"/>
      <c r="AE468" s="1970"/>
      <c r="AF468" s="1970"/>
      <c r="AG468" s="1970"/>
      <c r="AH468" s="1970"/>
      <c r="AI468" s="1970"/>
      <c r="AJ468" s="1970"/>
      <c r="AK468" s="1970"/>
      <c r="AL468" s="1970"/>
      <c r="AM468" s="1970"/>
    </row>
    <row r="469" spans="13:69" x14ac:dyDescent="0.25">
      <c r="N469" s="1276" t="s">
        <v>497</v>
      </c>
      <c r="O469" s="1373"/>
      <c r="P469" s="1373">
        <v>15</v>
      </c>
      <c r="Q469" s="1373">
        <v>25</v>
      </c>
      <c r="R469" s="1373">
        <v>50</v>
      </c>
      <c r="S469" s="1373">
        <v>100</v>
      </c>
      <c r="T469" s="1373">
        <v>200</v>
      </c>
      <c r="U469" s="1373">
        <v>500</v>
      </c>
      <c r="V469" s="1373">
        <v>1000</v>
      </c>
      <c r="W469" s="1373">
        <v>2000</v>
      </c>
      <c r="X469" s="1418">
        <v>5000</v>
      </c>
      <c r="Y469" s="1418">
        <v>10000</v>
      </c>
      <c r="AB469" s="1366" t="s">
        <v>497</v>
      </c>
      <c r="AC469" s="1381"/>
      <c r="AD469" s="1381">
        <v>15</v>
      </c>
      <c r="AE469" s="1381">
        <v>25</v>
      </c>
      <c r="AF469" s="1381">
        <v>50</v>
      </c>
      <c r="AG469" s="1381">
        <v>100</v>
      </c>
      <c r="AH469" s="1381">
        <v>200</v>
      </c>
      <c r="AI469" s="1381">
        <v>500</v>
      </c>
      <c r="AJ469" s="1381">
        <v>1000</v>
      </c>
      <c r="AK469" s="1381">
        <v>2000</v>
      </c>
      <c r="AL469" s="1432">
        <v>5000</v>
      </c>
      <c r="AM469" s="1432">
        <v>10000</v>
      </c>
    </row>
    <row r="470" spans="13:69" x14ac:dyDescent="0.25">
      <c r="N470" s="1421" t="s">
        <v>712</v>
      </c>
      <c r="O470" s="1373">
        <v>1</v>
      </c>
      <c r="P470" s="1373">
        <v>1.9E-2</v>
      </c>
      <c r="Q470" s="1373">
        <v>1.7000000000000001E-2</v>
      </c>
      <c r="R470" s="1373">
        <v>1.4999999999999999E-2</v>
      </c>
      <c r="S470" s="1373">
        <v>1.2500000000000001E-2</v>
      </c>
      <c r="T470" s="1373">
        <v>0.01</v>
      </c>
      <c r="U470" s="1373">
        <v>7.4999999999999997E-3</v>
      </c>
      <c r="V470" s="1373">
        <v>4.7000000000000002E-3</v>
      </c>
      <c r="W470" s="1373">
        <v>2.5000000000000001E-3</v>
      </c>
      <c r="X470" s="1418">
        <v>2E-3</v>
      </c>
      <c r="Y470" s="1418">
        <v>1E-3</v>
      </c>
      <c r="AB470" s="1441" t="s">
        <v>712</v>
      </c>
      <c r="AC470" s="1381">
        <v>1</v>
      </c>
      <c r="AD470" s="1381">
        <v>1.9E-2</v>
      </c>
      <c r="AE470" s="1381">
        <v>1.7000000000000001E-2</v>
      </c>
      <c r="AF470" s="1381">
        <v>1.4999999999999999E-2</v>
      </c>
      <c r="AG470" s="1381">
        <v>1.2500000000000001E-2</v>
      </c>
      <c r="AH470" s="1381">
        <v>0.01</v>
      </c>
      <c r="AI470" s="1381">
        <v>7.4999999999999997E-3</v>
      </c>
      <c r="AJ470" s="1381">
        <v>4.7000000000000002E-3</v>
      </c>
      <c r="AK470" s="1381">
        <v>2.5000000000000001E-3</v>
      </c>
      <c r="AL470" s="1432">
        <v>2E-3</v>
      </c>
      <c r="AM470" s="1432">
        <v>1E-3</v>
      </c>
    </row>
    <row r="471" spans="13:69" x14ac:dyDescent="0.25">
      <c r="N471" s="1393"/>
      <c r="O471" s="1376"/>
      <c r="P471" s="1376"/>
      <c r="Q471" s="1376"/>
      <c r="R471" s="1376"/>
      <c r="S471" s="1376"/>
      <c r="T471" s="1376"/>
      <c r="U471" s="1376"/>
      <c r="V471" s="1376"/>
      <c r="W471" s="1376"/>
      <c r="AB471" s="1394"/>
      <c r="AC471" s="1286"/>
      <c r="AD471" s="1286"/>
      <c r="AE471" s="1286"/>
      <c r="AF471" s="1286"/>
      <c r="AG471" s="1286"/>
      <c r="AH471" s="1286"/>
      <c r="AI471" s="1286"/>
      <c r="AJ471" s="1286"/>
      <c r="AK471" s="1286"/>
    </row>
    <row r="473" spans="13:69" ht="15.75" customHeight="1" x14ac:dyDescent="0.25">
      <c r="M473" s="2007"/>
    </row>
    <row r="474" spans="13:69" x14ac:dyDescent="0.25">
      <c r="M474" s="2007"/>
      <c r="N474" s="1414" t="s">
        <v>1100</v>
      </c>
      <c r="AB474" s="1284" t="s">
        <v>3840</v>
      </c>
      <c r="AC474" s="1284"/>
      <c r="AD474" s="1284"/>
      <c r="AE474" s="1284"/>
      <c r="AF474" s="1285"/>
      <c r="AG474" s="1285"/>
      <c r="AH474" s="1285"/>
      <c r="AI474" s="1285"/>
      <c r="AJ474" s="1285"/>
      <c r="AK474" s="1285"/>
      <c r="AL474" s="1285"/>
      <c r="AM474" s="1285"/>
      <c r="AN474" s="1280"/>
      <c r="AO474" s="1280"/>
      <c r="AP474" s="1284" t="s">
        <v>3840</v>
      </c>
      <c r="AQ474" s="1294"/>
      <c r="AR474" s="1294"/>
      <c r="AS474" s="1294"/>
      <c r="AT474" s="1295"/>
      <c r="AU474" s="1295"/>
      <c r="AV474" s="1295"/>
      <c r="AW474" s="1295"/>
      <c r="AX474" s="1295"/>
      <c r="AY474" s="1295"/>
      <c r="AZ474" s="1295"/>
      <c r="BA474" s="1295"/>
      <c r="BB474" s="1298"/>
      <c r="BC474" s="1298"/>
      <c r="BD474" s="1284" t="s">
        <v>3840</v>
      </c>
      <c r="BE474" s="1250"/>
      <c r="BF474" s="1250"/>
      <c r="BG474" s="1250"/>
      <c r="BH474" s="1251"/>
      <c r="BI474" s="1251"/>
      <c r="BJ474" s="1251"/>
      <c r="BK474" s="1251"/>
      <c r="BL474" s="1251"/>
      <c r="BM474" s="1251"/>
      <c r="BN474" s="1251"/>
      <c r="BO474" s="1251"/>
      <c r="BP474" s="1252"/>
      <c r="BQ474" s="1252"/>
    </row>
    <row r="475" spans="13:69" x14ac:dyDescent="0.25">
      <c r="M475" s="360"/>
      <c r="N475" s="1948" t="s">
        <v>111</v>
      </c>
      <c r="O475" s="1425"/>
      <c r="P475" s="1426" t="s">
        <v>3304</v>
      </c>
      <c r="Q475" s="1426"/>
      <c r="R475" s="1426"/>
      <c r="S475" s="1426"/>
      <c r="T475" s="1426"/>
      <c r="AB475" s="1924" t="s">
        <v>111</v>
      </c>
      <c r="AC475" s="1366"/>
      <c r="AD475" s="1926" t="s">
        <v>219</v>
      </c>
      <c r="AE475" s="1926"/>
      <c r="AF475" s="1926"/>
      <c r="AG475" s="1926"/>
      <c r="AH475" s="1926"/>
      <c r="AI475" s="1926"/>
      <c r="AJ475" s="1926"/>
      <c r="AK475" s="1926"/>
      <c r="AL475" s="1926"/>
      <c r="AM475" s="1926"/>
      <c r="AN475" s="1286"/>
      <c r="AO475" s="1286"/>
      <c r="AP475" s="1927" t="s">
        <v>111</v>
      </c>
      <c r="AQ475" s="1367"/>
      <c r="AR475" s="1928" t="s">
        <v>219</v>
      </c>
      <c r="AS475" s="1928"/>
      <c r="AT475" s="1928"/>
      <c r="AU475" s="1928"/>
      <c r="AV475" s="1928"/>
      <c r="AW475" s="1928"/>
      <c r="AX475" s="1928"/>
      <c r="AY475" s="1928"/>
      <c r="AZ475" s="1928"/>
      <c r="BA475" s="1928"/>
      <c r="BB475" s="1290"/>
      <c r="BC475" s="1290"/>
      <c r="BD475" s="1929" t="s">
        <v>111</v>
      </c>
      <c r="BE475" s="1260"/>
      <c r="BF475" s="1930" t="s">
        <v>219</v>
      </c>
      <c r="BG475" s="1930"/>
      <c r="BH475" s="1930"/>
      <c r="BI475" s="1930"/>
      <c r="BJ475" s="1930"/>
      <c r="BK475" s="1930"/>
      <c r="BL475" s="1930"/>
      <c r="BM475" s="1930"/>
      <c r="BN475" s="1930"/>
      <c r="BO475" s="1930"/>
      <c r="BP475" s="1253"/>
      <c r="BQ475" s="1253"/>
    </row>
    <row r="476" spans="13:69" x14ac:dyDescent="0.25">
      <c r="M476" s="360"/>
      <c r="N476" s="1948"/>
      <c r="O476" s="1425"/>
      <c r="P476" s="1427">
        <v>15</v>
      </c>
      <c r="Q476" s="1427">
        <v>100</v>
      </c>
      <c r="R476" s="1427">
        <v>500</v>
      </c>
      <c r="S476" s="1427">
        <v>1000</v>
      </c>
      <c r="T476" s="1427">
        <v>1000.5</v>
      </c>
      <c r="AB476" s="1925"/>
      <c r="AC476" s="1366"/>
      <c r="AD476" s="1567">
        <v>10</v>
      </c>
      <c r="AE476" s="1567">
        <v>20</v>
      </c>
      <c r="AF476" s="1567">
        <v>50</v>
      </c>
      <c r="AG476" s="1567">
        <v>100</v>
      </c>
      <c r="AH476" s="1567">
        <v>200</v>
      </c>
      <c r="AI476" s="1567">
        <v>500</v>
      </c>
      <c r="AJ476" s="1567">
        <v>1000</v>
      </c>
      <c r="AK476" s="1567">
        <v>2000</v>
      </c>
      <c r="AL476" s="1567">
        <v>5000</v>
      </c>
      <c r="AM476" s="1567">
        <v>8000</v>
      </c>
      <c r="AN476" s="1286"/>
      <c r="AO476" s="1286"/>
      <c r="AP476" s="1927"/>
      <c r="AQ476" s="1367"/>
      <c r="AR476" s="1565">
        <v>7</v>
      </c>
      <c r="AS476" s="1565">
        <v>10</v>
      </c>
      <c r="AT476" s="1565">
        <v>20</v>
      </c>
      <c r="AU476" s="1565">
        <v>50</v>
      </c>
      <c r="AV476" s="1565">
        <v>100</v>
      </c>
      <c r="AW476" s="1565">
        <v>200</v>
      </c>
      <c r="AX476" s="1565">
        <v>500</v>
      </c>
      <c r="AY476" s="1565">
        <v>1000</v>
      </c>
      <c r="AZ476" s="1565">
        <v>2000</v>
      </c>
      <c r="BA476" s="1565">
        <v>5000</v>
      </c>
      <c r="BB476" s="1568"/>
      <c r="BC476" s="1568"/>
      <c r="BD476" s="1929"/>
      <c r="BE476" s="1260"/>
      <c r="BF476" s="203">
        <v>7</v>
      </c>
      <c r="BG476" s="203">
        <v>10</v>
      </c>
      <c r="BH476" s="203">
        <v>20</v>
      </c>
      <c r="BI476" s="203">
        <v>50</v>
      </c>
      <c r="BJ476" s="203">
        <v>100</v>
      </c>
      <c r="BK476" s="203">
        <v>200</v>
      </c>
      <c r="BL476" s="203">
        <v>500</v>
      </c>
      <c r="BM476" s="203">
        <v>1000</v>
      </c>
      <c r="BN476" s="203">
        <v>2000</v>
      </c>
      <c r="BO476" s="203">
        <v>5000</v>
      </c>
      <c r="BP476" s="1253"/>
      <c r="BQ476" s="1253"/>
    </row>
    <row r="477" spans="13:69" x14ac:dyDescent="0.25">
      <c r="M477" s="360"/>
      <c r="N477" s="1428" t="s">
        <v>112</v>
      </c>
      <c r="O477" s="1425">
        <v>1</v>
      </c>
      <c r="P477" s="1427">
        <v>6.5</v>
      </c>
      <c r="Q477" s="1427">
        <v>6</v>
      </c>
      <c r="R477" s="1427">
        <v>5.6</v>
      </c>
      <c r="S477" s="1427">
        <v>5.4</v>
      </c>
      <c r="T477" s="1427">
        <v>5.2</v>
      </c>
      <c r="AB477" s="1366" t="s">
        <v>112</v>
      </c>
      <c r="AC477" s="1366">
        <v>1</v>
      </c>
      <c r="AD477" s="1567">
        <v>8.2000000000000003E-2</v>
      </c>
      <c r="AE477" s="1567">
        <v>7.1999999999999995E-2</v>
      </c>
      <c r="AF477" s="1567">
        <v>5.5E-2</v>
      </c>
      <c r="AG477" s="1567">
        <v>4.2000000000000003E-2</v>
      </c>
      <c r="AH477" s="1567">
        <v>3.2000000000000001E-2</v>
      </c>
      <c r="AI477" s="1567">
        <v>2.5000000000000001E-2</v>
      </c>
      <c r="AJ477" s="1567">
        <v>0.02</v>
      </c>
      <c r="AK477" s="1567">
        <v>1.4E-2</v>
      </c>
      <c r="AL477" s="1567">
        <v>1.0999999999999999E-2</v>
      </c>
      <c r="AM477" s="1567">
        <v>0.01</v>
      </c>
      <c r="AN477" s="1286"/>
      <c r="AO477" s="1286"/>
      <c r="AP477" s="1367" t="s">
        <v>112</v>
      </c>
      <c r="AQ477" s="1367">
        <v>1</v>
      </c>
      <c r="AR477" s="1566">
        <v>7.5999999999999998E-2</v>
      </c>
      <c r="AS477" s="1566">
        <v>6.6000000000000003E-2</v>
      </c>
      <c r="AT477" s="1566">
        <v>5.7000000000000002E-2</v>
      </c>
      <c r="AU477" s="1566">
        <v>4.3999999999999997E-2</v>
      </c>
      <c r="AV477" s="1566">
        <v>3.4000000000000002E-2</v>
      </c>
      <c r="AW477" s="1566">
        <v>2.5999999999999999E-2</v>
      </c>
      <c r="AX477" s="1566">
        <v>0.02</v>
      </c>
      <c r="AY477" s="1566">
        <v>1.6E-2</v>
      </c>
      <c r="AZ477" s="1566">
        <v>1.2E-2</v>
      </c>
      <c r="BA477" s="1566">
        <v>8.9999999999999993E-3</v>
      </c>
      <c r="BB477" s="1568"/>
      <c r="BC477" s="1568"/>
      <c r="BD477" s="1260" t="s">
        <v>112</v>
      </c>
      <c r="BE477" s="1260">
        <v>1</v>
      </c>
      <c r="BF477" s="204">
        <v>6.6000000000000003E-2</v>
      </c>
      <c r="BG477" s="204">
        <v>5.7000000000000002E-2</v>
      </c>
      <c r="BH477" s="204">
        <v>4.9000000000000002E-2</v>
      </c>
      <c r="BI477" s="204">
        <v>3.7999999999999999E-2</v>
      </c>
      <c r="BJ477" s="204">
        <v>2.9000000000000001E-2</v>
      </c>
      <c r="BK477" s="204">
        <v>2.1999999999999999E-2</v>
      </c>
      <c r="BL477" s="204">
        <v>1.7000000000000001E-2</v>
      </c>
      <c r="BM477" s="204">
        <v>1.4E-2</v>
      </c>
      <c r="BN477" s="204">
        <v>0.01</v>
      </c>
      <c r="BO477" s="204">
        <v>8.0000000000000002E-3</v>
      </c>
      <c r="BP477" s="1253"/>
      <c r="BQ477" s="1253"/>
    </row>
    <row r="478" spans="13:69" ht="31.5" x14ac:dyDescent="0.25">
      <c r="M478" s="360"/>
      <c r="N478" s="1428" t="s">
        <v>1223</v>
      </c>
      <c r="O478" s="1425">
        <v>2</v>
      </c>
      <c r="P478" s="1427">
        <v>10</v>
      </c>
      <c r="Q478" s="1427">
        <v>9</v>
      </c>
      <c r="R478" s="1427">
        <v>8.6</v>
      </c>
      <c r="S478" s="1427">
        <v>8.4</v>
      </c>
      <c r="T478" s="1427">
        <v>8.1999999999999993</v>
      </c>
      <c r="AB478" s="1366" t="s">
        <v>113</v>
      </c>
      <c r="AC478" s="1366">
        <v>2</v>
      </c>
      <c r="AD478" s="1567">
        <v>9.5000000000000001E-2</v>
      </c>
      <c r="AE478" s="1567">
        <v>8.2000000000000003E-2</v>
      </c>
      <c r="AF478" s="1567">
        <v>6.3E-2</v>
      </c>
      <c r="AG478" s="1567">
        <v>4.8000000000000001E-2</v>
      </c>
      <c r="AH478" s="1567">
        <v>3.7999999999999999E-2</v>
      </c>
      <c r="AI478" s="1567">
        <v>2.9000000000000001E-2</v>
      </c>
      <c r="AJ478" s="1567">
        <v>2.1999999999999999E-2</v>
      </c>
      <c r="AK478" s="1567">
        <v>1.7999999999999999E-2</v>
      </c>
      <c r="AL478" s="1567">
        <v>1.2999999999999999E-2</v>
      </c>
      <c r="AM478" s="1567">
        <v>1.0999999999999999E-2</v>
      </c>
      <c r="AN478" s="1286"/>
      <c r="AO478" s="1286"/>
      <c r="AP478" s="1367" t="s">
        <v>113</v>
      </c>
      <c r="AQ478" s="1367">
        <v>2</v>
      </c>
      <c r="AR478" s="1566">
        <v>0.09</v>
      </c>
      <c r="AS478" s="1566">
        <v>7.5999999999999998E-2</v>
      </c>
      <c r="AT478" s="1566">
        <v>6.6000000000000003E-2</v>
      </c>
      <c r="AU478" s="1566">
        <v>0.05</v>
      </c>
      <c r="AV478" s="1566">
        <v>3.9E-2</v>
      </c>
      <c r="AW478" s="1566">
        <v>0.03</v>
      </c>
      <c r="AX478" s="1566">
        <v>2.3E-2</v>
      </c>
      <c r="AY478" s="1566">
        <v>1.7999999999999999E-2</v>
      </c>
      <c r="AZ478" s="1566">
        <v>1.4E-2</v>
      </c>
      <c r="BA478" s="1566">
        <v>0.01</v>
      </c>
      <c r="BB478" s="1568"/>
      <c r="BC478" s="1568"/>
      <c r="BD478" s="1260" t="s">
        <v>113</v>
      </c>
      <c r="BE478" s="1260">
        <v>2</v>
      </c>
      <c r="BF478" s="204">
        <v>7.8E-2</v>
      </c>
      <c r="BG478" s="204">
        <v>6.6000000000000003E-2</v>
      </c>
      <c r="BH478" s="204">
        <v>5.7000000000000002E-2</v>
      </c>
      <c r="BI478" s="204">
        <v>4.3999999999999997E-2</v>
      </c>
      <c r="BJ478" s="204">
        <v>3.4000000000000002E-2</v>
      </c>
      <c r="BK478" s="204">
        <v>2.5999999999999999E-2</v>
      </c>
      <c r="BL478" s="204">
        <v>0.02</v>
      </c>
      <c r="BM478" s="204">
        <v>1.4999999999999999E-2</v>
      </c>
      <c r="BN478" s="204">
        <v>1.2E-2</v>
      </c>
      <c r="BO478" s="204">
        <v>8.0000000000000002E-3</v>
      </c>
      <c r="BP478" s="1253"/>
      <c r="BQ478" s="1253"/>
    </row>
    <row r="479" spans="13:69" x14ac:dyDescent="0.25">
      <c r="M479" s="360"/>
      <c r="N479" s="1428" t="s">
        <v>113</v>
      </c>
      <c r="O479" s="1425">
        <v>3</v>
      </c>
      <c r="P479" s="1427">
        <v>5.5</v>
      </c>
      <c r="Q479" s="1427">
        <v>5</v>
      </c>
      <c r="R479" s="1427">
        <v>4.5999999999999996</v>
      </c>
      <c r="S479" s="1427">
        <v>4.4000000000000004</v>
      </c>
      <c r="T479" s="1427">
        <v>4.2</v>
      </c>
      <c r="AB479" s="1366" t="s">
        <v>114</v>
      </c>
      <c r="AC479" s="1366">
        <v>3</v>
      </c>
      <c r="AD479" s="1567">
        <v>5.3999999999999999E-2</v>
      </c>
      <c r="AE479" s="1567">
        <v>4.7E-2</v>
      </c>
      <c r="AF479" s="1567">
        <v>3.5999999999999997E-2</v>
      </c>
      <c r="AG479" s="1567">
        <v>2.8000000000000001E-2</v>
      </c>
      <c r="AH479" s="1567">
        <v>2.1999999999999999E-2</v>
      </c>
      <c r="AI479" s="1567">
        <v>1.6E-2</v>
      </c>
      <c r="AJ479" s="1567">
        <v>1.2E-2</v>
      </c>
      <c r="AK479" s="1567">
        <v>0.01</v>
      </c>
      <c r="AL479" s="1567">
        <v>8.0000000000000002E-3</v>
      </c>
      <c r="AM479" s="1567">
        <v>7.0000000000000001E-3</v>
      </c>
      <c r="AN479" s="1286"/>
      <c r="AO479" s="1286"/>
      <c r="AP479" s="1367" t="s">
        <v>114</v>
      </c>
      <c r="AQ479" s="1367">
        <v>3</v>
      </c>
      <c r="AR479" s="1566">
        <v>5.1999999999999998E-2</v>
      </c>
      <c r="AS479" s="1566">
        <v>4.3999999999999997E-2</v>
      </c>
      <c r="AT479" s="1566">
        <v>3.7999999999999999E-2</v>
      </c>
      <c r="AU479" s="1566">
        <v>2.9000000000000001E-2</v>
      </c>
      <c r="AV479" s="1566">
        <v>2.1999999999999999E-2</v>
      </c>
      <c r="AW479" s="1566">
        <v>1.7000000000000001E-2</v>
      </c>
      <c r="AX479" s="1566">
        <v>1.2999999999999999E-2</v>
      </c>
      <c r="AY479" s="1566">
        <v>0.01</v>
      </c>
      <c r="AZ479" s="1566">
        <v>8.0000000000000002E-3</v>
      </c>
      <c r="BA479" s="1566">
        <v>6.0000000000000001E-3</v>
      </c>
      <c r="BB479" s="1568"/>
      <c r="BC479" s="1568"/>
      <c r="BD479" s="1260" t="s">
        <v>114</v>
      </c>
      <c r="BE479" s="1260">
        <v>3</v>
      </c>
      <c r="BF479" s="204">
        <v>0.05</v>
      </c>
      <c r="BG479" s="204">
        <v>4.2000000000000003E-2</v>
      </c>
      <c r="BH479" s="204">
        <v>3.5999999999999997E-2</v>
      </c>
      <c r="BI479" s="204">
        <v>2.8000000000000001E-2</v>
      </c>
      <c r="BJ479" s="204">
        <v>2.1000000000000001E-2</v>
      </c>
      <c r="BK479" s="204">
        <v>1.6E-2</v>
      </c>
      <c r="BL479" s="204">
        <v>1.2999999999999999E-2</v>
      </c>
      <c r="BM479" s="204">
        <v>0.01</v>
      </c>
      <c r="BN479" s="204">
        <v>8.0000000000000002E-3</v>
      </c>
      <c r="BO479" s="204">
        <v>6.0000000000000001E-3</v>
      </c>
      <c r="BP479" s="1253"/>
      <c r="BQ479" s="1253"/>
    </row>
    <row r="480" spans="13:69" ht="31.5" x14ac:dyDescent="0.25">
      <c r="M480" s="360"/>
      <c r="N480" s="1428" t="s">
        <v>1103</v>
      </c>
      <c r="O480" s="1425">
        <v>4</v>
      </c>
      <c r="P480" s="1427">
        <v>6.5</v>
      </c>
      <c r="Q480" s="1427">
        <v>6.3</v>
      </c>
      <c r="R480" s="1427">
        <v>6</v>
      </c>
      <c r="S480" s="1427">
        <v>5.8</v>
      </c>
      <c r="T480" s="1427">
        <v>5.7</v>
      </c>
      <c r="AB480" s="1366" t="s">
        <v>115</v>
      </c>
      <c r="AC480" s="1366">
        <v>4</v>
      </c>
      <c r="AD480" s="1567">
        <v>0.06</v>
      </c>
      <c r="AE480" s="1567">
        <v>5.1999999999999998E-2</v>
      </c>
      <c r="AF480" s="1567">
        <v>0.04</v>
      </c>
      <c r="AG480" s="1567">
        <v>0.03</v>
      </c>
      <c r="AH480" s="1567">
        <v>2.4E-2</v>
      </c>
      <c r="AI480" s="1567">
        <v>1.7999999999999999E-2</v>
      </c>
      <c r="AJ480" s="1567">
        <v>1.4E-2</v>
      </c>
      <c r="AK480" s="1567">
        <v>1.2E-2</v>
      </c>
      <c r="AL480" s="1567">
        <v>8.0000000000000002E-3</v>
      </c>
      <c r="AM480" s="1567">
        <v>7.0000000000000001E-3</v>
      </c>
      <c r="AN480" s="1286"/>
      <c r="AO480" s="1286"/>
      <c r="AP480" s="1367" t="s">
        <v>115</v>
      </c>
      <c r="AQ480" s="1367">
        <v>4</v>
      </c>
      <c r="AR480" s="1566">
        <v>5.8000000000000003E-2</v>
      </c>
      <c r="AS480" s="1566">
        <v>4.8000000000000001E-2</v>
      </c>
      <c r="AT480" s="1566">
        <v>4.2000000000000003E-2</v>
      </c>
      <c r="AU480" s="1566">
        <v>3.2000000000000001E-2</v>
      </c>
      <c r="AV480" s="1566">
        <v>2.4E-2</v>
      </c>
      <c r="AW480" s="1566">
        <v>1.9E-2</v>
      </c>
      <c r="AX480" s="1566">
        <v>1.4999999999999999E-2</v>
      </c>
      <c r="AY480" s="1566">
        <v>1.0999999999999999E-2</v>
      </c>
      <c r="AZ480" s="1566">
        <v>8.9999999999999993E-3</v>
      </c>
      <c r="BA480" s="1566">
        <v>7.0000000000000001E-3</v>
      </c>
      <c r="BB480" s="1568"/>
      <c r="BC480" s="1568"/>
      <c r="BD480" s="1260" t="s">
        <v>115</v>
      </c>
      <c r="BE480" s="1260">
        <v>4</v>
      </c>
      <c r="BF480" s="204">
        <v>0.05</v>
      </c>
      <c r="BG480" s="204">
        <v>4.2000000000000003E-2</v>
      </c>
      <c r="BH480" s="204">
        <v>3.5999999999999997E-2</v>
      </c>
      <c r="BI480" s="204">
        <v>2.8000000000000001E-2</v>
      </c>
      <c r="BJ480" s="204">
        <v>2.1000000000000001E-2</v>
      </c>
      <c r="BK480" s="204">
        <v>1.6E-2</v>
      </c>
      <c r="BL480" s="204">
        <v>1.2999999999999999E-2</v>
      </c>
      <c r="BM480" s="204">
        <v>0.01</v>
      </c>
      <c r="BN480" s="204">
        <v>8.0000000000000002E-3</v>
      </c>
      <c r="BO480" s="204">
        <v>6.0000000000000001E-3</v>
      </c>
      <c r="BP480" s="1253"/>
      <c r="BQ480" s="1253"/>
    </row>
    <row r="481" spans="13:69" x14ac:dyDescent="0.25">
      <c r="M481" s="360"/>
      <c r="N481" s="1428" t="s">
        <v>114</v>
      </c>
      <c r="O481" s="1425">
        <v>5</v>
      </c>
      <c r="P481" s="1427">
        <v>5.5</v>
      </c>
      <c r="Q481" s="1427">
        <v>5</v>
      </c>
      <c r="R481" s="1427">
        <v>4.5999999999999996</v>
      </c>
      <c r="S481" s="1427">
        <v>4.4000000000000004</v>
      </c>
      <c r="T481" s="1427">
        <v>4.2</v>
      </c>
      <c r="AB481" s="1366" t="s">
        <v>116</v>
      </c>
      <c r="AC481" s="1366">
        <v>5</v>
      </c>
      <c r="AD481" s="1567">
        <v>6.3E-2</v>
      </c>
      <c r="AE481" s="1567">
        <v>5.5E-2</v>
      </c>
      <c r="AF481" s="1567">
        <v>4.2000000000000003E-2</v>
      </c>
      <c r="AG481" s="1567">
        <v>3.2000000000000001E-2</v>
      </c>
      <c r="AH481" s="1567">
        <v>2.5000000000000001E-2</v>
      </c>
      <c r="AI481" s="1567">
        <v>0.02</v>
      </c>
      <c r="AJ481" s="1567">
        <v>1.4999999999999999E-2</v>
      </c>
      <c r="AK481" s="1567">
        <v>1.2999999999999999E-2</v>
      </c>
      <c r="AL481" s="1567">
        <v>0.01</v>
      </c>
      <c r="AM481" s="1567">
        <v>8.0000000000000002E-3</v>
      </c>
      <c r="AN481" s="1280"/>
      <c r="AO481" s="1280"/>
      <c r="AP481" s="1367" t="s">
        <v>116</v>
      </c>
      <c r="AQ481" s="1367">
        <v>5</v>
      </c>
      <c r="AR481" s="1566">
        <v>6.0999999999999999E-2</v>
      </c>
      <c r="AS481" s="1566">
        <v>0.05</v>
      </c>
      <c r="AT481" s="1566">
        <v>4.3999999999999997E-2</v>
      </c>
      <c r="AU481" s="1566">
        <v>3.4000000000000002E-2</v>
      </c>
      <c r="AV481" s="1566">
        <v>2.5999999999999999E-2</v>
      </c>
      <c r="AW481" s="1566">
        <v>0.02</v>
      </c>
      <c r="AX481" s="1566">
        <v>1.6E-2</v>
      </c>
      <c r="AY481" s="1566">
        <v>1.2E-2</v>
      </c>
      <c r="AZ481" s="1566">
        <v>0.01</v>
      </c>
      <c r="BA481" s="1566">
        <v>8.0000000000000002E-3</v>
      </c>
      <c r="BB481" s="1568"/>
      <c r="BC481" s="1568"/>
      <c r="BD481" s="1260" t="s">
        <v>116</v>
      </c>
      <c r="BE481" s="1260">
        <v>5</v>
      </c>
      <c r="BF481" s="204">
        <v>5.1999999999999998E-2</v>
      </c>
      <c r="BG481" s="204">
        <v>4.3999999999999997E-2</v>
      </c>
      <c r="BH481" s="204">
        <v>3.7999999999999999E-2</v>
      </c>
      <c r="BI481" s="204">
        <v>2.9000000000000001E-2</v>
      </c>
      <c r="BJ481" s="204">
        <v>2.1999999999999999E-2</v>
      </c>
      <c r="BK481" s="204">
        <v>1.7000000000000001E-2</v>
      </c>
      <c r="BL481" s="204">
        <v>1.4E-2</v>
      </c>
      <c r="BM481" s="204">
        <v>0.01</v>
      </c>
      <c r="BN481" s="204">
        <v>8.9999999999999993E-3</v>
      </c>
      <c r="BO481" s="204">
        <v>6.0000000000000001E-3</v>
      </c>
      <c r="BP481" s="1246"/>
      <c r="BQ481" s="1246"/>
    </row>
    <row r="482" spans="13:69" ht="31.5" x14ac:dyDescent="0.25">
      <c r="M482" s="360"/>
      <c r="N482" s="1428" t="s">
        <v>1222</v>
      </c>
      <c r="O482" s="1425">
        <v>6</v>
      </c>
      <c r="P482" s="1427">
        <v>6.5</v>
      </c>
      <c r="Q482" s="1427">
        <v>6.3</v>
      </c>
      <c r="R482" s="1427">
        <v>6</v>
      </c>
      <c r="S482" s="1427">
        <v>5.8</v>
      </c>
      <c r="T482" s="1427">
        <v>5.7</v>
      </c>
      <c r="AB482" s="1446"/>
      <c r="AC482" s="1444"/>
      <c r="AD482" s="1445"/>
      <c r="AE482" s="1445"/>
      <c r="AF482" s="1445"/>
      <c r="AG482" s="1445"/>
      <c r="AH482" s="1445"/>
    </row>
    <row r="483" spans="13:69" ht="31.5" x14ac:dyDescent="0.25">
      <c r="N483" s="1428" t="s">
        <v>697</v>
      </c>
      <c r="O483" s="1425">
        <v>7</v>
      </c>
      <c r="P483" s="1427">
        <v>5.5</v>
      </c>
      <c r="Q483" s="1427">
        <v>5</v>
      </c>
      <c r="R483" s="1427">
        <v>4.5999999999999996</v>
      </c>
      <c r="S483" s="1427">
        <v>4.4000000000000004</v>
      </c>
      <c r="T483" s="1427">
        <v>4.2</v>
      </c>
      <c r="AB483" s="1446"/>
      <c r="AC483" s="1444"/>
      <c r="AD483" s="1445"/>
      <c r="AE483" s="1445"/>
      <c r="AF483" s="1445"/>
      <c r="AG483" s="1445"/>
      <c r="AH483" s="1445"/>
      <c r="AI483" s="1445"/>
      <c r="AJ483" s="1445"/>
      <c r="AK483" s="1445"/>
      <c r="AL483" s="1445"/>
      <c r="AM483" s="1445"/>
      <c r="AR483" s="1445"/>
      <c r="AS483" s="1445"/>
      <c r="AT483" s="1445"/>
      <c r="AU483" s="1445"/>
      <c r="AV483" s="1445"/>
      <c r="AW483" s="1445"/>
      <c r="AX483" s="1445"/>
      <c r="AY483" s="1445"/>
      <c r="AZ483" s="1445"/>
      <c r="BA483" s="1445"/>
      <c r="BF483" s="1445"/>
      <c r="BG483" s="1445"/>
      <c r="BH483" s="1445"/>
      <c r="BI483" s="1445"/>
      <c r="BJ483" s="1445"/>
      <c r="BK483" s="1445"/>
      <c r="BL483" s="1445"/>
      <c r="BM483" s="1445"/>
      <c r="BN483" s="1445"/>
      <c r="BO483" s="1445"/>
    </row>
    <row r="484" spans="13:69" x14ac:dyDescent="0.25">
      <c r="N484" s="1428" t="s">
        <v>116</v>
      </c>
      <c r="O484" s="1425">
        <v>8</v>
      </c>
      <c r="P484" s="1427">
        <v>5</v>
      </c>
      <c r="Q484" s="1427">
        <v>5</v>
      </c>
      <c r="R484" s="1427">
        <v>4.0999999999999996</v>
      </c>
      <c r="S484" s="1427">
        <v>3.9</v>
      </c>
      <c r="T484" s="1427">
        <v>3.7</v>
      </c>
      <c r="AB484" s="1446"/>
      <c r="AC484" s="1444"/>
      <c r="AD484" s="1445"/>
      <c r="AE484" s="1445"/>
      <c r="AF484" s="1445"/>
      <c r="AG484" s="1445"/>
      <c r="AH484" s="1445"/>
      <c r="AI484" s="1445"/>
      <c r="AJ484" s="1445"/>
      <c r="AK484" s="1445"/>
      <c r="AL484" s="1445"/>
      <c r="AM484" s="1445"/>
      <c r="AR484" s="1445"/>
      <c r="AS484" s="1445"/>
      <c r="AT484" s="1445"/>
      <c r="AU484" s="1445"/>
      <c r="AV484" s="1445"/>
      <c r="AW484" s="1445"/>
      <c r="AX484" s="1445"/>
      <c r="AY484" s="1445"/>
      <c r="AZ484" s="1445"/>
      <c r="BA484" s="1445"/>
      <c r="BF484" s="1445"/>
      <c r="BG484" s="1445"/>
      <c r="BH484" s="1445"/>
      <c r="BI484" s="1445"/>
      <c r="BJ484" s="1445"/>
      <c r="BK484" s="1445"/>
      <c r="BL484" s="1445"/>
      <c r="BM484" s="1445"/>
      <c r="BN484" s="1445"/>
      <c r="BO484" s="1445"/>
    </row>
    <row r="485" spans="13:69" x14ac:dyDescent="0.25">
      <c r="AB485" s="1443"/>
      <c r="AC485" s="1443"/>
      <c r="AD485" s="1445"/>
      <c r="AE485" s="1445"/>
      <c r="AF485" s="1445"/>
      <c r="AG485" s="1445"/>
      <c r="AH485" s="1445"/>
      <c r="AI485" s="1445"/>
      <c r="AJ485" s="1445"/>
      <c r="AK485" s="1445"/>
      <c r="AL485" s="1445"/>
      <c r="AM485" s="1445"/>
      <c r="AR485" s="1445"/>
      <c r="AS485" s="1445"/>
      <c r="AT485" s="1445"/>
      <c r="AU485" s="1445"/>
      <c r="AV485" s="1445"/>
      <c r="AW485" s="1445"/>
      <c r="AX485" s="1445"/>
      <c r="AY485" s="1445"/>
      <c r="AZ485" s="1445"/>
      <c r="BA485" s="1445"/>
      <c r="BF485" s="1445"/>
      <c r="BG485" s="1445"/>
      <c r="BH485" s="1445"/>
      <c r="BI485" s="1445"/>
      <c r="BJ485" s="1445"/>
      <c r="BK485" s="1445"/>
      <c r="BL485" s="1445"/>
      <c r="BM485" s="1445"/>
      <c r="BN485" s="1445"/>
      <c r="BO485" s="1445"/>
    </row>
    <row r="486" spans="13:69" x14ac:dyDescent="0.25">
      <c r="N486" s="1429" t="s">
        <v>1104</v>
      </c>
      <c r="O486" s="1425"/>
      <c r="P486" s="1425"/>
      <c r="Q486" s="1425"/>
      <c r="R486" s="1425"/>
      <c r="AB486" s="1447"/>
      <c r="AC486" s="1443"/>
      <c r="AD486" s="1445"/>
      <c r="AE486" s="1445"/>
      <c r="AF486" s="1445"/>
      <c r="AG486" s="1445"/>
      <c r="AH486" s="1445"/>
      <c r="AI486" s="1445"/>
      <c r="AJ486" s="1445"/>
      <c r="AK486" s="1445"/>
      <c r="AL486" s="1445"/>
      <c r="AM486" s="1445"/>
      <c r="AR486" s="1445"/>
      <c r="AS486" s="1445"/>
      <c r="AT486" s="1445"/>
      <c r="AU486" s="1445"/>
      <c r="AV486" s="1445"/>
      <c r="AW486" s="1445"/>
      <c r="AX486" s="1445"/>
      <c r="AY486" s="1445"/>
      <c r="AZ486" s="1445"/>
      <c r="BA486" s="1445"/>
      <c r="BF486" s="1445"/>
      <c r="BG486" s="1445"/>
      <c r="BH486" s="1445"/>
      <c r="BI486" s="1445"/>
      <c r="BJ486" s="1445"/>
      <c r="BK486" s="1445"/>
      <c r="BL486" s="1445"/>
      <c r="BM486" s="1445"/>
      <c r="BN486" s="1445"/>
      <c r="BO486" s="1445"/>
    </row>
    <row r="487" spans="13:69" x14ac:dyDescent="0.25">
      <c r="N487" s="1429"/>
      <c r="O487" s="1425"/>
      <c r="P487" s="1949" t="s">
        <v>88</v>
      </c>
      <c r="Q487" s="1950"/>
      <c r="R487" s="1951"/>
      <c r="AB487" s="1447"/>
      <c r="AC487" s="1443"/>
      <c r="AD487" s="1445"/>
      <c r="AE487" s="1445"/>
      <c r="AF487" s="1445"/>
      <c r="AG487" s="1445"/>
      <c r="AH487" s="1445"/>
      <c r="AI487" s="1445"/>
      <c r="AJ487" s="1445"/>
      <c r="AK487" s="1445"/>
      <c r="AL487" s="1445"/>
      <c r="AM487" s="1445"/>
      <c r="AR487" s="1445"/>
      <c r="AS487" s="1445"/>
      <c r="AT487" s="1445"/>
      <c r="AU487" s="1445"/>
      <c r="AV487" s="1445"/>
      <c r="AW487" s="1445"/>
      <c r="AX487" s="1445"/>
      <c r="AY487" s="1445"/>
      <c r="AZ487" s="1445"/>
      <c r="BA487" s="1445"/>
      <c r="BF487" s="1445"/>
      <c r="BG487" s="1445"/>
      <c r="BH487" s="1445"/>
      <c r="BI487" s="1445"/>
      <c r="BJ487" s="1445"/>
      <c r="BK487" s="1445"/>
      <c r="BL487" s="1445"/>
      <c r="BM487" s="1445"/>
      <c r="BN487" s="1445"/>
      <c r="BO487" s="1445"/>
    </row>
    <row r="488" spans="13:69" x14ac:dyDescent="0.25">
      <c r="N488" s="1429"/>
      <c r="O488" s="1425"/>
      <c r="P488" s="1427">
        <v>15</v>
      </c>
      <c r="Q488" s="1427">
        <v>100</v>
      </c>
      <c r="R488" s="1427">
        <v>100.5</v>
      </c>
      <c r="AB488" s="1447"/>
      <c r="AC488" s="1443"/>
      <c r="AD488" s="1445"/>
      <c r="AE488" s="1445"/>
      <c r="AF488" s="1445"/>
      <c r="AG488" s="1445"/>
      <c r="AH488" s="1445"/>
      <c r="AI488" s="1445"/>
      <c r="AJ488" s="1445"/>
      <c r="AK488" s="1445"/>
      <c r="AL488" s="1445"/>
      <c r="AM488" s="1445"/>
    </row>
    <row r="489" spans="13:69" x14ac:dyDescent="0.25">
      <c r="N489" s="1425" t="s">
        <v>1105</v>
      </c>
      <c r="O489" s="1425">
        <v>1</v>
      </c>
      <c r="P489" s="1425">
        <v>66</v>
      </c>
      <c r="Q489" s="1425">
        <v>60</v>
      </c>
      <c r="R489" s="1425">
        <v>56</v>
      </c>
      <c r="AB489" s="1443"/>
      <c r="AC489" s="1443"/>
      <c r="AD489" s="1445"/>
      <c r="AE489" s="1445"/>
      <c r="AF489" s="1445"/>
      <c r="AG489" s="1445"/>
      <c r="AH489" s="1445"/>
      <c r="AI489" s="1445"/>
      <c r="AJ489" s="1445"/>
      <c r="AK489" s="1445"/>
      <c r="AL489" s="1445"/>
      <c r="AM489" s="1445"/>
    </row>
    <row r="490" spans="13:69" x14ac:dyDescent="0.25">
      <c r="N490" s="1425" t="s">
        <v>1106</v>
      </c>
      <c r="O490" s="1425">
        <v>2</v>
      </c>
      <c r="P490" s="1425">
        <v>51</v>
      </c>
      <c r="Q490" s="1425">
        <v>45</v>
      </c>
      <c r="R490" s="1425">
        <v>42</v>
      </c>
      <c r="AB490" s="1443"/>
      <c r="AC490" s="1443"/>
      <c r="AD490" s="1445"/>
      <c r="AE490" s="1445"/>
      <c r="AF490" s="1445"/>
      <c r="AG490" s="1445"/>
      <c r="AH490" s="1445"/>
      <c r="AI490" s="1445"/>
      <c r="AJ490" s="1445"/>
      <c r="AK490" s="1445"/>
      <c r="AL490" s="1445"/>
      <c r="AM490" s="1445"/>
    </row>
    <row r="491" spans="13:69" x14ac:dyDescent="0.25">
      <c r="N491" s="1425" t="s">
        <v>1107</v>
      </c>
      <c r="O491" s="1425">
        <v>3</v>
      </c>
      <c r="P491" s="1425">
        <v>65</v>
      </c>
      <c r="Q491" s="1425">
        <v>59</v>
      </c>
      <c r="R491" s="1425">
        <v>55</v>
      </c>
      <c r="AB491" s="1443"/>
      <c r="AC491" s="1443"/>
      <c r="AD491" s="1445"/>
      <c r="AE491" s="1445"/>
      <c r="AF491" s="1445"/>
      <c r="AG491" s="1445"/>
      <c r="AH491" s="1445"/>
      <c r="AI491" s="1445"/>
      <c r="AJ491" s="1445"/>
      <c r="AK491" s="1445"/>
      <c r="AL491" s="1445"/>
      <c r="AM491" s="1445"/>
    </row>
    <row r="492" spans="13:69" x14ac:dyDescent="0.25">
      <c r="AB492" s="1443"/>
      <c r="AC492" s="1443"/>
      <c r="AD492" s="1445"/>
      <c r="AE492" s="1445"/>
      <c r="AF492" s="1445"/>
      <c r="AG492" s="1445"/>
      <c r="AH492" s="1445"/>
      <c r="AI492" s="1445"/>
      <c r="AJ492" s="1445"/>
      <c r="AK492" s="1445"/>
      <c r="AL492" s="1445"/>
      <c r="AM492" s="1445"/>
    </row>
    <row r="493" spans="13:69" x14ac:dyDescent="0.25">
      <c r="N493" s="1429" t="s">
        <v>1108</v>
      </c>
      <c r="O493" s="1425"/>
      <c r="P493" s="1425" t="s">
        <v>1109</v>
      </c>
      <c r="Q493" s="1400" t="s">
        <v>1110</v>
      </c>
      <c r="AB493" s="1447"/>
      <c r="AC493" s="1443"/>
      <c r="AD493" s="1445"/>
      <c r="AE493" s="1445"/>
      <c r="AF493" s="1445"/>
      <c r="AG493" s="1445"/>
      <c r="AH493" s="1445"/>
      <c r="AI493" s="1445"/>
      <c r="AJ493" s="1445"/>
      <c r="AK493" s="1445"/>
      <c r="AL493" s="1445"/>
      <c r="AM493" s="1445"/>
    </row>
    <row r="494" spans="13:69" x14ac:dyDescent="0.25">
      <c r="N494" s="1425" t="s">
        <v>112</v>
      </c>
      <c r="O494" s="1425">
        <v>1</v>
      </c>
      <c r="P494" s="1425">
        <v>5.5</v>
      </c>
      <c r="AB494" s="1443"/>
      <c r="AC494" s="1443"/>
      <c r="AD494" s="1443"/>
      <c r="AE494" s="1443"/>
      <c r="AF494" s="1443"/>
      <c r="AG494" s="1443"/>
      <c r="AH494" s="1443"/>
    </row>
    <row r="495" spans="13:69" x14ac:dyDescent="0.25">
      <c r="N495" s="1425" t="s">
        <v>1102</v>
      </c>
      <c r="O495" s="1425">
        <v>2</v>
      </c>
      <c r="P495" s="1425">
        <v>5.5</v>
      </c>
      <c r="AB495" s="1443"/>
      <c r="AC495" s="1443"/>
      <c r="AD495" s="1443"/>
      <c r="AE495" s="1443"/>
      <c r="AF495" s="1443"/>
      <c r="AG495" s="1443"/>
      <c r="AH495" s="1443"/>
    </row>
    <row r="496" spans="13:69" x14ac:dyDescent="0.25">
      <c r="N496" s="1425" t="s">
        <v>113</v>
      </c>
      <c r="O496" s="1425">
        <v>3</v>
      </c>
      <c r="P496" s="1425">
        <v>6</v>
      </c>
      <c r="AB496" s="1443"/>
      <c r="AC496" s="1443"/>
      <c r="AD496" s="1443"/>
      <c r="AE496" s="1443"/>
      <c r="AF496" s="1443"/>
      <c r="AG496" s="1443"/>
      <c r="AH496" s="1443"/>
    </row>
    <row r="497" spans="14:34" x14ac:dyDescent="0.25">
      <c r="N497" s="1425" t="s">
        <v>1103</v>
      </c>
      <c r="O497" s="1425">
        <v>4</v>
      </c>
      <c r="P497" s="1425">
        <v>6</v>
      </c>
      <c r="AB497" s="1443"/>
      <c r="AC497" s="1443"/>
      <c r="AD497" s="1443"/>
      <c r="AE497" s="1443"/>
      <c r="AF497" s="1443"/>
      <c r="AG497" s="1443"/>
      <c r="AH497" s="1443"/>
    </row>
    <row r="498" spans="14:34" x14ac:dyDescent="0.25">
      <c r="N498" s="1425" t="s">
        <v>114</v>
      </c>
      <c r="O498" s="1425">
        <v>5</v>
      </c>
      <c r="P498" s="1425">
        <v>6</v>
      </c>
      <c r="AB498" s="1443"/>
      <c r="AC498" s="1443"/>
      <c r="AD498" s="1443"/>
      <c r="AE498" s="1443"/>
      <c r="AF498" s="1443"/>
      <c r="AG498" s="1443"/>
      <c r="AH498" s="1443"/>
    </row>
    <row r="499" spans="14:34" x14ac:dyDescent="0.25">
      <c r="N499" s="1425" t="s">
        <v>1101</v>
      </c>
      <c r="O499" s="1425">
        <v>6</v>
      </c>
      <c r="P499" s="1425">
        <v>6</v>
      </c>
      <c r="AB499" s="1443"/>
      <c r="AC499" s="1443"/>
      <c r="AD499" s="1443"/>
      <c r="AE499" s="1443"/>
      <c r="AF499" s="1443"/>
      <c r="AG499" s="1443"/>
      <c r="AH499" s="1443"/>
    </row>
    <row r="500" spans="14:34" x14ac:dyDescent="0.25">
      <c r="N500" s="1425" t="s">
        <v>697</v>
      </c>
      <c r="O500" s="1425">
        <v>7</v>
      </c>
      <c r="P500" s="1425">
        <v>5.5</v>
      </c>
      <c r="AB500" s="1443"/>
      <c r="AC500" s="1443"/>
      <c r="AD500" s="1443"/>
      <c r="AE500" s="1443"/>
      <c r="AF500" s="1443"/>
      <c r="AG500" s="1443"/>
      <c r="AH500" s="1443"/>
    </row>
    <row r="501" spans="14:34" x14ac:dyDescent="0.25">
      <c r="N501" s="1425" t="s">
        <v>116</v>
      </c>
      <c r="O501" s="1425">
        <v>8</v>
      </c>
      <c r="P501" s="1425">
        <v>5.5</v>
      </c>
      <c r="AB501" s="1443"/>
      <c r="AC501" s="1443"/>
      <c r="AD501" s="1443"/>
      <c r="AE501" s="1443"/>
      <c r="AF501" s="1443"/>
      <c r="AG501" s="1443"/>
      <c r="AH501" s="1443"/>
    </row>
    <row r="502" spans="14:34" x14ac:dyDescent="0.25">
      <c r="AB502" s="1443"/>
      <c r="AC502" s="1443"/>
      <c r="AD502" s="1443"/>
      <c r="AE502" s="1443"/>
      <c r="AF502" s="1443"/>
      <c r="AG502" s="1443"/>
      <c r="AH502" s="1443"/>
    </row>
    <row r="503" spans="14:34" x14ac:dyDescent="0.25">
      <c r="N503" s="1414" t="s">
        <v>1146</v>
      </c>
      <c r="AB503" s="1447"/>
      <c r="AC503" s="1443"/>
      <c r="AD503" s="1443"/>
      <c r="AE503" s="1443"/>
      <c r="AF503" s="1443"/>
      <c r="AG503" s="1443"/>
      <c r="AH503" s="1443"/>
    </row>
    <row r="504" spans="14:34" x14ac:dyDescent="0.25">
      <c r="N504" s="1425">
        <v>1</v>
      </c>
      <c r="O504" s="1425"/>
      <c r="P504" s="1425">
        <v>1</v>
      </c>
      <c r="AB504" s="1443"/>
      <c r="AC504" s="1443"/>
      <c r="AD504" s="1443"/>
      <c r="AE504" s="1443"/>
      <c r="AF504" s="1443"/>
      <c r="AG504" s="1443"/>
      <c r="AH504" s="1443"/>
    </row>
    <row r="505" spans="14:34" x14ac:dyDescent="0.25">
      <c r="N505" s="1425" t="s">
        <v>112</v>
      </c>
      <c r="O505" s="1425">
        <v>1</v>
      </c>
      <c r="P505" s="1425">
        <v>2.5</v>
      </c>
      <c r="AB505" s="1443"/>
      <c r="AC505" s="1443"/>
      <c r="AD505" s="1443"/>
      <c r="AE505" s="1443"/>
      <c r="AF505" s="1443"/>
      <c r="AG505" s="1443"/>
      <c r="AH505" s="1443"/>
    </row>
    <row r="506" spans="14:34" x14ac:dyDescent="0.25">
      <c r="N506" s="1425" t="s">
        <v>1102</v>
      </c>
      <c r="O506" s="1425">
        <v>2</v>
      </c>
      <c r="P506" s="1425">
        <v>2.5</v>
      </c>
      <c r="AB506" s="1443"/>
      <c r="AC506" s="1443"/>
      <c r="AD506" s="1443"/>
      <c r="AE506" s="1443"/>
      <c r="AF506" s="1443"/>
      <c r="AG506" s="1443"/>
      <c r="AH506" s="1443"/>
    </row>
    <row r="507" spans="14:34" x14ac:dyDescent="0.25">
      <c r="N507" s="1425" t="s">
        <v>113</v>
      </c>
      <c r="O507" s="1425">
        <v>3</v>
      </c>
      <c r="P507" s="1425">
        <v>2</v>
      </c>
      <c r="AB507" s="1443"/>
      <c r="AC507" s="1443"/>
      <c r="AD507" s="1443"/>
      <c r="AE507" s="1443"/>
      <c r="AF507" s="1443"/>
      <c r="AG507" s="1443"/>
      <c r="AH507" s="1443"/>
    </row>
    <row r="508" spans="14:34" x14ac:dyDescent="0.25">
      <c r="N508" s="1425" t="s">
        <v>1103</v>
      </c>
      <c r="O508" s="1425">
        <v>4</v>
      </c>
      <c r="P508" s="1425">
        <v>6.5</v>
      </c>
      <c r="AB508" s="1443"/>
      <c r="AC508" s="1443"/>
      <c r="AD508" s="1443"/>
      <c r="AE508" s="1443"/>
      <c r="AF508" s="1443"/>
      <c r="AG508" s="1443"/>
      <c r="AH508" s="1443"/>
    </row>
    <row r="509" spans="14:34" x14ac:dyDescent="0.25">
      <c r="N509" s="1425" t="s">
        <v>1147</v>
      </c>
      <c r="O509" s="1425">
        <v>5</v>
      </c>
      <c r="P509" s="1425">
        <v>2</v>
      </c>
      <c r="AB509" s="1443"/>
      <c r="AC509" s="1443"/>
      <c r="AD509" s="1443"/>
      <c r="AE509" s="1443"/>
      <c r="AF509" s="1443"/>
      <c r="AG509" s="1443"/>
      <c r="AH509" s="1443"/>
    </row>
    <row r="510" spans="14:34" x14ac:dyDescent="0.25">
      <c r="N510" s="1425" t="s">
        <v>1148</v>
      </c>
      <c r="O510" s="1425">
        <v>6</v>
      </c>
      <c r="P510" s="1425">
        <v>6.5</v>
      </c>
      <c r="AB510" s="1443"/>
      <c r="AC510" s="1443"/>
      <c r="AD510" s="1443"/>
      <c r="AE510" s="1443"/>
      <c r="AF510" s="1443"/>
      <c r="AG510" s="1443"/>
      <c r="AH510" s="1443"/>
    </row>
    <row r="511" spans="14:34" x14ac:dyDescent="0.25">
      <c r="N511" s="1425" t="s">
        <v>697</v>
      </c>
      <c r="O511" s="1425">
        <v>7</v>
      </c>
      <c r="P511" s="1425">
        <v>2</v>
      </c>
      <c r="AB511" s="1443"/>
      <c r="AC511" s="1443"/>
      <c r="AD511" s="1443"/>
      <c r="AE511" s="1443"/>
      <c r="AF511" s="1443"/>
      <c r="AG511" s="1443"/>
      <c r="AH511" s="1443"/>
    </row>
    <row r="512" spans="14:34" x14ac:dyDescent="0.25">
      <c r="N512" s="1425" t="s">
        <v>116</v>
      </c>
      <c r="O512" s="1425">
        <v>8</v>
      </c>
      <c r="P512" s="1425">
        <v>2</v>
      </c>
      <c r="AB512" s="1443"/>
      <c r="AC512" s="1443"/>
      <c r="AD512" s="1443"/>
      <c r="AE512" s="1443"/>
      <c r="AF512" s="1443"/>
      <c r="AG512" s="1443"/>
      <c r="AH512" s="1443"/>
    </row>
    <row r="513" spans="14:34" x14ac:dyDescent="0.25">
      <c r="AB513" s="1443"/>
      <c r="AC513" s="1443"/>
      <c r="AD513" s="1443"/>
      <c r="AE513" s="1443"/>
      <c r="AF513" s="1443"/>
      <c r="AG513" s="1443"/>
      <c r="AH513" s="1443"/>
    </row>
    <row r="514" spans="14:34" x14ac:dyDescent="0.25">
      <c r="AB514" s="1443"/>
      <c r="AC514" s="1443"/>
      <c r="AD514" s="1443"/>
      <c r="AE514" s="1443"/>
      <c r="AF514" s="1443"/>
      <c r="AG514" s="1443"/>
      <c r="AH514" s="1443"/>
    </row>
    <row r="515" spans="14:34" ht="15.75" customHeight="1" x14ac:dyDescent="0.25">
      <c r="AB515" s="1443"/>
      <c r="AC515" s="1443"/>
      <c r="AD515" s="1443"/>
      <c r="AE515" s="1443"/>
      <c r="AF515" s="1443"/>
      <c r="AG515" s="1443"/>
      <c r="AH515" s="1443"/>
    </row>
    <row r="516" spans="14:34" x14ac:dyDescent="0.25">
      <c r="N516" s="1271" t="s">
        <v>3670</v>
      </c>
      <c r="O516" s="1271"/>
      <c r="P516" s="1271"/>
      <c r="Q516" s="1271"/>
      <c r="R516" s="1272"/>
      <c r="S516" s="1272"/>
      <c r="T516" s="1272"/>
      <c r="U516" s="1272"/>
      <c r="V516" s="1272"/>
      <c r="W516" s="1272"/>
      <c r="X516" s="1272"/>
      <c r="Y516" s="1272"/>
      <c r="AB516" s="1443"/>
      <c r="AC516" s="1443"/>
      <c r="AD516" s="1443"/>
      <c r="AE516" s="1443"/>
      <c r="AF516" s="1443"/>
      <c r="AG516" s="1443"/>
      <c r="AH516" s="1443"/>
    </row>
    <row r="517" spans="14:34" x14ac:dyDescent="0.25">
      <c r="N517" s="1948" t="s">
        <v>111</v>
      </c>
      <c r="O517" s="1276"/>
      <c r="P517" s="1430" t="s">
        <v>3669</v>
      </c>
      <c r="Q517" s="1430"/>
      <c r="R517" s="1430"/>
      <c r="S517" s="1430"/>
      <c r="T517" s="1430"/>
      <c r="U517" s="1430"/>
      <c r="V517" s="1430"/>
      <c r="W517" s="1430"/>
      <c r="X517" s="1430"/>
      <c r="Y517" s="1430"/>
      <c r="Z517" s="1430"/>
      <c r="AA517" s="1430"/>
      <c r="AB517" s="1443"/>
      <c r="AC517" s="1443"/>
      <c r="AD517" s="1443"/>
      <c r="AE517" s="1443"/>
      <c r="AF517" s="1443"/>
      <c r="AG517" s="1443"/>
      <c r="AH517" s="1443"/>
    </row>
    <row r="518" spans="14:34" x14ac:dyDescent="0.25">
      <c r="N518" s="1948"/>
      <c r="O518" s="1276"/>
      <c r="P518" s="1407">
        <v>15</v>
      </c>
      <c r="Q518" s="1407">
        <v>20</v>
      </c>
      <c r="R518" s="1407">
        <v>50</v>
      </c>
      <c r="S518" s="1407">
        <v>100</v>
      </c>
      <c r="T518" s="1407">
        <v>200</v>
      </c>
      <c r="U518" s="1407">
        <v>500</v>
      </c>
      <c r="V518" s="1407">
        <v>1000</v>
      </c>
      <c r="W518" s="1407">
        <v>2000</v>
      </c>
      <c r="X518" s="1407">
        <v>5000</v>
      </c>
      <c r="Y518" s="1407">
        <v>10000</v>
      </c>
      <c r="Z518" s="1407">
        <v>20000</v>
      </c>
      <c r="AA518" s="1407">
        <v>30000</v>
      </c>
      <c r="AB518" s="1443"/>
      <c r="AC518" s="1443"/>
      <c r="AD518" s="1443"/>
      <c r="AE518" s="1443"/>
      <c r="AF518" s="1443"/>
      <c r="AG518" s="1443"/>
      <c r="AH518" s="1443"/>
    </row>
    <row r="519" spans="14:34" x14ac:dyDescent="0.25">
      <c r="N519" s="1276" t="s">
        <v>3661</v>
      </c>
      <c r="O519" s="1276">
        <v>1</v>
      </c>
      <c r="P519" s="1408">
        <v>0.66800000000000004</v>
      </c>
      <c r="Q519" s="1408">
        <v>0.503</v>
      </c>
      <c r="R519" s="1408">
        <v>0.376</v>
      </c>
      <c r="S519" s="1408">
        <v>0.24</v>
      </c>
      <c r="T519" s="1408">
        <v>0.161</v>
      </c>
      <c r="U519" s="1408">
        <v>0.1</v>
      </c>
      <c r="V519" s="1408">
        <v>8.5999999999999993E-2</v>
      </c>
      <c r="W519" s="1408">
        <v>7.2999999999999995E-2</v>
      </c>
      <c r="X519" s="1408">
        <v>0.05</v>
      </c>
      <c r="Y519" s="1408">
        <v>0.04</v>
      </c>
      <c r="Z519" s="1408">
        <v>2.5999999999999999E-2</v>
      </c>
      <c r="AA519" s="1408">
        <v>2.1999999999999999E-2</v>
      </c>
      <c r="AB519" s="1443"/>
      <c r="AC519" s="1443"/>
      <c r="AD519" s="1443"/>
      <c r="AE519" s="1443"/>
      <c r="AF519" s="1443"/>
      <c r="AG519" s="1443"/>
      <c r="AH519" s="1443"/>
    </row>
    <row r="520" spans="14:34" x14ac:dyDescent="0.25">
      <c r="N520" s="1276" t="s">
        <v>113</v>
      </c>
      <c r="O520" s="1276">
        <v>2</v>
      </c>
      <c r="P520" s="1408">
        <v>0.75700000000000001</v>
      </c>
      <c r="Q520" s="1408">
        <v>0.61199999999999999</v>
      </c>
      <c r="R520" s="1408">
        <v>0.441</v>
      </c>
      <c r="S520" s="1408">
        <v>0.29399999999999998</v>
      </c>
      <c r="T520" s="1408">
        <v>0.20599999999999999</v>
      </c>
      <c r="U520" s="1408">
        <v>0.16300000000000001</v>
      </c>
      <c r="V520" s="1408">
        <v>0.14099999999999999</v>
      </c>
      <c r="W520" s="1408">
        <v>0.11</v>
      </c>
      <c r="X520" s="1408">
        <v>7.3999999999999996E-2</v>
      </c>
      <c r="Y520" s="1408">
        <v>5.7000000000000002E-2</v>
      </c>
      <c r="Z520" s="1408">
        <v>3.4000000000000002E-2</v>
      </c>
      <c r="AA520" s="1408">
        <v>2.7E-2</v>
      </c>
      <c r="AB520" s="1443"/>
      <c r="AC520" s="1443"/>
      <c r="AD520" s="1443"/>
      <c r="AE520" s="1443"/>
      <c r="AF520" s="1443"/>
      <c r="AG520" s="1443"/>
      <c r="AH520" s="1443"/>
    </row>
    <row r="521" spans="14:34" x14ac:dyDescent="0.25">
      <c r="N521" s="1276" t="s">
        <v>114</v>
      </c>
      <c r="O521" s="1276">
        <v>3</v>
      </c>
      <c r="P521" s="1408">
        <v>0.41299999999999998</v>
      </c>
      <c r="Q521" s="1408">
        <v>0.34499999999999997</v>
      </c>
      <c r="R521" s="1408">
        <v>0.251</v>
      </c>
      <c r="S521" s="1408">
        <v>0.17699999999999999</v>
      </c>
      <c r="T521" s="1408">
        <v>0.108</v>
      </c>
      <c r="U521" s="1408">
        <v>7.0999999999999994E-2</v>
      </c>
      <c r="V521" s="1408">
        <v>6.2E-2</v>
      </c>
      <c r="W521" s="1408">
        <v>5.2999999999999999E-2</v>
      </c>
      <c r="X521" s="1408">
        <v>3.5999999999999997E-2</v>
      </c>
      <c r="Y521" s="1408">
        <v>2.9000000000000001E-2</v>
      </c>
      <c r="Z521" s="1408">
        <v>1.9E-2</v>
      </c>
      <c r="AA521" s="1408">
        <v>1.6E-2</v>
      </c>
      <c r="AB521" s="1443"/>
      <c r="AC521" s="1443"/>
      <c r="AD521" s="1443"/>
      <c r="AE521" s="1443"/>
      <c r="AF521" s="1443"/>
      <c r="AG521" s="1443"/>
      <c r="AH521" s="1443"/>
    </row>
    <row r="522" spans="14:34" x14ac:dyDescent="0.25">
      <c r="N522" s="1276" t="s">
        <v>697</v>
      </c>
      <c r="O522" s="1276">
        <v>4</v>
      </c>
      <c r="P522" s="1408">
        <v>0.56599999999999995</v>
      </c>
      <c r="Q522" s="1408">
        <v>0.47199999999999998</v>
      </c>
      <c r="R522" s="1408">
        <v>0.34300000000000003</v>
      </c>
      <c r="S522" s="1408">
        <v>0.216</v>
      </c>
      <c r="T522" s="1408">
        <v>0.14399999999999999</v>
      </c>
      <c r="U522" s="1408">
        <v>9.6000000000000002E-2</v>
      </c>
      <c r="V522" s="1408">
        <v>8.2000000000000003E-2</v>
      </c>
      <c r="W522" s="1408">
        <v>7.0000000000000007E-2</v>
      </c>
      <c r="X522" s="1408">
        <v>4.8000000000000001E-2</v>
      </c>
      <c r="Y522" s="1408">
        <v>3.9E-2</v>
      </c>
      <c r="Z522" s="1408">
        <v>2.5000000000000001E-2</v>
      </c>
      <c r="AA522" s="1408">
        <v>2.1000000000000001E-2</v>
      </c>
    </row>
    <row r="523" spans="14:34" x14ac:dyDescent="0.25">
      <c r="N523" s="1276" t="s">
        <v>116</v>
      </c>
      <c r="O523" s="1276">
        <v>5</v>
      </c>
      <c r="P523" s="1408">
        <v>0.43099999999999999</v>
      </c>
      <c r="Q523" s="1408">
        <v>0.36</v>
      </c>
      <c r="R523" s="1408">
        <v>0.26200000000000001</v>
      </c>
      <c r="S523" s="1408">
        <v>0.183</v>
      </c>
      <c r="T523" s="1408">
        <v>0.112</v>
      </c>
      <c r="U523" s="1408">
        <v>7.3999999999999996E-2</v>
      </c>
      <c r="V523" s="1408">
        <v>6.5000000000000002E-2</v>
      </c>
      <c r="W523" s="1408">
        <v>5.5E-2</v>
      </c>
      <c r="X523" s="1408">
        <v>3.7999999999999999E-2</v>
      </c>
      <c r="Y523" s="1408">
        <v>0.03</v>
      </c>
      <c r="Z523" s="1408">
        <v>0.02</v>
      </c>
      <c r="AA523" s="1408">
        <v>1.7000000000000001E-2</v>
      </c>
    </row>
    <row r="526" spans="14:34" ht="16.5" customHeight="1" x14ac:dyDescent="0.25"/>
    <row r="527" spans="14:34" x14ac:dyDescent="0.25">
      <c r="N527" s="1271" t="s">
        <v>3671</v>
      </c>
      <c r="O527" s="1271"/>
      <c r="P527" s="1271"/>
      <c r="Q527" s="1271"/>
      <c r="R527" s="1272"/>
      <c r="S527" s="1272"/>
      <c r="T527" s="1272"/>
      <c r="U527" s="1272"/>
      <c r="V527" s="1272"/>
      <c r="W527" s="1272"/>
      <c r="X527" s="1272"/>
      <c r="Y527" s="1272"/>
    </row>
    <row r="528" spans="14:34" x14ac:dyDescent="0.25">
      <c r="N528" s="1948" t="s">
        <v>111</v>
      </c>
      <c r="O528" s="1276"/>
      <c r="P528" s="1430" t="s">
        <v>3669</v>
      </c>
      <c r="Q528" s="1430"/>
      <c r="R528" s="1430"/>
      <c r="S528" s="1430"/>
      <c r="T528" s="1430"/>
      <c r="U528" s="1430"/>
      <c r="V528" s="1430"/>
      <c r="W528" s="1430"/>
      <c r="X528" s="1430"/>
      <c r="Y528" s="1430"/>
      <c r="Z528" s="1430"/>
      <c r="AA528" s="1430"/>
    </row>
    <row r="529" spans="14:27" x14ac:dyDescent="0.25">
      <c r="N529" s="1948"/>
      <c r="O529" s="1276"/>
      <c r="P529" s="1407">
        <v>15</v>
      </c>
      <c r="Q529" s="1407">
        <v>20</v>
      </c>
      <c r="R529" s="1407">
        <v>50</v>
      </c>
      <c r="S529" s="1407">
        <v>100</v>
      </c>
      <c r="T529" s="1407">
        <v>200</v>
      </c>
      <c r="U529" s="1407">
        <v>500</v>
      </c>
      <c r="V529" s="1407">
        <v>1000</v>
      </c>
      <c r="W529" s="1407">
        <v>2000</v>
      </c>
      <c r="X529" s="1407">
        <v>5000</v>
      </c>
      <c r="Y529" s="1407">
        <v>10000</v>
      </c>
      <c r="Z529" s="1407">
        <v>20000</v>
      </c>
      <c r="AA529" s="1407">
        <v>30000</v>
      </c>
    </row>
    <row r="530" spans="14:27" x14ac:dyDescent="0.25">
      <c r="N530" s="1276" t="s">
        <v>3661</v>
      </c>
      <c r="O530" s="1276">
        <v>1</v>
      </c>
      <c r="P530" s="1408">
        <v>1.1140000000000001</v>
      </c>
      <c r="Q530" s="1408">
        <v>0.91400000000000003</v>
      </c>
      <c r="R530" s="1408">
        <v>0.751</v>
      </c>
      <c r="S530" s="1408">
        <v>0.53400000000000003</v>
      </c>
      <c r="T530" s="1408">
        <v>0.40200000000000002</v>
      </c>
      <c r="U530" s="1408">
        <v>0.28699999999999998</v>
      </c>
      <c r="V530" s="1408">
        <v>0.246</v>
      </c>
      <c r="W530" s="1408">
        <v>0.20899999999999999</v>
      </c>
      <c r="X530" s="1408">
        <v>0.16700000000000001</v>
      </c>
      <c r="Y530" s="1408">
        <v>0.13400000000000001</v>
      </c>
      <c r="Z530" s="1408">
        <v>0.10199999999999999</v>
      </c>
      <c r="AA530" s="1408">
        <v>8.5999999999999993E-2</v>
      </c>
    </row>
    <row r="531" spans="14:27" x14ac:dyDescent="0.25">
      <c r="N531" s="1276" t="s">
        <v>113</v>
      </c>
      <c r="O531" s="1276">
        <v>2</v>
      </c>
      <c r="P531" s="1408">
        <v>1.2609999999999999</v>
      </c>
      <c r="Q531" s="1408">
        <v>1.1120000000000001</v>
      </c>
      <c r="R531" s="1408">
        <v>0.88200000000000001</v>
      </c>
      <c r="S531" s="1408">
        <v>0.65400000000000003</v>
      </c>
      <c r="T531" s="1408">
        <v>0.51500000000000001</v>
      </c>
      <c r="U531" s="1408">
        <v>0.46600000000000003</v>
      </c>
      <c r="V531" s="1408">
        <v>0.40400000000000003</v>
      </c>
      <c r="W531" s="1408">
        <v>0.315</v>
      </c>
      <c r="X531" s="1408">
        <v>0.248</v>
      </c>
      <c r="Y531" s="1408">
        <v>0.189</v>
      </c>
      <c r="Z531" s="1408">
        <v>0.13500000000000001</v>
      </c>
      <c r="AA531" s="1408">
        <v>0.107</v>
      </c>
    </row>
    <row r="532" spans="14:27" x14ac:dyDescent="0.25">
      <c r="N532" s="1276" t="s">
        <v>114</v>
      </c>
      <c r="O532" s="1276">
        <v>3</v>
      </c>
      <c r="P532" s="1408">
        <v>0.68899999999999995</v>
      </c>
      <c r="Q532" s="1408">
        <v>0.628</v>
      </c>
      <c r="R532" s="1408">
        <v>0.501</v>
      </c>
      <c r="S532" s="1408">
        <v>0.39300000000000002</v>
      </c>
      <c r="T532" s="1408">
        <v>0.27100000000000002</v>
      </c>
      <c r="U532" s="1408">
        <v>0.20300000000000001</v>
      </c>
      <c r="V532" s="1408">
        <v>0.17699999999999999</v>
      </c>
      <c r="W532" s="1408">
        <v>0.151</v>
      </c>
      <c r="X532" s="1408">
        <v>0.12</v>
      </c>
      <c r="Y532" s="1408">
        <v>9.7000000000000003E-2</v>
      </c>
      <c r="Z532" s="1408">
        <v>7.4999999999999997E-2</v>
      </c>
      <c r="AA532" s="1408">
        <v>6.3E-2</v>
      </c>
    </row>
    <row r="533" spans="14:27" x14ac:dyDescent="0.25">
      <c r="N533" s="1276" t="s">
        <v>697</v>
      </c>
      <c r="O533" s="1276">
        <v>4</v>
      </c>
      <c r="P533" s="1408">
        <v>0.94299999999999995</v>
      </c>
      <c r="Q533" s="1408">
        <v>0.85799999999999998</v>
      </c>
      <c r="R533" s="1408">
        <v>0.68500000000000005</v>
      </c>
      <c r="S533" s="1408">
        <v>0.48</v>
      </c>
      <c r="T533" s="1408">
        <v>0.36099999999999999</v>
      </c>
      <c r="U533" s="1408">
        <v>0.27300000000000002</v>
      </c>
      <c r="V533" s="1408">
        <v>0.23400000000000001</v>
      </c>
      <c r="W533" s="1408">
        <v>0.20100000000000001</v>
      </c>
      <c r="X533" s="1408">
        <v>0.161</v>
      </c>
      <c r="Y533" s="1408">
        <v>0.129</v>
      </c>
      <c r="Z533" s="1408">
        <v>0.1</v>
      </c>
      <c r="AA533" s="1408">
        <v>8.4000000000000005E-2</v>
      </c>
    </row>
    <row r="534" spans="14:27" x14ac:dyDescent="0.25">
      <c r="N534" s="1276" t="s">
        <v>116</v>
      </c>
      <c r="O534" s="1276">
        <v>5</v>
      </c>
      <c r="P534" s="1408">
        <v>0.71899999999999997</v>
      </c>
      <c r="Q534" s="1408">
        <v>0.65400000000000003</v>
      </c>
      <c r="R534" s="1408">
        <v>0.52400000000000002</v>
      </c>
      <c r="S534" s="1408">
        <v>0.40699999999999997</v>
      </c>
      <c r="T534" s="1408">
        <v>0.28000000000000003</v>
      </c>
      <c r="U534" s="1408">
        <v>0.21099999999999999</v>
      </c>
      <c r="V534" s="1408">
        <v>0.185</v>
      </c>
      <c r="W534" s="1408">
        <v>0.158</v>
      </c>
      <c r="X534" s="1408">
        <v>0.127</v>
      </c>
      <c r="Y534" s="1408">
        <v>0.10100000000000001</v>
      </c>
      <c r="Z534" s="1408">
        <v>7.8E-2</v>
      </c>
      <c r="AA534" s="1408">
        <v>6.5000000000000002E-2</v>
      </c>
    </row>
    <row r="536" spans="14:27" ht="16.5" customHeight="1" x14ac:dyDescent="0.25"/>
    <row r="537" spans="14:27" x14ac:dyDescent="0.25">
      <c r="N537" s="1271" t="s">
        <v>3672</v>
      </c>
      <c r="O537" s="1271"/>
      <c r="P537" s="1271"/>
      <c r="Q537" s="1271"/>
      <c r="R537" s="1272"/>
      <c r="S537" s="1272"/>
      <c r="T537" s="1272"/>
      <c r="U537" s="1272"/>
      <c r="V537" s="1272"/>
      <c r="W537" s="1272"/>
      <c r="X537" s="1272"/>
      <c r="Y537" s="1272"/>
    </row>
    <row r="538" spans="14:27" x14ac:dyDescent="0.25">
      <c r="N538" s="1948" t="s">
        <v>111</v>
      </c>
      <c r="O538" s="1276"/>
      <c r="P538" s="1430" t="s">
        <v>3669</v>
      </c>
      <c r="Q538" s="1430"/>
      <c r="R538" s="1430"/>
      <c r="S538" s="1430"/>
      <c r="T538" s="1430"/>
      <c r="U538" s="1430"/>
      <c r="V538" s="1430"/>
      <c r="W538" s="1430"/>
      <c r="X538" s="1430"/>
      <c r="Y538" s="1430"/>
      <c r="Z538" s="1430"/>
      <c r="AA538" s="1430"/>
    </row>
    <row r="539" spans="14:27" x14ac:dyDescent="0.25">
      <c r="N539" s="1948"/>
      <c r="O539" s="1276"/>
      <c r="P539" s="1407">
        <v>15</v>
      </c>
      <c r="Q539" s="1407">
        <v>20</v>
      </c>
      <c r="R539" s="1407">
        <v>50</v>
      </c>
      <c r="S539" s="1407">
        <v>100</v>
      </c>
      <c r="T539" s="1407">
        <v>200</v>
      </c>
      <c r="U539" s="1407">
        <v>500</v>
      </c>
      <c r="V539" s="1407">
        <v>1000</v>
      </c>
      <c r="W539" s="1407">
        <v>2000</v>
      </c>
      <c r="X539" s="1407">
        <v>5000</v>
      </c>
      <c r="Y539" s="1407">
        <v>10000</v>
      </c>
      <c r="Z539" s="1407">
        <v>20000</v>
      </c>
      <c r="AA539" s="1407">
        <v>30000</v>
      </c>
    </row>
    <row r="540" spans="14:27" x14ac:dyDescent="0.25">
      <c r="N540" s="1276" t="s">
        <v>3661</v>
      </c>
      <c r="O540" s="1276">
        <v>1</v>
      </c>
      <c r="P540" s="1408">
        <v>7.0999999999999994E-2</v>
      </c>
      <c r="Q540" s="1408">
        <v>5.8999999999999997E-2</v>
      </c>
      <c r="R540" s="1408">
        <v>4.8000000000000001E-2</v>
      </c>
      <c r="S540" s="1408">
        <v>3.4000000000000002E-2</v>
      </c>
      <c r="T540" s="1408">
        <v>2.5000000000000001E-2</v>
      </c>
      <c r="U540" s="1408">
        <v>1.6E-2</v>
      </c>
      <c r="V540" s="1408">
        <v>1.4E-2</v>
      </c>
      <c r="W540" s="1408">
        <v>1.2E-2</v>
      </c>
      <c r="X540" s="1408">
        <v>8.9999999999999993E-3</v>
      </c>
      <c r="Y540" s="1408">
        <v>7.0000000000000001E-3</v>
      </c>
      <c r="Z540" s="1408">
        <v>5.0000000000000001E-3</v>
      </c>
      <c r="AA540" s="1408">
        <v>4.0000000000000001E-3</v>
      </c>
    </row>
    <row r="541" spans="14:27" x14ac:dyDescent="0.25">
      <c r="N541" s="1276" t="s">
        <v>113</v>
      </c>
      <c r="O541" s="1276">
        <v>2</v>
      </c>
      <c r="P541" s="1408">
        <v>9.8000000000000004E-2</v>
      </c>
      <c r="Q541" s="1408">
        <v>8.3000000000000004E-2</v>
      </c>
      <c r="R541" s="1408">
        <v>6.7000000000000004E-2</v>
      </c>
      <c r="S541" s="1408">
        <v>4.9000000000000002E-2</v>
      </c>
      <c r="T541" s="1408">
        <v>3.6999999999999998E-2</v>
      </c>
      <c r="U541" s="1408">
        <v>2.8000000000000001E-2</v>
      </c>
      <c r="V541" s="1408">
        <v>2.5000000000000001E-2</v>
      </c>
      <c r="W541" s="1408">
        <v>0.02</v>
      </c>
      <c r="X541" s="1408">
        <v>1.4999999999999999E-2</v>
      </c>
      <c r="Y541" s="1408">
        <v>0.01</v>
      </c>
      <c r="Z541" s="1408">
        <v>7.0000000000000001E-3</v>
      </c>
      <c r="AA541" s="1408">
        <v>5.0000000000000001E-3</v>
      </c>
    </row>
    <row r="542" spans="14:27" x14ac:dyDescent="0.25">
      <c r="N542" s="1276" t="s">
        <v>114</v>
      </c>
      <c r="O542" s="1276">
        <v>3</v>
      </c>
      <c r="P542" s="1408">
        <v>5.3999999999999999E-2</v>
      </c>
      <c r="Q542" s="1408">
        <v>4.9000000000000002E-2</v>
      </c>
      <c r="R542" s="1408">
        <v>3.9E-2</v>
      </c>
      <c r="S542" s="1408">
        <v>0.03</v>
      </c>
      <c r="T542" s="1408">
        <v>0.02</v>
      </c>
      <c r="U542" s="1408">
        <v>1.2999999999999999E-2</v>
      </c>
      <c r="V542" s="1408">
        <v>1.0999999999999999E-2</v>
      </c>
      <c r="W542" s="1408">
        <v>8.9999999999999993E-3</v>
      </c>
      <c r="X542" s="1408">
        <v>7.0000000000000001E-3</v>
      </c>
      <c r="Y542" s="1408">
        <v>5.0000000000000001E-3</v>
      </c>
      <c r="Z542" s="1408">
        <v>4.0000000000000001E-3</v>
      </c>
      <c r="AA542" s="1408">
        <v>3.0000000000000001E-3</v>
      </c>
    </row>
    <row r="543" spans="14:27" x14ac:dyDescent="0.25">
      <c r="N543" s="1276" t="s">
        <v>697</v>
      </c>
      <c r="O543" s="1276">
        <v>4</v>
      </c>
      <c r="P543" s="1408">
        <v>6.4000000000000001E-2</v>
      </c>
      <c r="Q543" s="1408">
        <v>5.8000000000000003E-2</v>
      </c>
      <c r="R543" s="1408">
        <v>4.7E-2</v>
      </c>
      <c r="S543" s="1408">
        <v>3.3000000000000002E-2</v>
      </c>
      <c r="T543" s="1408">
        <v>2.4E-2</v>
      </c>
      <c r="U543" s="1408">
        <v>1.4999999999999999E-2</v>
      </c>
      <c r="V543" s="1408">
        <v>1.2999999999999999E-2</v>
      </c>
      <c r="W543" s="1408">
        <v>1.0999999999999999E-2</v>
      </c>
      <c r="X543" s="1408">
        <v>8.9999999999999993E-3</v>
      </c>
      <c r="Y543" s="1408">
        <v>6.0000000000000001E-3</v>
      </c>
      <c r="Z543" s="1408">
        <v>5.0000000000000001E-3</v>
      </c>
      <c r="AA543" s="1408">
        <v>4.0000000000000001E-3</v>
      </c>
    </row>
    <row r="544" spans="14:27" x14ac:dyDescent="0.25">
      <c r="N544" s="1276" t="s">
        <v>116</v>
      </c>
      <c r="O544" s="1276">
        <v>5</v>
      </c>
      <c r="P544" s="1408">
        <v>5.6000000000000001E-2</v>
      </c>
      <c r="Q544" s="1408">
        <v>5.0999999999999997E-2</v>
      </c>
      <c r="R544" s="1408">
        <v>4.1000000000000002E-2</v>
      </c>
      <c r="S544" s="1408">
        <v>3.2000000000000001E-2</v>
      </c>
      <c r="T544" s="1408">
        <v>2.1000000000000001E-2</v>
      </c>
      <c r="U544" s="1408">
        <v>1.2999999999999999E-2</v>
      </c>
      <c r="V544" s="1408">
        <v>1.2E-2</v>
      </c>
      <c r="W544" s="1408">
        <v>0.01</v>
      </c>
      <c r="X544" s="1408">
        <v>8.0000000000000002E-3</v>
      </c>
      <c r="Y544" s="1408">
        <v>5.0000000000000001E-3</v>
      </c>
      <c r="Z544" s="1408">
        <v>4.0000000000000001E-3</v>
      </c>
      <c r="AA544" s="1408">
        <v>3.0000000000000001E-3</v>
      </c>
    </row>
    <row r="546" spans="14:27" ht="16.5" customHeight="1" x14ac:dyDescent="0.25"/>
    <row r="547" spans="14:27" x14ac:dyDescent="0.25">
      <c r="N547" s="1271" t="s">
        <v>3673</v>
      </c>
      <c r="O547" s="1271"/>
      <c r="P547" s="1271"/>
      <c r="Q547" s="1271"/>
      <c r="R547" s="1272"/>
      <c r="S547" s="1272"/>
      <c r="T547" s="1272"/>
      <c r="U547" s="1272"/>
      <c r="V547" s="1272"/>
      <c r="W547" s="1272"/>
      <c r="X547" s="1272"/>
      <c r="Y547" s="1272"/>
    </row>
    <row r="548" spans="14:27" x14ac:dyDescent="0.25">
      <c r="N548" s="1948" t="s">
        <v>111</v>
      </c>
      <c r="O548" s="1276"/>
      <c r="P548" s="1430" t="s">
        <v>3669</v>
      </c>
      <c r="Q548" s="1430"/>
      <c r="R548" s="1430"/>
      <c r="S548" s="1430"/>
      <c r="T548" s="1430"/>
      <c r="U548" s="1430"/>
      <c r="V548" s="1430"/>
      <c r="W548" s="1430"/>
      <c r="X548" s="1430"/>
      <c r="Y548" s="1430"/>
      <c r="Z548" s="1430"/>
      <c r="AA548" s="1430"/>
    </row>
    <row r="549" spans="14:27" x14ac:dyDescent="0.25">
      <c r="N549" s="1948"/>
      <c r="O549" s="1276"/>
      <c r="P549" s="1407">
        <v>15</v>
      </c>
      <c r="Q549" s="1407">
        <v>20</v>
      </c>
      <c r="R549" s="1407">
        <v>50</v>
      </c>
      <c r="S549" s="1407">
        <v>100</v>
      </c>
      <c r="T549" s="1407">
        <v>200</v>
      </c>
      <c r="U549" s="1407">
        <v>500</v>
      </c>
      <c r="V549" s="1407">
        <v>1000</v>
      </c>
      <c r="W549" s="1407">
        <v>2000</v>
      </c>
      <c r="X549" s="1407">
        <v>5000</v>
      </c>
      <c r="Y549" s="1407">
        <v>10000</v>
      </c>
      <c r="Z549" s="1407">
        <v>20000</v>
      </c>
      <c r="AA549" s="1407">
        <v>30000</v>
      </c>
    </row>
    <row r="550" spans="14:27" x14ac:dyDescent="0.25">
      <c r="N550" s="1276" t="s">
        <v>3661</v>
      </c>
      <c r="O550" s="1276">
        <v>1</v>
      </c>
      <c r="P550" s="1408">
        <v>0.20399999999999999</v>
      </c>
      <c r="Q550" s="1408">
        <v>0.16800000000000001</v>
      </c>
      <c r="R550" s="1408">
        <v>0.13800000000000001</v>
      </c>
      <c r="S550" s="1408">
        <v>9.7000000000000003E-2</v>
      </c>
      <c r="T550" s="1408">
        <v>7.0000000000000007E-2</v>
      </c>
      <c r="U550" s="1408">
        <v>4.5999999999999999E-2</v>
      </c>
      <c r="V550" s="1408">
        <v>4.1000000000000002E-2</v>
      </c>
      <c r="W550" s="1408">
        <v>3.4000000000000002E-2</v>
      </c>
      <c r="X550" s="1408">
        <v>2.5999999999999999E-2</v>
      </c>
      <c r="Y550" s="1408">
        <v>1.9E-2</v>
      </c>
      <c r="Z550" s="1408">
        <v>1.4999999999999999E-2</v>
      </c>
      <c r="AA550" s="1408">
        <v>1.2E-2</v>
      </c>
    </row>
    <row r="551" spans="14:27" x14ac:dyDescent="0.25">
      <c r="N551" s="1276" t="s">
        <v>113</v>
      </c>
      <c r="O551" s="1276">
        <v>2</v>
      </c>
      <c r="P551" s="1408">
        <v>0.28100000000000003</v>
      </c>
      <c r="Q551" s="1408">
        <v>0.23799999999999999</v>
      </c>
      <c r="R551" s="1408">
        <v>0.19</v>
      </c>
      <c r="S551" s="1408">
        <v>0.14099999999999999</v>
      </c>
      <c r="T551" s="1408">
        <v>0.107</v>
      </c>
      <c r="U551" s="1408">
        <v>0.08</v>
      </c>
      <c r="V551" s="1408">
        <v>7.0000000000000007E-2</v>
      </c>
      <c r="W551" s="1408">
        <v>5.6000000000000001E-2</v>
      </c>
      <c r="X551" s="1408">
        <v>4.3999999999999997E-2</v>
      </c>
      <c r="Y551" s="1408">
        <v>2.9000000000000001E-2</v>
      </c>
      <c r="Z551" s="1408">
        <v>0.02</v>
      </c>
      <c r="AA551" s="1408">
        <v>1.4999999999999999E-2</v>
      </c>
    </row>
    <row r="552" spans="14:27" x14ac:dyDescent="0.25">
      <c r="N552" s="1276" t="s">
        <v>114</v>
      </c>
      <c r="O552" s="1276">
        <v>3</v>
      </c>
      <c r="P552" s="1408">
        <v>0.153</v>
      </c>
      <c r="Q552" s="1408">
        <v>0.13900000000000001</v>
      </c>
      <c r="R552" s="1408">
        <v>0.112</v>
      </c>
      <c r="S552" s="1408">
        <v>8.6999999999999994E-2</v>
      </c>
      <c r="T552" s="1408">
        <v>5.8000000000000003E-2</v>
      </c>
      <c r="U552" s="1408">
        <v>3.5999999999999997E-2</v>
      </c>
      <c r="V552" s="1408">
        <v>3.2000000000000001E-2</v>
      </c>
      <c r="W552" s="1408">
        <v>2.5999999999999999E-2</v>
      </c>
      <c r="X552" s="1408">
        <v>0.02</v>
      </c>
      <c r="Y552" s="1408">
        <v>1.4E-2</v>
      </c>
      <c r="Z552" s="1408">
        <v>0.01</v>
      </c>
      <c r="AA552" s="1408">
        <v>8.9999999999999993E-3</v>
      </c>
    </row>
    <row r="553" spans="14:27" x14ac:dyDescent="0.25">
      <c r="N553" s="1276" t="s">
        <v>697</v>
      </c>
      <c r="O553" s="1276">
        <v>4</v>
      </c>
      <c r="P553" s="1408">
        <v>0.182</v>
      </c>
      <c r="Q553" s="1408">
        <v>0.16700000000000001</v>
      </c>
      <c r="R553" s="1408">
        <v>0.13300000000000001</v>
      </c>
      <c r="S553" s="1408">
        <v>9.4E-2</v>
      </c>
      <c r="T553" s="1408">
        <v>6.8000000000000005E-2</v>
      </c>
      <c r="U553" s="1408">
        <v>4.3999999999999997E-2</v>
      </c>
      <c r="V553" s="1408">
        <v>3.6999999999999998E-2</v>
      </c>
      <c r="W553" s="1408">
        <v>3.2000000000000001E-2</v>
      </c>
      <c r="X553" s="1408">
        <v>2.5999999999999999E-2</v>
      </c>
      <c r="Y553" s="1408">
        <v>1.7000000000000001E-2</v>
      </c>
      <c r="Z553" s="1408">
        <v>1.4E-2</v>
      </c>
      <c r="AA553" s="1408">
        <v>0.01</v>
      </c>
    </row>
    <row r="554" spans="14:27" x14ac:dyDescent="0.25">
      <c r="N554" s="1276" t="s">
        <v>116</v>
      </c>
      <c r="O554" s="1276">
        <v>5</v>
      </c>
      <c r="P554" s="1408">
        <v>0.16</v>
      </c>
      <c r="Q554" s="1408">
        <v>0.14499999999999999</v>
      </c>
      <c r="R554" s="1408">
        <v>0.11600000000000001</v>
      </c>
      <c r="S554" s="1408">
        <v>9.1999999999999998E-2</v>
      </c>
      <c r="T554" s="1408">
        <v>0.06</v>
      </c>
      <c r="U554" s="1408">
        <v>3.6999999999999998E-2</v>
      </c>
      <c r="V554" s="1408">
        <v>3.4000000000000002E-2</v>
      </c>
      <c r="W554" s="1408">
        <v>2.9000000000000001E-2</v>
      </c>
      <c r="X554" s="1408">
        <v>2.1999999999999999E-2</v>
      </c>
      <c r="Y554" s="1408">
        <v>1.4999999999999999E-2</v>
      </c>
      <c r="Z554" s="1408">
        <v>0.01</v>
      </c>
      <c r="AA554" s="1408">
        <v>8.9999999999999993E-3</v>
      </c>
    </row>
    <row r="558" spans="14:27" x14ac:dyDescent="0.25">
      <c r="N558" s="1414" t="s">
        <v>3716</v>
      </c>
    </row>
    <row r="560" spans="14:27" x14ac:dyDescent="0.25">
      <c r="N560" s="1431" t="s">
        <v>3721</v>
      </c>
      <c r="O560" s="1408" t="s">
        <v>3717</v>
      </c>
      <c r="P560" s="1408" t="s">
        <v>3718</v>
      </c>
      <c r="Q560" s="1408" t="s">
        <v>3719</v>
      </c>
    </row>
    <row r="561" spans="14:20" x14ac:dyDescent="0.25">
      <c r="N561" s="1431" t="s">
        <v>3720</v>
      </c>
      <c r="O561" s="1408">
        <v>70</v>
      </c>
      <c r="P561" s="1408">
        <v>65</v>
      </c>
      <c r="Q561" s="1408">
        <v>60</v>
      </c>
    </row>
    <row r="562" spans="14:20" x14ac:dyDescent="0.25">
      <c r="N562" s="1400" t="s">
        <v>3722</v>
      </c>
    </row>
    <row r="564" spans="14:20" x14ac:dyDescent="0.25">
      <c r="N564" s="1400" t="s">
        <v>3756</v>
      </c>
    </row>
    <row r="565" spans="14:20" x14ac:dyDescent="0.25">
      <c r="N565" s="1431" t="s">
        <v>3757</v>
      </c>
      <c r="O565" s="1407"/>
      <c r="P565" s="1407">
        <v>1</v>
      </c>
      <c r="Q565" s="1407">
        <v>5</v>
      </c>
      <c r="R565" s="1407">
        <v>10</v>
      </c>
      <c r="S565" s="1407">
        <v>20</v>
      </c>
      <c r="T565" s="1407">
        <v>50</v>
      </c>
    </row>
    <row r="566" spans="14:20" x14ac:dyDescent="0.25">
      <c r="N566" s="1408" t="s">
        <v>3755</v>
      </c>
      <c r="O566" s="1408">
        <v>1</v>
      </c>
      <c r="P566" s="1408">
        <v>4.0720000000000001</v>
      </c>
      <c r="Q566" s="1408">
        <v>3.5409999999999999</v>
      </c>
      <c r="R566" s="1408">
        <v>3.0790000000000002</v>
      </c>
      <c r="S566" s="1408">
        <v>2.7069999999999999</v>
      </c>
      <c r="T566" s="1408">
        <v>2.3809999999999998</v>
      </c>
    </row>
  </sheetData>
  <sheetProtection pivotTables="0"/>
  <mergeCells count="273">
    <mergeCell ref="BE107:BI107"/>
    <mergeCell ref="BD107:BD108"/>
    <mergeCell ref="BE122:BI122"/>
    <mergeCell ref="BE256:BI256"/>
    <mergeCell ref="BE241:BI241"/>
    <mergeCell ref="BD241:BD242"/>
    <mergeCell ref="BD226:BD227"/>
    <mergeCell ref="BE226:BI226"/>
    <mergeCell ref="BD211:BD212"/>
    <mergeCell ref="BE211:BI211"/>
    <mergeCell ref="BE166:BI166"/>
    <mergeCell ref="BD166:BD167"/>
    <mergeCell ref="BD122:BD123"/>
    <mergeCell ref="M473:M474"/>
    <mergeCell ref="E89:E90"/>
    <mergeCell ref="AR54:AT54"/>
    <mergeCell ref="BF359:BO359"/>
    <mergeCell ref="BD359:BD360"/>
    <mergeCell ref="BD351:BD352"/>
    <mergeCell ref="BF351:BO351"/>
    <mergeCell ref="BD343:BD344"/>
    <mergeCell ref="BF343:BO343"/>
    <mergeCell ref="BE77:BI77"/>
    <mergeCell ref="BD335:BD336"/>
    <mergeCell ref="BF335:BO335"/>
    <mergeCell ref="BD327:BD328"/>
    <mergeCell ref="BF327:BO327"/>
    <mergeCell ref="BD319:BD320"/>
    <mergeCell ref="BF319:BQ319"/>
    <mergeCell ref="BD307:BD308"/>
    <mergeCell ref="BF307:BM307"/>
    <mergeCell ref="BD301:BD302"/>
    <mergeCell ref="BF301:BM301"/>
    <mergeCell ref="BD286:BD287"/>
    <mergeCell ref="BE286:BI286"/>
    <mergeCell ref="BD196:BD197"/>
    <mergeCell ref="BE181:BI181"/>
    <mergeCell ref="AQ77:AU77"/>
    <mergeCell ref="BE196:BI196"/>
    <mergeCell ref="BE92:BI92"/>
    <mergeCell ref="BE137:BI137"/>
    <mergeCell ref="BD137:BD138"/>
    <mergeCell ref="AR38:BC38"/>
    <mergeCell ref="AB38:AB39"/>
    <mergeCell ref="BD271:BD272"/>
    <mergeCell ref="BE271:BI271"/>
    <mergeCell ref="BD256:BD257"/>
    <mergeCell ref="BF38:BQ38"/>
    <mergeCell ref="BE62:BI62"/>
    <mergeCell ref="BF46:BQ46"/>
    <mergeCell ref="BD62:BD63"/>
    <mergeCell ref="AB158:AB159"/>
    <mergeCell ref="AP122:AP123"/>
    <mergeCell ref="AQ122:AU122"/>
    <mergeCell ref="AP92:AP93"/>
    <mergeCell ref="AQ107:AU107"/>
    <mergeCell ref="AP107:AP108"/>
    <mergeCell ref="AP166:AP167"/>
    <mergeCell ref="AP137:AP138"/>
    <mergeCell ref="AP62:AP63"/>
    <mergeCell ref="AR46:BC46"/>
    <mergeCell ref="AB226:AB227"/>
    <mergeCell ref="N77:N78"/>
    <mergeCell ref="N137:N138"/>
    <mergeCell ref="P158:X158"/>
    <mergeCell ref="O166:S166"/>
    <mergeCell ref="N166:N167"/>
    <mergeCell ref="O181:S181"/>
    <mergeCell ref="N181:N182"/>
    <mergeCell ref="N226:N227"/>
    <mergeCell ref="N92:N93"/>
    <mergeCell ref="O107:S107"/>
    <mergeCell ref="N107:N108"/>
    <mergeCell ref="N122:N123"/>
    <mergeCell ref="A7:A8"/>
    <mergeCell ref="B7:B8"/>
    <mergeCell ref="C7:C8"/>
    <mergeCell ref="D7:M7"/>
    <mergeCell ref="P38:AA38"/>
    <mergeCell ref="P46:AA46"/>
    <mergeCell ref="O92:S92"/>
    <mergeCell ref="AD158:AL158"/>
    <mergeCell ref="AC166:AG166"/>
    <mergeCell ref="O62:S62"/>
    <mergeCell ref="AB428:AB429"/>
    <mergeCell ref="AB438:AB439"/>
    <mergeCell ref="AB448:AB449"/>
    <mergeCell ref="AB458:AB459"/>
    <mergeCell ref="AD335:AM335"/>
    <mergeCell ref="AD375:AM375"/>
    <mergeCell ref="AB375:AB376"/>
    <mergeCell ref="AB418:AB419"/>
    <mergeCell ref="AB408:AJ408"/>
    <mergeCell ref="AB383:AB384"/>
    <mergeCell ref="AD359:AM359"/>
    <mergeCell ref="AB359:AB360"/>
    <mergeCell ref="AD367:AM367"/>
    <mergeCell ref="AC211:AG211"/>
    <mergeCell ref="AC196:AG196"/>
    <mergeCell ref="AC226:AG226"/>
    <mergeCell ref="AB468:AM468"/>
    <mergeCell ref="AD343:AM343"/>
    <mergeCell ref="AC181:AG181"/>
    <mergeCell ref="AD38:AO38"/>
    <mergeCell ref="AD46:AO46"/>
    <mergeCell ref="AD54:AF54"/>
    <mergeCell ref="AC62:AG62"/>
    <mergeCell ref="AB122:AB123"/>
    <mergeCell ref="AC137:AG137"/>
    <mergeCell ref="AB137:AB138"/>
    <mergeCell ref="AB166:AB167"/>
    <mergeCell ref="AC152:AJ152"/>
    <mergeCell ref="AC122:AG122"/>
    <mergeCell ref="AB46:AB47"/>
    <mergeCell ref="AB77:AB78"/>
    <mergeCell ref="AB92:AB93"/>
    <mergeCell ref="AB107:AB108"/>
    <mergeCell ref="AC107:AG107"/>
    <mergeCell ref="AB62:AB63"/>
    <mergeCell ref="AB327:AB328"/>
    <mergeCell ref="AB335:AB336"/>
    <mergeCell ref="N335:N336"/>
    <mergeCell ref="N343:N344"/>
    <mergeCell ref="P343:W343"/>
    <mergeCell ref="AQ62:AU62"/>
    <mergeCell ref="BD181:BD182"/>
    <mergeCell ref="O137:S137"/>
    <mergeCell ref="O77:S77"/>
    <mergeCell ref="BD77:BD78"/>
    <mergeCell ref="BD92:BD93"/>
    <mergeCell ref="AQ92:AU92"/>
    <mergeCell ref="AP77:AP78"/>
    <mergeCell ref="AB319:AB320"/>
    <mergeCell ref="AD301:AK301"/>
    <mergeCell ref="O241:S241"/>
    <mergeCell ref="AB286:AB287"/>
    <mergeCell ref="AC286:AG286"/>
    <mergeCell ref="AC241:AG241"/>
    <mergeCell ref="AB241:AB242"/>
    <mergeCell ref="AB256:AB257"/>
    <mergeCell ref="AC256:AG256"/>
    <mergeCell ref="O286:S286"/>
    <mergeCell ref="AB181:AB182"/>
    <mergeCell ref="AB196:AB197"/>
    <mergeCell ref="AB211:AB212"/>
    <mergeCell ref="N548:N549"/>
    <mergeCell ref="N301:N302"/>
    <mergeCell ref="AC77:AG77"/>
    <mergeCell ref="AC92:AG92"/>
    <mergeCell ref="N271:N272"/>
    <mergeCell ref="O196:S196"/>
    <mergeCell ref="N196:N197"/>
    <mergeCell ref="O211:S211"/>
    <mergeCell ref="N448:N449"/>
    <mergeCell ref="N458:N459"/>
    <mergeCell ref="N468:Y468"/>
    <mergeCell ref="N475:N476"/>
    <mergeCell ref="N517:N518"/>
    <mergeCell ref="N528:N529"/>
    <mergeCell ref="AD327:AM327"/>
    <mergeCell ref="AB271:AB272"/>
    <mergeCell ref="AC271:AG271"/>
    <mergeCell ref="AB301:AB302"/>
    <mergeCell ref="O122:S122"/>
    <mergeCell ref="N211:N212"/>
    <mergeCell ref="O226:S226"/>
    <mergeCell ref="N399:N400"/>
    <mergeCell ref="P418:X418"/>
    <mergeCell ref="P359:W359"/>
    <mergeCell ref="AP391:AP392"/>
    <mergeCell ref="AR391:BA391"/>
    <mergeCell ref="AP399:AP400"/>
    <mergeCell ref="N241:N242"/>
    <mergeCell ref="O256:S256"/>
    <mergeCell ref="N256:N257"/>
    <mergeCell ref="O271:S271"/>
    <mergeCell ref="N538:N539"/>
    <mergeCell ref="P487:R487"/>
    <mergeCell ref="N359:N360"/>
    <mergeCell ref="N367:N368"/>
    <mergeCell ref="P375:W375"/>
    <mergeCell ref="N375:N376"/>
    <mergeCell ref="N383:N384"/>
    <mergeCell ref="N408:V408"/>
    <mergeCell ref="P351:W351"/>
    <mergeCell ref="N286:N287"/>
    <mergeCell ref="N306:W306"/>
    <mergeCell ref="N300:W300"/>
    <mergeCell ref="P307:W307"/>
    <mergeCell ref="P319:AA319"/>
    <mergeCell ref="N319:N320"/>
    <mergeCell ref="N327:N328"/>
    <mergeCell ref="P335:Z335"/>
    <mergeCell ref="P428:X428"/>
    <mergeCell ref="P438:X438"/>
    <mergeCell ref="N438:N439"/>
    <mergeCell ref="N428:N429"/>
    <mergeCell ref="N418:N419"/>
    <mergeCell ref="N391:N392"/>
    <mergeCell ref="P399:Z399"/>
    <mergeCell ref="P391:Z391"/>
    <mergeCell ref="N351:N352"/>
    <mergeCell ref="AB307:AB308"/>
    <mergeCell ref="AP375:AP376"/>
    <mergeCell ref="AR375:BA375"/>
    <mergeCell ref="AR383:BA383"/>
    <mergeCell ref="AP383:AP384"/>
    <mergeCell ref="AR343:BA343"/>
    <mergeCell ref="AD351:AM351"/>
    <mergeCell ref="AP367:AP368"/>
    <mergeCell ref="AB343:AB344"/>
    <mergeCell ref="AB351:AB352"/>
    <mergeCell ref="AB367:AB368"/>
    <mergeCell ref="AD319:AO319"/>
    <mergeCell ref="AR359:BA359"/>
    <mergeCell ref="AP359:AP360"/>
    <mergeCell ref="AR319:BC319"/>
    <mergeCell ref="AP319:AP320"/>
    <mergeCell ref="AP307:AP308"/>
    <mergeCell ref="AR307:AY307"/>
    <mergeCell ref="AP327:AP328"/>
    <mergeCell ref="AP335:AP336"/>
    <mergeCell ref="AP343:AP344"/>
    <mergeCell ref="AR335:BA335"/>
    <mergeCell ref="AD307:AK307"/>
    <mergeCell ref="AR158:AZ158"/>
    <mergeCell ref="AQ166:AU166"/>
    <mergeCell ref="AQ241:AU241"/>
    <mergeCell ref="AP241:AP242"/>
    <mergeCell ref="AQ256:AU256"/>
    <mergeCell ref="AP256:AP257"/>
    <mergeCell ref="AQ181:AU181"/>
    <mergeCell ref="AQ137:AU137"/>
    <mergeCell ref="AR351:BA351"/>
    <mergeCell ref="AP351:AP352"/>
    <mergeCell ref="AP301:AP302"/>
    <mergeCell ref="AP196:AP197"/>
    <mergeCell ref="AQ196:AU196"/>
    <mergeCell ref="AP211:AP212"/>
    <mergeCell ref="AR301:AY301"/>
    <mergeCell ref="AP226:AP227"/>
    <mergeCell ref="AP181:AP182"/>
    <mergeCell ref="AQ286:AU286"/>
    <mergeCell ref="AP286:AP287"/>
    <mergeCell ref="AQ271:AU271"/>
    <mergeCell ref="AQ226:AU226"/>
    <mergeCell ref="AQ211:AU211"/>
    <mergeCell ref="AR327:BA327"/>
    <mergeCell ref="AP271:AP272"/>
    <mergeCell ref="AB475:AB476"/>
    <mergeCell ref="AD475:AM475"/>
    <mergeCell ref="AP475:AP476"/>
    <mergeCell ref="AR475:BA475"/>
    <mergeCell ref="BD475:BD476"/>
    <mergeCell ref="BF475:BO475"/>
    <mergeCell ref="BF367:BO367"/>
    <mergeCell ref="AR367:BA367"/>
    <mergeCell ref="BD391:BD392"/>
    <mergeCell ref="BF383:BO383"/>
    <mergeCell ref="BD375:BD376"/>
    <mergeCell ref="BF375:BO375"/>
    <mergeCell ref="BF391:BO391"/>
    <mergeCell ref="BD383:BD384"/>
    <mergeCell ref="BD367:BD368"/>
    <mergeCell ref="BF399:BO399"/>
    <mergeCell ref="AR399:BA399"/>
    <mergeCell ref="AR408:AY408"/>
    <mergeCell ref="AD383:AM383"/>
    <mergeCell ref="AB391:AB392"/>
    <mergeCell ref="AD391:AM391"/>
    <mergeCell ref="AD399:AM399"/>
    <mergeCell ref="AB399:AB400"/>
    <mergeCell ref="BD399:BD400"/>
  </mergeCells>
  <phoneticPr fontId="2" type="noConversion"/>
  <dataValidations xWindow="546" yWindow="291" count="10">
    <dataValidation allowBlank="1" showInputMessage="1" showErrorMessage="1" promptTitle="Bạn lưu ý: Dòng 35-80" prompt="Vùng duyệt đường dẫn dữ liệu của chương trình từ dòng thứ 35 đến dòng thứ 80. Để đảm bảo ổn định cho chương trình. Bạn vui lòng không xóa/chèn thêm dữ liệu nào ngoài vùng này" sqref="F35:M80 B44:D44 B35:E41 B42:D42 E51:E80 A35:A80 E42:E46 B52:D80"/>
    <dataValidation allowBlank="1" showInputMessage="1" showErrorMessage="1" promptTitle="Hướng dẫn" prompt="Người dùng thay đổi các văn bản tính chi phí kiểm toán, quyết toán tại đây" sqref="D110"/>
    <dataValidation allowBlank="1" showInputMessage="1" showErrorMessage="1" promptTitle="Hướng dẫn" prompt="Người dùng thay đổi số tùy chọn lương tại đây" sqref="D113"/>
    <dataValidation allowBlank="1" showInputMessage="1" showErrorMessage="1" promptTitle="Lưu ý" prompt="Không xóa ô này" sqref="C104 C88 C82 C113 C110 C94 C99"/>
    <dataValidation allowBlank="1" showInputMessage="1" showErrorMessage="1" promptTitle="Hướng dẫn" prompt="Người dùng thay đổi số lượng các loại công trình khác tại đây" sqref="E104"/>
    <dataValidation allowBlank="1" showInputMessage="1" showErrorMessage="1" promptTitle="Hướng dẫn" prompt="Người dùng thay đổi số lượng các loại văn bản tính nội suy tại đây" sqref="D99"/>
    <dataValidation allowBlank="1" showInputMessage="1" showErrorMessage="1" promptTitle="Hướng dẫn" prompt="Người dùng thay đổi bước thiết kế tại đây" sqref="D94"/>
    <dataValidation allowBlank="1" showInputMessage="1" showErrorMessage="1" promptTitle="Hướng dẫn" prompt="Người dùng thay đổi cấp công trình tại đây" sqref="D88"/>
    <dataValidation allowBlank="1" showInputMessage="1" showErrorMessage="1" promptTitle="Hướng dẫn" prompt="Người dùng thay đổi địa chỉ loại công trình tại đây" sqref="D82"/>
    <dataValidation allowBlank="1" showInputMessage="1" showErrorMessage="1" promptTitle="Ghi chú" prompt="Vùng ghi chú thông tin của chương trình, Để đảm bảo chương trình ổn định các bạn vui lòng không chèn dòng hoặc xoá dòng" sqref="A1:M34"/>
  </dataValidations>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8129" r:id="rId4" name="Dr_LCT">
              <controlPr defaultSize="0" print="0" autoLine="0" autoPict="0">
                <anchor>
                  <from>
                    <xdr:col>2</xdr:col>
                    <xdr:colOff>76200</xdr:colOff>
                    <xdr:row>4</xdr:row>
                    <xdr:rowOff>9525</xdr:rowOff>
                  </from>
                  <to>
                    <xdr:col>3</xdr:col>
                    <xdr:colOff>1104900</xdr:colOff>
                    <xdr:row>5</xdr:row>
                    <xdr:rowOff>9525</xdr:rowOff>
                  </to>
                </anchor>
              </controlPr>
            </control>
          </mc:Choice>
        </mc:AlternateContent>
      </controls>
    </mc:Choice>
  </mc:AlternateContent>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_Setting"/>
  <dimension ref="A1:H85"/>
  <sheetViews>
    <sheetView zoomScale="70" zoomScaleNormal="70" workbookViewId="0">
      <selection activeCell="G52" sqref="G52"/>
    </sheetView>
  </sheetViews>
  <sheetFormatPr defaultRowHeight="15" x14ac:dyDescent="0.25"/>
  <cols>
    <col min="1" max="1" width="9.140625" style="2"/>
    <col min="2" max="2" width="14.42578125" style="2" bestFit="1" customWidth="1"/>
    <col min="3" max="3" width="41.5703125" style="2" customWidth="1"/>
    <col min="4" max="4" width="33.28515625" style="2" customWidth="1"/>
    <col min="5" max="5" width="64.42578125" style="2" customWidth="1"/>
    <col min="6" max="6" width="20" style="2" bestFit="1" customWidth="1"/>
    <col min="7" max="7" width="43.7109375" style="2" customWidth="1"/>
    <col min="8" max="16384" width="9.140625" style="2"/>
  </cols>
  <sheetData>
    <row r="1" spans="1:8" x14ac:dyDescent="0.25">
      <c r="A1" s="131" t="s">
        <v>15</v>
      </c>
      <c r="B1" s="131" t="s">
        <v>16</v>
      </c>
      <c r="C1" s="132" t="s">
        <v>17</v>
      </c>
      <c r="D1" s="132" t="s">
        <v>18</v>
      </c>
      <c r="E1" s="132" t="s">
        <v>19</v>
      </c>
      <c r="F1" s="133" t="s">
        <v>20</v>
      </c>
      <c r="G1" s="133" t="s">
        <v>536</v>
      </c>
      <c r="H1" s="133" t="s">
        <v>1474</v>
      </c>
    </row>
    <row r="2" spans="1:8" x14ac:dyDescent="0.25">
      <c r="A2" s="134">
        <v>1</v>
      </c>
      <c r="B2" s="134" t="s">
        <v>21</v>
      </c>
      <c r="C2" s="134" t="s">
        <v>537</v>
      </c>
      <c r="D2" s="134" t="s">
        <v>22</v>
      </c>
      <c r="E2" s="135" t="s">
        <v>23</v>
      </c>
      <c r="F2" s="193" t="s">
        <v>24</v>
      </c>
      <c r="G2" s="193" t="s">
        <v>24</v>
      </c>
      <c r="H2" s="2" t="s">
        <v>1475</v>
      </c>
    </row>
    <row r="3" spans="1:8" x14ac:dyDescent="0.25">
      <c r="A3" s="134">
        <v>2</v>
      </c>
      <c r="B3" s="134" t="s">
        <v>25</v>
      </c>
      <c r="C3" s="134" t="s">
        <v>538</v>
      </c>
      <c r="D3" s="134" t="s">
        <v>22</v>
      </c>
      <c r="E3" s="135" t="s">
        <v>23</v>
      </c>
      <c r="F3" s="194" t="s">
        <v>0</v>
      </c>
      <c r="G3" s="194" t="s">
        <v>0</v>
      </c>
      <c r="H3" s="2" t="s">
        <v>1476</v>
      </c>
    </row>
    <row r="4" spans="1:8" x14ac:dyDescent="0.25">
      <c r="A4" s="134">
        <v>3</v>
      </c>
      <c r="B4" s="134" t="s">
        <v>26</v>
      </c>
      <c r="C4" s="134" t="s">
        <v>539</v>
      </c>
      <c r="D4" s="134" t="s">
        <v>22</v>
      </c>
      <c r="E4" s="135" t="s">
        <v>23</v>
      </c>
      <c r="F4" s="194" t="s">
        <v>1</v>
      </c>
      <c r="G4" s="194" t="s">
        <v>1</v>
      </c>
      <c r="H4" s="2" t="s">
        <v>1477</v>
      </c>
    </row>
    <row r="5" spans="1:8" x14ac:dyDescent="0.25">
      <c r="A5" s="134">
        <v>4</v>
      </c>
      <c r="B5" s="134" t="s">
        <v>27</v>
      </c>
      <c r="C5" s="134" t="s">
        <v>540</v>
      </c>
      <c r="D5" s="134" t="s">
        <v>22</v>
      </c>
      <c r="E5" s="135" t="s">
        <v>23</v>
      </c>
      <c r="F5" s="194" t="s">
        <v>2</v>
      </c>
      <c r="G5" s="194" t="s">
        <v>2</v>
      </c>
      <c r="H5" s="2" t="s">
        <v>1478</v>
      </c>
    </row>
    <row r="6" spans="1:8" x14ac:dyDescent="0.25">
      <c r="A6" s="134">
        <v>5</v>
      </c>
      <c r="B6" s="134" t="s">
        <v>28</v>
      </c>
      <c r="C6" s="134" t="s">
        <v>541</v>
      </c>
      <c r="D6" s="134" t="s">
        <v>22</v>
      </c>
      <c r="E6" s="135" t="s">
        <v>23</v>
      </c>
      <c r="F6" s="194" t="s">
        <v>3</v>
      </c>
      <c r="G6" s="194" t="s">
        <v>3</v>
      </c>
      <c r="H6" s="2" t="s">
        <v>1479</v>
      </c>
    </row>
    <row r="7" spans="1:8" x14ac:dyDescent="0.25">
      <c r="A7" s="134">
        <v>6</v>
      </c>
      <c r="B7" s="134" t="s">
        <v>29</v>
      </c>
      <c r="C7" s="134" t="s">
        <v>542</v>
      </c>
      <c r="D7" s="134" t="s">
        <v>22</v>
      </c>
      <c r="E7" s="135" t="s">
        <v>23</v>
      </c>
      <c r="F7" s="194" t="s">
        <v>4</v>
      </c>
      <c r="G7" s="194" t="s">
        <v>4</v>
      </c>
      <c r="H7" s="2" t="s">
        <v>1480</v>
      </c>
    </row>
    <row r="8" spans="1:8" x14ac:dyDescent="0.25">
      <c r="A8" s="134">
        <v>7</v>
      </c>
      <c r="B8" s="134" t="s">
        <v>30</v>
      </c>
      <c r="C8" s="134" t="s">
        <v>543</v>
      </c>
      <c r="D8" s="134" t="s">
        <v>22</v>
      </c>
      <c r="E8" s="135" t="s">
        <v>23</v>
      </c>
      <c r="F8" s="194" t="s">
        <v>5</v>
      </c>
      <c r="G8" s="194" t="s">
        <v>5</v>
      </c>
      <c r="H8" s="2" t="s">
        <v>1481</v>
      </c>
    </row>
    <row r="9" spans="1:8" x14ac:dyDescent="0.25">
      <c r="A9" s="134">
        <v>8</v>
      </c>
      <c r="B9" s="134" t="s">
        <v>31</v>
      </c>
      <c r="C9" s="134" t="s">
        <v>544</v>
      </c>
      <c r="D9" s="134" t="s">
        <v>22</v>
      </c>
      <c r="E9" s="135" t="s">
        <v>23</v>
      </c>
      <c r="F9" s="194" t="s">
        <v>6</v>
      </c>
      <c r="G9" s="194" t="s">
        <v>6</v>
      </c>
      <c r="H9" s="2" t="s">
        <v>1482</v>
      </c>
    </row>
    <row r="10" spans="1:8" x14ac:dyDescent="0.25">
      <c r="A10" s="134">
        <v>9</v>
      </c>
      <c r="B10" s="134" t="s">
        <v>32</v>
      </c>
      <c r="C10" s="134" t="s">
        <v>545</v>
      </c>
      <c r="D10" s="134" t="s">
        <v>22</v>
      </c>
      <c r="E10" s="135" t="s">
        <v>23</v>
      </c>
      <c r="F10" s="194" t="s">
        <v>7</v>
      </c>
      <c r="G10" s="194" t="s">
        <v>7</v>
      </c>
      <c r="H10" s="2" t="s">
        <v>1483</v>
      </c>
    </row>
    <row r="11" spans="1:8" x14ac:dyDescent="0.25">
      <c r="A11" s="134">
        <v>10</v>
      </c>
      <c r="B11" s="134" t="s">
        <v>33</v>
      </c>
      <c r="C11" s="134" t="s">
        <v>546</v>
      </c>
      <c r="D11" s="134" t="s">
        <v>22</v>
      </c>
      <c r="E11" s="135" t="s">
        <v>34</v>
      </c>
      <c r="F11" s="194" t="s">
        <v>8</v>
      </c>
      <c r="G11" s="194" t="s">
        <v>8</v>
      </c>
      <c r="H11" s="2" t="s">
        <v>1484</v>
      </c>
    </row>
    <row r="12" spans="1:8" x14ac:dyDescent="0.25">
      <c r="A12" s="134">
        <v>11</v>
      </c>
      <c r="B12" s="134" t="s">
        <v>35</v>
      </c>
      <c r="C12" s="134" t="s">
        <v>547</v>
      </c>
      <c r="D12" s="134" t="s">
        <v>22</v>
      </c>
      <c r="E12" s="135" t="s">
        <v>34</v>
      </c>
      <c r="F12" s="194" t="s">
        <v>36</v>
      </c>
      <c r="G12" s="194" t="s">
        <v>36</v>
      </c>
      <c r="H12" s="2" t="s">
        <v>1485</v>
      </c>
    </row>
    <row r="13" spans="1:8" x14ac:dyDescent="0.25">
      <c r="A13" s="134">
        <v>12</v>
      </c>
      <c r="B13" s="134" t="s">
        <v>37</v>
      </c>
      <c r="C13" s="134" t="s">
        <v>548</v>
      </c>
      <c r="D13" s="134" t="s">
        <v>22</v>
      </c>
      <c r="E13" s="135" t="s">
        <v>23</v>
      </c>
      <c r="F13" s="194" t="s">
        <v>9</v>
      </c>
      <c r="G13" s="194" t="s">
        <v>9</v>
      </c>
      <c r="H13" s="2" t="s">
        <v>1486</v>
      </c>
    </row>
    <row r="14" spans="1:8" x14ac:dyDescent="0.25">
      <c r="A14" s="134">
        <v>13</v>
      </c>
      <c r="B14" s="134" t="s">
        <v>38</v>
      </c>
      <c r="C14" s="134" t="s">
        <v>549</v>
      </c>
      <c r="D14" s="134" t="s">
        <v>22</v>
      </c>
      <c r="E14" s="135" t="s">
        <v>34</v>
      </c>
      <c r="F14" s="194" t="s">
        <v>10</v>
      </c>
      <c r="G14" s="194" t="s">
        <v>10</v>
      </c>
      <c r="H14" s="2" t="s">
        <v>1487</v>
      </c>
    </row>
    <row r="15" spans="1:8" x14ac:dyDescent="0.25">
      <c r="A15" s="134">
        <v>14</v>
      </c>
      <c r="B15" s="134" t="s">
        <v>39</v>
      </c>
      <c r="C15" s="134" t="s">
        <v>550</v>
      </c>
      <c r="D15" s="134" t="s">
        <v>22</v>
      </c>
      <c r="E15" s="135" t="s">
        <v>40</v>
      </c>
      <c r="F15" s="194" t="s">
        <v>11</v>
      </c>
      <c r="G15" s="194" t="s">
        <v>11</v>
      </c>
      <c r="H15" s="2" t="s">
        <v>1488</v>
      </c>
    </row>
    <row r="16" spans="1:8" x14ac:dyDescent="0.25">
      <c r="A16" s="134">
        <v>15</v>
      </c>
      <c r="B16" s="134" t="s">
        <v>41</v>
      </c>
      <c r="C16" s="134" t="s">
        <v>551</v>
      </c>
      <c r="D16" s="134" t="s">
        <v>22</v>
      </c>
      <c r="E16" s="135" t="s">
        <v>40</v>
      </c>
      <c r="F16" s="194" t="s">
        <v>42</v>
      </c>
      <c r="G16" s="194" t="s">
        <v>42</v>
      </c>
      <c r="H16" s="2" t="s">
        <v>1489</v>
      </c>
    </row>
    <row r="17" spans="1:8" x14ac:dyDescent="0.25">
      <c r="A17" s="136">
        <v>16</v>
      </c>
      <c r="B17" s="136" t="s">
        <v>43</v>
      </c>
      <c r="C17" s="136" t="s">
        <v>552</v>
      </c>
      <c r="D17" s="136" t="s">
        <v>44</v>
      </c>
      <c r="E17" s="137"/>
      <c r="F17" s="194" t="s">
        <v>12</v>
      </c>
      <c r="G17" s="194" t="s">
        <v>12</v>
      </c>
      <c r="H17" s="2" t="s">
        <v>1490</v>
      </c>
    </row>
    <row r="18" spans="1:8" x14ac:dyDescent="0.25">
      <c r="F18" s="194" t="s">
        <v>13</v>
      </c>
      <c r="G18" s="194" t="s">
        <v>13</v>
      </c>
      <c r="H18" s="2" t="s">
        <v>1491</v>
      </c>
    </row>
    <row r="19" spans="1:8" x14ac:dyDescent="0.25">
      <c r="F19" s="194" t="s">
        <v>45</v>
      </c>
      <c r="G19" s="194" t="s">
        <v>45</v>
      </c>
      <c r="H19" s="2" t="s">
        <v>1492</v>
      </c>
    </row>
    <row r="20" spans="1:8" x14ac:dyDescent="0.25">
      <c r="F20" s="194" t="s">
        <v>14</v>
      </c>
      <c r="G20" s="194" t="s">
        <v>14</v>
      </c>
      <c r="H20" s="2" t="s">
        <v>1493</v>
      </c>
    </row>
    <row r="21" spans="1:8" x14ac:dyDescent="0.25">
      <c r="F21" s="194" t="s">
        <v>46</v>
      </c>
      <c r="G21" s="194" t="s">
        <v>46</v>
      </c>
      <c r="H21" s="2" t="s">
        <v>46</v>
      </c>
    </row>
    <row r="22" spans="1:8" x14ac:dyDescent="0.25">
      <c r="F22" s="194" t="s">
        <v>585</v>
      </c>
      <c r="G22" s="194" t="s">
        <v>585</v>
      </c>
      <c r="H22" s="2" t="s">
        <v>1494</v>
      </c>
    </row>
    <row r="23" spans="1:8" x14ac:dyDescent="0.25">
      <c r="F23" s="194" t="s">
        <v>586</v>
      </c>
      <c r="G23" s="194" t="s">
        <v>586</v>
      </c>
      <c r="H23" s="2" t="s">
        <v>1495</v>
      </c>
    </row>
    <row r="24" spans="1:8" x14ac:dyDescent="0.25">
      <c r="F24" s="2" t="s">
        <v>704</v>
      </c>
      <c r="G24" s="2" t="s">
        <v>704</v>
      </c>
      <c r="H24" s="2" t="s">
        <v>1496</v>
      </c>
    </row>
    <row r="25" spans="1:8" x14ac:dyDescent="0.25">
      <c r="F25" s="2" t="s">
        <v>705</v>
      </c>
      <c r="G25" s="2" t="s">
        <v>705</v>
      </c>
      <c r="H25" s="2" t="s">
        <v>1497</v>
      </c>
    </row>
    <row r="26" spans="1:8" x14ac:dyDescent="0.25">
      <c r="F26" s="2" t="s">
        <v>535</v>
      </c>
      <c r="G26" s="2" t="s">
        <v>535</v>
      </c>
      <c r="H26" s="2" t="s">
        <v>1498</v>
      </c>
    </row>
    <row r="27" spans="1:8" x14ac:dyDescent="0.25">
      <c r="F27" s="2" t="s">
        <v>718</v>
      </c>
      <c r="G27" s="2" t="s">
        <v>718</v>
      </c>
      <c r="H27" s="2" t="s">
        <v>1499</v>
      </c>
    </row>
    <row r="28" spans="1:8" x14ac:dyDescent="0.25">
      <c r="F28" s="2" t="s">
        <v>723</v>
      </c>
      <c r="G28" s="2" t="s">
        <v>723</v>
      </c>
      <c r="H28" s="2" t="s">
        <v>1500</v>
      </c>
    </row>
    <row r="29" spans="1:8" x14ac:dyDescent="0.25">
      <c r="F29" s="2" t="s">
        <v>724</v>
      </c>
      <c r="G29" s="2" t="s">
        <v>724</v>
      </c>
      <c r="H29" s="2" t="s">
        <v>1501</v>
      </c>
    </row>
    <row r="30" spans="1:8" x14ac:dyDescent="0.25">
      <c r="F30" s="2" t="s">
        <v>1055</v>
      </c>
      <c r="G30" s="2" t="s">
        <v>1055</v>
      </c>
      <c r="H30" s="2" t="s">
        <v>1502</v>
      </c>
    </row>
    <row r="31" spans="1:8" x14ac:dyDescent="0.25">
      <c r="F31" s="2" t="s">
        <v>1056</v>
      </c>
      <c r="G31" s="2" t="s">
        <v>1056</v>
      </c>
      <c r="H31" s="2" t="s">
        <v>1503</v>
      </c>
    </row>
    <row r="32" spans="1:8" x14ac:dyDescent="0.25">
      <c r="F32" s="2" t="s">
        <v>1057</v>
      </c>
      <c r="G32" s="2" t="s">
        <v>1057</v>
      </c>
      <c r="H32" s="2" t="s">
        <v>1504</v>
      </c>
    </row>
    <row r="33" spans="6:8" x14ac:dyDescent="0.25">
      <c r="F33" s="2" t="s">
        <v>1058</v>
      </c>
      <c r="G33" s="2" t="s">
        <v>1058</v>
      </c>
      <c r="H33" s="2" t="s">
        <v>1505</v>
      </c>
    </row>
    <row r="34" spans="6:8" x14ac:dyDescent="0.25">
      <c r="F34" s="2" t="s">
        <v>1059</v>
      </c>
      <c r="G34" s="2" t="s">
        <v>1059</v>
      </c>
      <c r="H34" s="2" t="s">
        <v>1506</v>
      </c>
    </row>
    <row r="35" spans="6:8" x14ac:dyDescent="0.25">
      <c r="F35" s="2" t="s">
        <v>1060</v>
      </c>
      <c r="G35" s="2" t="s">
        <v>1060</v>
      </c>
      <c r="H35" s="2" t="s">
        <v>1507</v>
      </c>
    </row>
    <row r="36" spans="6:8" x14ac:dyDescent="0.25">
      <c r="F36" s="2" t="s">
        <v>1224</v>
      </c>
      <c r="G36" s="2" t="s">
        <v>1224</v>
      </c>
      <c r="H36" s="2" t="s">
        <v>1509</v>
      </c>
    </row>
    <row r="37" spans="6:8" x14ac:dyDescent="0.25">
      <c r="F37" s="2" t="s">
        <v>1214</v>
      </c>
      <c r="G37" s="2" t="s">
        <v>1218</v>
      </c>
      <c r="H37" s="2" t="s">
        <v>1511</v>
      </c>
    </row>
    <row r="38" spans="6:8" x14ac:dyDescent="0.25">
      <c r="F38" s="2" t="s">
        <v>1215</v>
      </c>
      <c r="G38" s="2" t="s">
        <v>1215</v>
      </c>
      <c r="H38" s="2" t="s">
        <v>1508</v>
      </c>
    </row>
    <row r="39" spans="6:8" x14ac:dyDescent="0.25">
      <c r="F39" s="2" t="s">
        <v>1216</v>
      </c>
      <c r="G39" s="2" t="s">
        <v>1216</v>
      </c>
      <c r="H39" s="2" t="s">
        <v>1512</v>
      </c>
    </row>
    <row r="40" spans="6:8" x14ac:dyDescent="0.25">
      <c r="F40" s="2" t="s">
        <v>1217</v>
      </c>
      <c r="G40" s="2" t="s">
        <v>1217</v>
      </c>
      <c r="H40" s="2" t="s">
        <v>1510</v>
      </c>
    </row>
    <row r="41" spans="6:8" x14ac:dyDescent="0.25">
      <c r="F41" s="2" t="s">
        <v>1218</v>
      </c>
      <c r="G41" s="2" t="s">
        <v>1214</v>
      </c>
      <c r="H41" s="2" t="s">
        <v>1513</v>
      </c>
    </row>
    <row r="42" spans="6:8" x14ac:dyDescent="0.25">
      <c r="F42" s="2" t="s">
        <v>1219</v>
      </c>
      <c r="G42" s="2" t="s">
        <v>1219</v>
      </c>
      <c r="H42" s="2" t="s">
        <v>1514</v>
      </c>
    </row>
    <row r="43" spans="6:8" x14ac:dyDescent="0.25">
      <c r="F43" s="2" t="s">
        <v>1220</v>
      </c>
      <c r="G43" s="2" t="s">
        <v>3373</v>
      </c>
      <c r="H43" s="2" t="s">
        <v>1515</v>
      </c>
    </row>
    <row r="44" spans="6:8" x14ac:dyDescent="0.25">
      <c r="F44" s="2" t="s">
        <v>1221</v>
      </c>
      <c r="G44" s="2" t="s">
        <v>3375</v>
      </c>
      <c r="H44" s="2" t="s">
        <v>1516</v>
      </c>
    </row>
    <row r="45" spans="6:8" x14ac:dyDescent="0.25">
      <c r="F45" s="2" t="s">
        <v>1225</v>
      </c>
      <c r="G45" s="2" t="s">
        <v>1225</v>
      </c>
      <c r="H45" s="2" t="s">
        <v>1517</v>
      </c>
    </row>
    <row r="46" spans="6:8" x14ac:dyDescent="0.25">
      <c r="F46" s="2" t="s">
        <v>1268</v>
      </c>
      <c r="G46" s="2" t="s">
        <v>1268</v>
      </c>
      <c r="H46" s="2" t="s">
        <v>1519</v>
      </c>
    </row>
    <row r="47" spans="6:8" x14ac:dyDescent="0.25">
      <c r="F47" s="2" t="s">
        <v>1269</v>
      </c>
      <c r="G47" s="2" t="s">
        <v>1269</v>
      </c>
      <c r="H47" s="2" t="s">
        <v>1518</v>
      </c>
    </row>
    <row r="48" spans="6:8" x14ac:dyDescent="0.25">
      <c r="F48" s="2" t="s">
        <v>1270</v>
      </c>
      <c r="G48" s="2" t="s">
        <v>1270</v>
      </c>
      <c r="H48" s="2" t="s">
        <v>1520</v>
      </c>
    </row>
    <row r="49" spans="6:8" x14ac:dyDescent="0.25">
      <c r="F49" s="2" t="s">
        <v>1330</v>
      </c>
      <c r="G49" s="2" t="s">
        <v>1330</v>
      </c>
      <c r="H49" s="2" t="s">
        <v>1521</v>
      </c>
    </row>
    <row r="50" spans="6:8" x14ac:dyDescent="0.25">
      <c r="F50" s="2" t="s">
        <v>3740</v>
      </c>
      <c r="G50" s="2" t="s">
        <v>1353</v>
      </c>
      <c r="H50" s="2" t="s">
        <v>1522</v>
      </c>
    </row>
    <row r="51" spans="6:8" x14ac:dyDescent="0.25">
      <c r="F51" s="2" t="s">
        <v>3741</v>
      </c>
      <c r="G51" s="2" t="s">
        <v>1364</v>
      </c>
      <c r="H51" s="2" t="s">
        <v>1523</v>
      </c>
    </row>
    <row r="52" spans="6:8" x14ac:dyDescent="0.25">
      <c r="F52" s="2" t="s">
        <v>1367</v>
      </c>
      <c r="G52" s="2" t="s">
        <v>1367</v>
      </c>
      <c r="H52" s="2" t="s">
        <v>1524</v>
      </c>
    </row>
    <row r="53" spans="6:8" x14ac:dyDescent="0.25">
      <c r="F53" s="2" t="s">
        <v>1436</v>
      </c>
      <c r="G53" s="2" t="s">
        <v>1436</v>
      </c>
      <c r="H53" s="2" t="s">
        <v>1525</v>
      </c>
    </row>
    <row r="54" spans="6:8" x14ac:dyDescent="0.25">
      <c r="F54" s="2" t="s">
        <v>1435</v>
      </c>
      <c r="G54" s="2" t="s">
        <v>1435</v>
      </c>
      <c r="H54" s="2" t="s">
        <v>1526</v>
      </c>
    </row>
    <row r="55" spans="6:8" x14ac:dyDescent="0.25">
      <c r="F55" s="2" t="s">
        <v>1453</v>
      </c>
      <c r="G55" s="2" t="s">
        <v>1453</v>
      </c>
      <c r="H55" s="2" t="s">
        <v>1527</v>
      </c>
    </row>
    <row r="56" spans="6:8" x14ac:dyDescent="0.25">
      <c r="F56" s="2" t="s">
        <v>1454</v>
      </c>
      <c r="G56" s="2" t="s">
        <v>1454</v>
      </c>
      <c r="H56" s="2" t="s">
        <v>1528</v>
      </c>
    </row>
    <row r="57" spans="6:8" x14ac:dyDescent="0.25">
      <c r="F57" s="2" t="s">
        <v>1472</v>
      </c>
      <c r="G57" s="2" t="s">
        <v>3638</v>
      </c>
      <c r="H57" s="2" t="s">
        <v>1529</v>
      </c>
    </row>
    <row r="58" spans="6:8" x14ac:dyDescent="0.25">
      <c r="F58" s="2" t="s">
        <v>3028</v>
      </c>
      <c r="G58" s="2" t="s">
        <v>3028</v>
      </c>
      <c r="H58" s="2" t="s">
        <v>3026</v>
      </c>
    </row>
    <row r="59" spans="6:8" x14ac:dyDescent="0.25">
      <c r="F59" s="2" t="s">
        <v>3043</v>
      </c>
      <c r="G59" s="2" t="s">
        <v>3043</v>
      </c>
      <c r="H59" s="2" t="s">
        <v>3044</v>
      </c>
    </row>
    <row r="60" spans="6:8" x14ac:dyDescent="0.25">
      <c r="F60" s="2" t="s">
        <v>3098</v>
      </c>
      <c r="G60" s="2" t="s">
        <v>3098</v>
      </c>
      <c r="H60" s="2" t="s">
        <v>3045</v>
      </c>
    </row>
    <row r="61" spans="6:8" x14ac:dyDescent="0.25">
      <c r="F61" s="2" t="s">
        <v>3107</v>
      </c>
      <c r="G61" s="2" t="s">
        <v>3292</v>
      </c>
      <c r="H61" s="2" t="s">
        <v>3108</v>
      </c>
    </row>
    <row r="62" spans="6:8" x14ac:dyDescent="0.25">
      <c r="F62" s="2" t="s">
        <v>3119</v>
      </c>
      <c r="G62" s="2" t="s">
        <v>3119</v>
      </c>
      <c r="H62" s="2" t="s">
        <v>3122</v>
      </c>
    </row>
    <row r="63" spans="6:8" x14ac:dyDescent="0.25">
      <c r="F63" s="2" t="s">
        <v>3120</v>
      </c>
      <c r="G63" s="2" t="s">
        <v>3120</v>
      </c>
      <c r="H63" s="2" t="s">
        <v>3123</v>
      </c>
    </row>
    <row r="64" spans="6:8" x14ac:dyDescent="0.25">
      <c r="F64" s="2" t="s">
        <v>3121</v>
      </c>
      <c r="G64" s="2" t="s">
        <v>3121</v>
      </c>
      <c r="H64" s="2" t="s">
        <v>3124</v>
      </c>
    </row>
    <row r="65" spans="6:8" x14ac:dyDescent="0.25">
      <c r="F65" s="2" t="s">
        <v>3244</v>
      </c>
      <c r="G65" s="2" t="s">
        <v>3244</v>
      </c>
      <c r="H65" s="2" t="s">
        <v>3245</v>
      </c>
    </row>
    <row r="66" spans="6:8" x14ac:dyDescent="0.25">
      <c r="F66" s="2" t="s">
        <v>3280</v>
      </c>
      <c r="G66" s="2" t="s">
        <v>3280</v>
      </c>
      <c r="H66" s="2" t="s">
        <v>3281</v>
      </c>
    </row>
    <row r="67" spans="6:8" x14ac:dyDescent="0.25">
      <c r="F67" s="2" t="s">
        <v>3286</v>
      </c>
      <c r="G67" s="2" t="s">
        <v>3286</v>
      </c>
      <c r="H67" s="2" t="s">
        <v>3287</v>
      </c>
    </row>
    <row r="68" spans="6:8" x14ac:dyDescent="0.25">
      <c r="F68" s="2" t="s">
        <v>3293</v>
      </c>
      <c r="G68" s="2" t="s">
        <v>3107</v>
      </c>
    </row>
    <row r="69" spans="6:8" x14ac:dyDescent="0.25">
      <c r="F69" s="2" t="s">
        <v>3294</v>
      </c>
      <c r="G69" s="2" t="s">
        <v>3329</v>
      </c>
    </row>
    <row r="70" spans="6:8" x14ac:dyDescent="0.25">
      <c r="F70" s="1140" t="s">
        <v>3548</v>
      </c>
      <c r="G70" s="2" t="s">
        <v>3548</v>
      </c>
    </row>
    <row r="71" spans="6:8" x14ac:dyDescent="0.25">
      <c r="F71" s="1140" t="s">
        <v>3549</v>
      </c>
      <c r="G71" s="2" t="s">
        <v>3549</v>
      </c>
    </row>
    <row r="72" spans="6:8" x14ac:dyDescent="0.25">
      <c r="F72" s="1140" t="s">
        <v>3550</v>
      </c>
      <c r="G72" s="2" t="s">
        <v>3550</v>
      </c>
    </row>
    <row r="73" spans="6:8" x14ac:dyDescent="0.25">
      <c r="F73" s="1140" t="s">
        <v>3551</v>
      </c>
      <c r="G73" s="2" t="s">
        <v>3551</v>
      </c>
    </row>
    <row r="74" spans="6:8" x14ac:dyDescent="0.25">
      <c r="F74" s="1140" t="s">
        <v>3552</v>
      </c>
      <c r="G74" s="2" t="s">
        <v>3552</v>
      </c>
    </row>
    <row r="75" spans="6:8" x14ac:dyDescent="0.25">
      <c r="F75" s="1140" t="s">
        <v>3553</v>
      </c>
      <c r="G75" s="2" t="s">
        <v>3553</v>
      </c>
    </row>
    <row r="76" spans="6:8" x14ac:dyDescent="0.25">
      <c r="F76" s="1140" t="s">
        <v>3559</v>
      </c>
      <c r="G76" s="2" t="s">
        <v>3559</v>
      </c>
    </row>
    <row r="77" spans="6:8" x14ac:dyDescent="0.25">
      <c r="F77" s="1141" t="s">
        <v>3554</v>
      </c>
      <c r="G77" s="1010" t="s">
        <v>3554</v>
      </c>
    </row>
    <row r="78" spans="6:8" x14ac:dyDescent="0.25">
      <c r="F78" s="1140" t="s">
        <v>3600</v>
      </c>
      <c r="G78" s="2" t="s">
        <v>3600</v>
      </c>
    </row>
    <row r="79" spans="6:8" x14ac:dyDescent="0.25">
      <c r="F79" s="1140" t="s">
        <v>3626</v>
      </c>
      <c r="G79" s="2" t="s">
        <v>3626</v>
      </c>
    </row>
    <row r="80" spans="6:8" x14ac:dyDescent="0.25">
      <c r="F80" s="1140" t="s">
        <v>3627</v>
      </c>
      <c r="G80" s="2" t="s">
        <v>3627</v>
      </c>
    </row>
    <row r="81" spans="6:7" x14ac:dyDescent="0.25">
      <c r="F81" s="1140" t="s">
        <v>3628</v>
      </c>
      <c r="G81" s="2" t="s">
        <v>3628</v>
      </c>
    </row>
    <row r="82" spans="6:7" x14ac:dyDescent="0.25">
      <c r="F82" s="1140" t="s">
        <v>3629</v>
      </c>
      <c r="G82" s="2" t="s">
        <v>3629</v>
      </c>
    </row>
    <row r="83" spans="6:7" x14ac:dyDescent="0.25">
      <c r="F83" s="2" t="s">
        <v>3653</v>
      </c>
      <c r="G83" s="2" t="s">
        <v>3653</v>
      </c>
    </row>
    <row r="84" spans="6:7" x14ac:dyDescent="0.25">
      <c r="F84" s="2" t="s">
        <v>1353</v>
      </c>
      <c r="G84" s="2" t="s">
        <v>3740</v>
      </c>
    </row>
    <row r="85" spans="6:7" x14ac:dyDescent="0.25">
      <c r="F85" s="2" t="s">
        <v>1364</v>
      </c>
      <c r="G85" s="2" t="s">
        <v>3741</v>
      </c>
    </row>
  </sheetData>
  <phoneticPr fontId="2" type="noConversion"/>
  <dataValidations xWindow="337" yWindow="455" count="2">
    <dataValidation allowBlank="1" showInputMessage="1" showErrorMessage="1" promptTitle="Ghi chú" prompt="Đây là vùng quản lý tên các sheet bạn muốn thay đổi. Chương trình sẽ căn cứ vào tên tương cứng của các sheet tại cột sheet gốc." sqref="H1 F1:G21"/>
    <dataValidation allowBlank="1" showInputMessage="1" showErrorMessage="1" promptTitle="Ghi chú" prompt="Vùng quy định thông tin của một số hàm được dùng trong dự toán. " sqref="A2:E17"/>
  </dataValidations>
  <pageMargins left="0.55118110236220497" right="0.196850393700787" top="0.43307086614173201" bottom="0.59055118110236204" header="0.15748031496063" footer="0.23622047244094502"/>
  <pageSetup paperSize="9" orientation="portrait" r:id="rId1"/>
  <headerFooter alignWithMargins="0">
    <oddHeader>&amp;L&amp;"Times New Roman,Bold Italic"&amp;9Dự toán Bắc Nam  - ÐT: 0966.966.455</oddHeader>
    <oddFooter>&amp;R&amp;9Trang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90</vt:i4>
      </vt:variant>
      <vt:variant>
        <vt:lpstr>Named Ranges</vt:lpstr>
      </vt:variant>
      <vt:variant>
        <vt:i4>181</vt:i4>
      </vt:variant>
    </vt:vector>
  </HeadingPairs>
  <TitlesOfParts>
    <vt:vector size="271" baseType="lpstr">
      <vt:lpstr>Thamtra_Dutoan</vt:lpstr>
      <vt:lpstr>Thamtra_Phantichvattu</vt:lpstr>
      <vt:lpstr>Thamtra_GTVT</vt:lpstr>
      <vt:lpstr>Thamtra_VL</vt:lpstr>
      <vt:lpstr>Thamtra_NC</vt:lpstr>
      <vt:lpstr>Thamtra_MTC</vt:lpstr>
      <vt:lpstr>Dutoan_Nhom</vt:lpstr>
      <vt:lpstr>THKP_Nhom</vt:lpstr>
      <vt:lpstr>Du toan</vt:lpstr>
      <vt:lpstr>VLC</vt:lpstr>
      <vt:lpstr>DMPhu</vt:lpstr>
      <vt:lpstr>Phan tich vat tu</vt:lpstr>
      <vt:lpstr>Gia tri vat tu</vt:lpstr>
      <vt:lpstr>GiaVua</vt:lpstr>
      <vt:lpstr>THKP</vt:lpstr>
      <vt:lpstr>THKP_Doc</vt:lpstr>
      <vt:lpstr>Tong hop kinh phi</vt:lpstr>
      <vt:lpstr>DGCT_Thugon</vt:lpstr>
      <vt:lpstr>Don gia chi tiet</vt:lpstr>
      <vt:lpstr>Du thau</vt:lpstr>
      <vt:lpstr>DT Goi thau XD</vt:lpstr>
      <vt:lpstr>CP HMC</vt:lpstr>
      <vt:lpstr>THKP_KS</vt:lpstr>
      <vt:lpstr>THKP_DVCI</vt:lpstr>
      <vt:lpstr>Tong hop kinh phi  _DVCI</vt:lpstr>
      <vt:lpstr>DP2C</vt:lpstr>
      <vt:lpstr>Tong hop kinh phi_KS</vt:lpstr>
      <vt:lpstr>TMDT</vt:lpstr>
      <vt:lpstr>Tong hop DT XDCT</vt:lpstr>
      <vt:lpstr>DP2B</vt:lpstr>
      <vt:lpstr>TH_CPXD</vt:lpstr>
      <vt:lpstr>TH_CPTB</vt:lpstr>
      <vt:lpstr>DP2C_TB</vt:lpstr>
      <vt:lpstr>DT Goi thau TB</vt:lpstr>
      <vt:lpstr>SBTMDT</vt:lpstr>
      <vt:lpstr>DP2A</vt:lpstr>
      <vt:lpstr>Bia du toan</vt:lpstr>
      <vt:lpstr>PTVT_VCLC</vt:lpstr>
      <vt:lpstr>THVT_VCLC</vt:lpstr>
      <vt:lpstr>PTVT_BX</vt:lpstr>
      <vt:lpstr>THVT_BX</vt:lpstr>
      <vt:lpstr>PTVT_VC</vt:lpstr>
      <vt:lpstr>THVT_VC</vt:lpstr>
      <vt:lpstr>Chi phi van chuyen</vt:lpstr>
      <vt:lpstr>CuocVC</vt:lpstr>
      <vt:lpstr>CP Khac cuoc VC</vt:lpstr>
      <vt:lpstr>CPVC _Sieu truong</vt:lpstr>
      <vt:lpstr>Cuoc Bo sung</vt:lpstr>
      <vt:lpstr>Chi phi trung chuyen</vt:lpstr>
      <vt:lpstr>CPVC_DenChanCT</vt:lpstr>
      <vt:lpstr>CPVC_588</vt:lpstr>
      <vt:lpstr>CuocDM</vt:lpstr>
      <vt:lpstr>CPTC_588</vt:lpstr>
      <vt:lpstr>CTCM_VC</vt:lpstr>
      <vt:lpstr>BuGCM_VC</vt:lpstr>
      <vt:lpstr>BuNLTL_VC</vt:lpstr>
      <vt:lpstr>NC_TC</vt:lpstr>
      <vt:lpstr>PT_BVC_CV</vt:lpstr>
      <vt:lpstr>LuongCNXD_Tong</vt:lpstr>
      <vt:lpstr>LuongCN_XD</vt:lpstr>
      <vt:lpstr>LuongCN_XD1</vt:lpstr>
      <vt:lpstr>LuongCN_XD2</vt:lpstr>
      <vt:lpstr>Phan tich ca may</vt:lpstr>
      <vt:lpstr>LuongCNLM_Tong</vt:lpstr>
      <vt:lpstr>LuongCN_LaiMay1</vt:lpstr>
      <vt:lpstr>LuongCN_LaiMay2</vt:lpstr>
      <vt:lpstr>LuongCN_LaiMay</vt:lpstr>
      <vt:lpstr>Chiet tinh don gia may</vt:lpstr>
      <vt:lpstr>Bu gia may</vt:lpstr>
      <vt:lpstr>Bu NL_TL</vt:lpstr>
      <vt:lpstr>Dau vao ca may</vt:lpstr>
      <vt:lpstr>Phan tich bu ca may</vt:lpstr>
      <vt:lpstr>LuongCN</vt:lpstr>
      <vt:lpstr>HMC_Goithau</vt:lpstr>
      <vt:lpstr>CongNhat</vt:lpstr>
      <vt:lpstr>Tamtinh</vt:lpstr>
      <vt:lpstr>DGCT_Goithau</vt:lpstr>
      <vt:lpstr>Duthau_HM</vt:lpstr>
      <vt:lpstr>HD_Trongoi</vt:lpstr>
      <vt:lpstr>HD_DGCodinh</vt:lpstr>
      <vt:lpstr>HD_DGDieuchinh</vt:lpstr>
      <vt:lpstr>NT_GD</vt:lpstr>
      <vt:lpstr>QLNT</vt:lpstr>
      <vt:lpstr>PL03a_A</vt:lpstr>
      <vt:lpstr>PL03a</vt:lpstr>
      <vt:lpstr>QLTU</vt:lpstr>
      <vt:lpstr>THKP_KS_tt17</vt:lpstr>
      <vt:lpstr>Tong hop kinh phi_KS_tt17</vt:lpstr>
      <vt:lpstr>Config</vt:lpstr>
      <vt:lpstr>Setting</vt:lpstr>
      <vt:lpstr>'CP Khac cuoc VC'!BuocTK</vt:lpstr>
      <vt:lpstr>LuongCN_LaiMay1!BuocTK</vt:lpstr>
      <vt:lpstr>LuongCN_XD1!BuocTK</vt:lpstr>
      <vt:lpstr>BuocTK</vt:lpstr>
      <vt:lpstr>'CP Khac cuoc VC'!CapCT</vt:lpstr>
      <vt:lpstr>LuongCN_LaiMay1!CapCT</vt:lpstr>
      <vt:lpstr>LuongCN_XD1!CapCT</vt:lpstr>
      <vt:lpstr>CapCT</vt:lpstr>
      <vt:lpstr>CP_HMC</vt:lpstr>
      <vt:lpstr>'CP Khac cuoc VC'!CT_CPC</vt:lpstr>
      <vt:lpstr>CT_CPC</vt:lpstr>
      <vt:lpstr>'CP Khac cuoc VC'!Cuoc_Bo</vt:lpstr>
      <vt:lpstr>Cuoc_Bo</vt:lpstr>
      <vt:lpstr>Cuoc_CoDinh</vt:lpstr>
      <vt:lpstr>Cuoc_Song</vt:lpstr>
      <vt:lpstr>'CP Khac cuoc VC'!DS_Luong</vt:lpstr>
      <vt:lpstr>LuongCN_LaiMay1!DS_Luong</vt:lpstr>
      <vt:lpstr>LuongCN_XD1!DS_Luong</vt:lpstr>
      <vt:lpstr>DS_Luong</vt:lpstr>
      <vt:lpstr>TMDT!GTB</vt:lpstr>
      <vt:lpstr>'Tong hop DT XDCT'!GTB</vt:lpstr>
      <vt:lpstr>'CP Khac cuoc VC'!GTB_LDHC</vt:lpstr>
      <vt:lpstr>GTB_LDHC</vt:lpstr>
      <vt:lpstr>TMDT!GXD</vt:lpstr>
      <vt:lpstr>'Tong hop DT XDCT'!GXD</vt:lpstr>
      <vt:lpstr>HS_Song</vt:lpstr>
      <vt:lpstr>hsdc_CuocVC</vt:lpstr>
      <vt:lpstr>HSLoaiDuong</vt:lpstr>
      <vt:lpstr>'CP Khac cuoc VC'!i_BTK</vt:lpstr>
      <vt:lpstr>LuongCN_LaiMay1!i_BTK</vt:lpstr>
      <vt:lpstr>LuongCN_XD1!i_BTK</vt:lpstr>
      <vt:lpstr>i_BTK</vt:lpstr>
      <vt:lpstr>i_BTKKhac</vt:lpstr>
      <vt:lpstr>'CP Khac cuoc VC'!i_CapCT</vt:lpstr>
      <vt:lpstr>LuongCN_LaiMay1!i_CapCT</vt:lpstr>
      <vt:lpstr>LuongCN_XD1!i_CapCT</vt:lpstr>
      <vt:lpstr>i_CapCT</vt:lpstr>
      <vt:lpstr>'CP Khac cuoc VC'!i_CPC</vt:lpstr>
      <vt:lpstr>i_CPC</vt:lpstr>
      <vt:lpstr>i_CPC1</vt:lpstr>
      <vt:lpstr>i_CPC2</vt:lpstr>
      <vt:lpstr>'CP Khac cuoc VC'!i_CTKhac</vt:lpstr>
      <vt:lpstr>LuongCN_LaiMay1!i_CTKhac</vt:lpstr>
      <vt:lpstr>LuongCN_XD1!i_CTKhac</vt:lpstr>
      <vt:lpstr>i_CTKhac</vt:lpstr>
      <vt:lpstr>i_HMC_KXD</vt:lpstr>
      <vt:lpstr>'CP Khac cuoc VC'!i_KTQT</vt:lpstr>
      <vt:lpstr>LuongCN_LaiMay1!i_KTQT</vt:lpstr>
      <vt:lpstr>LuongCN_XD1!i_KTQT</vt:lpstr>
      <vt:lpstr>i_KTQT</vt:lpstr>
      <vt:lpstr>'CP Khac cuoc VC'!i_LoaiCT</vt:lpstr>
      <vt:lpstr>LuongCN_LaiMay1!i_LoaiCT</vt:lpstr>
      <vt:lpstr>LuongCN_XD1!i_LoaiCT</vt:lpstr>
      <vt:lpstr>i_LoaiCT</vt:lpstr>
      <vt:lpstr>'CP Khac cuoc VC'!i_Luong</vt:lpstr>
      <vt:lpstr>LuongCN_LaiMay1!i_Luong</vt:lpstr>
      <vt:lpstr>LuongCN_XD1!i_Luong</vt:lpstr>
      <vt:lpstr>i_Luong</vt:lpstr>
      <vt:lpstr>'CP Khac cuoc VC'!i_VB</vt:lpstr>
      <vt:lpstr>LuongCN_LaiMay1!i_VB</vt:lpstr>
      <vt:lpstr>LuongCN_XD1!i_VB</vt:lpstr>
      <vt:lpstr>i_VB</vt:lpstr>
      <vt:lpstr>Li_BCVT</vt:lpstr>
      <vt:lpstr>Li_Cap</vt:lpstr>
      <vt:lpstr>Li_HC</vt:lpstr>
      <vt:lpstr>LI_MTT</vt:lpstr>
      <vt:lpstr>'CP Khac cuoc VC'!List_DB</vt:lpstr>
      <vt:lpstr>List_DB</vt:lpstr>
      <vt:lpstr>List_DS</vt:lpstr>
      <vt:lpstr>List_Duong</vt:lpstr>
      <vt:lpstr>List_May</vt:lpstr>
      <vt:lpstr>List_NCBX</vt:lpstr>
      <vt:lpstr>List_VTBX</vt:lpstr>
      <vt:lpstr>'CP Khac cuoc VC'!Loai_CTKhac</vt:lpstr>
      <vt:lpstr>LuongCN_LaiMay1!Loai_CTKhac</vt:lpstr>
      <vt:lpstr>LuongCN_XD1!Loai_CTKhac</vt:lpstr>
      <vt:lpstr>Loai_CTKhac</vt:lpstr>
      <vt:lpstr>'CP Khac cuoc VC'!Loai_KTQT</vt:lpstr>
      <vt:lpstr>LuongCN_LaiMay1!Loai_KTQT</vt:lpstr>
      <vt:lpstr>LuongCN_XD1!Loai_KTQT</vt:lpstr>
      <vt:lpstr>Loai_KTQT</vt:lpstr>
      <vt:lpstr>'CP Khac cuoc VC'!LoaiCT</vt:lpstr>
      <vt:lpstr>LuongCN_LaiMay1!LoaiCT</vt:lpstr>
      <vt:lpstr>LuongCN_XD1!LoaiCT</vt:lpstr>
      <vt:lpstr>LoaiCT</vt:lpstr>
      <vt:lpstr>LoaiCT_75</vt:lpstr>
      <vt:lpstr>NT_HD</vt:lpstr>
      <vt:lpstr>NT_LK</vt:lpstr>
      <vt:lpstr>NT_TH</vt:lpstr>
      <vt:lpstr>'Bu gia may'!Print_Area</vt:lpstr>
      <vt:lpstr>'Bu NL_TL'!Print_Area</vt:lpstr>
      <vt:lpstr>BuGCM_VC!Print_Area</vt:lpstr>
      <vt:lpstr>BuNLTL_VC!Print_Area</vt:lpstr>
      <vt:lpstr>'Chi phi trung chuyen'!Print_Area</vt:lpstr>
      <vt:lpstr>'Chi phi van chuyen'!Print_Area</vt:lpstr>
      <vt:lpstr>'Chiet tinh don gia may'!Print_Area</vt:lpstr>
      <vt:lpstr>'CP HMC'!Print_Area</vt:lpstr>
      <vt:lpstr>'CP Khac cuoc VC'!Print_Area</vt:lpstr>
      <vt:lpstr>CPTC_588!Print_Area</vt:lpstr>
      <vt:lpstr>'CPVC _Sieu truong'!Print_Area</vt:lpstr>
      <vt:lpstr>CPVC_588!Print_Area</vt:lpstr>
      <vt:lpstr>CPVC_DenChanCT!Print_Area</vt:lpstr>
      <vt:lpstr>CTCM_VC!Print_Area</vt:lpstr>
      <vt:lpstr>'Cuoc Bo sung'!Print_Area</vt:lpstr>
      <vt:lpstr>'Dau vao ca may'!Print_Area</vt:lpstr>
      <vt:lpstr>DGCT_Thugon!Print_Area</vt:lpstr>
      <vt:lpstr>'Don gia chi tiet'!Print_Area</vt:lpstr>
      <vt:lpstr>DP2A!Print_Area</vt:lpstr>
      <vt:lpstr>DP2B!Print_Area</vt:lpstr>
      <vt:lpstr>DP2C!Print_Area</vt:lpstr>
      <vt:lpstr>DP2C_TB!Print_Area</vt:lpstr>
      <vt:lpstr>'DT Goi thau TB'!Print_Area</vt:lpstr>
      <vt:lpstr>'DT Goi thau XD'!Print_Area</vt:lpstr>
      <vt:lpstr>'Du thau'!Print_Area</vt:lpstr>
      <vt:lpstr>'Du toan'!Print_Area</vt:lpstr>
      <vt:lpstr>Dutoan_Nhom!Print_Area</vt:lpstr>
      <vt:lpstr>'Gia tri vat tu'!Print_Area</vt:lpstr>
      <vt:lpstr>GiaVua!Print_Area</vt:lpstr>
      <vt:lpstr>HD_DGCodinh!Print_Area</vt:lpstr>
      <vt:lpstr>HD_DGDieuchinh!Print_Area</vt:lpstr>
      <vt:lpstr>HD_Trongoi!Print_Area</vt:lpstr>
      <vt:lpstr>HMC_Goithau!Print_Area</vt:lpstr>
      <vt:lpstr>LuongCN_LaiMay!Print_Area</vt:lpstr>
      <vt:lpstr>LuongCN_LaiMay1!Print_Area</vt:lpstr>
      <vt:lpstr>LuongCN_LaiMay2!Print_Area</vt:lpstr>
      <vt:lpstr>LuongCN_XD!Print_Area</vt:lpstr>
      <vt:lpstr>LuongCN_XD1!Print_Area</vt:lpstr>
      <vt:lpstr>LuongCN_XD2!Print_Area</vt:lpstr>
      <vt:lpstr>LuongCNLM_Tong!Print_Area</vt:lpstr>
      <vt:lpstr>LuongCNXD_Tong!Print_Area</vt:lpstr>
      <vt:lpstr>NC_TC!Print_Area</vt:lpstr>
      <vt:lpstr>'Phan tich bu ca may'!Print_Area</vt:lpstr>
      <vt:lpstr>'Phan tich ca may'!Print_Area</vt:lpstr>
      <vt:lpstr>'Phan tich vat tu'!Print_Area</vt:lpstr>
      <vt:lpstr>PT_BVC_CV!Print_Area</vt:lpstr>
      <vt:lpstr>PTVT_BX!Print_Area</vt:lpstr>
      <vt:lpstr>PTVT_VC!Print_Area</vt:lpstr>
      <vt:lpstr>PTVT_VCLC!Print_Area</vt:lpstr>
      <vt:lpstr>SBTMDT!Print_Area</vt:lpstr>
      <vt:lpstr>Tamtinh!Print_Area</vt:lpstr>
      <vt:lpstr>TH_CPTB!Print_Area</vt:lpstr>
      <vt:lpstr>TH_CPXD!Print_Area</vt:lpstr>
      <vt:lpstr>Thamtra_Dutoan!Print_Area</vt:lpstr>
      <vt:lpstr>Thamtra_GTVT!Print_Area</vt:lpstr>
      <vt:lpstr>Thamtra_MTC!Print_Area</vt:lpstr>
      <vt:lpstr>Thamtra_NC!Print_Area</vt:lpstr>
      <vt:lpstr>Thamtra_Phantichvattu!Print_Area</vt:lpstr>
      <vt:lpstr>Thamtra_VL!Print_Area</vt:lpstr>
      <vt:lpstr>THKP!Print_Area</vt:lpstr>
      <vt:lpstr>THKP_DVCI!Print_Area</vt:lpstr>
      <vt:lpstr>THKP_KS!Print_Area</vt:lpstr>
      <vt:lpstr>THKP_KS_tt17!Print_Area</vt:lpstr>
      <vt:lpstr>THKP_Nhom!Print_Area</vt:lpstr>
      <vt:lpstr>THVT_BX!Print_Area</vt:lpstr>
      <vt:lpstr>THVT_VC!Print_Area</vt:lpstr>
      <vt:lpstr>THVT_VCLC!Print_Area</vt:lpstr>
      <vt:lpstr>TMDT!Print_Area</vt:lpstr>
      <vt:lpstr>'Tong hop DT XDCT'!Print_Area</vt:lpstr>
      <vt:lpstr>'Tong hop kinh phi'!Print_Area</vt:lpstr>
      <vt:lpstr>'Tong hop kinh phi  _DVCI'!Print_Area</vt:lpstr>
      <vt:lpstr>'Tong hop kinh phi_KS'!Print_Area</vt:lpstr>
      <vt:lpstr>'Tong hop kinh phi_KS_tt17'!Print_Area</vt:lpstr>
      <vt:lpstr>'Don gia chi tiet'!Print_Titles</vt:lpstr>
      <vt:lpstr>'Du thau'!Print_Titles</vt:lpstr>
      <vt:lpstr>'Du toan'!Print_Titles</vt:lpstr>
      <vt:lpstr>'Phan tich vat tu'!Print_Titles</vt:lpstr>
      <vt:lpstr>TMDT!Print_Titles</vt:lpstr>
      <vt:lpstr>'Tong hop DT XDCT'!Print_Titles</vt:lpstr>
      <vt:lpstr>TMDT!TMDT</vt:lpstr>
      <vt:lpstr>'Tong hop DT XDCT'!TMDT</vt:lpstr>
      <vt:lpstr>TMDT!TMDT_Duyet</vt:lpstr>
      <vt:lpstr>'Tong hop DT XDCT'!TMDT_Duyet</vt:lpstr>
      <vt:lpstr>'CP Khac cuoc VC'!VBan</vt:lpstr>
      <vt:lpstr>LuongCN_LaiMay1!VBan</vt:lpstr>
      <vt:lpstr>LuongCN_XD1!VBan</vt:lpstr>
      <vt:lpstr>VBan</vt:lpstr>
      <vt:lpstr>VC_Kethop</vt:lpstr>
      <vt:lpstr>VC_PT</vt:lpstr>
      <vt:lpstr>VC_Quakho</vt:lpstr>
      <vt:lpstr>VC_Xepdo</vt:lpstr>
      <vt:lpstr>VT_TC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bacnam.com.vn</dc:subject>
  <dc:creator>Tấn Nhượng Võ</dc:creator>
  <cp:keywords>bacnam.com.vn</cp:keywords>
  <cp:lastModifiedBy>LENOVO</cp:lastModifiedBy>
  <cp:lastPrinted>2018-09-13T09:56:48Z</cp:lastPrinted>
  <dcterms:created xsi:type="dcterms:W3CDTF">2012-11-22T00:41:41Z</dcterms:created>
  <dcterms:modified xsi:type="dcterms:W3CDTF">2019-04-24T03:55:46Z</dcterms:modified>
</cp:coreProperties>
</file>